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showInkAnnotation="0" codeName="ThisWorkbook"/>
  <mc:AlternateContent xmlns:mc="http://schemas.openxmlformats.org/markup-compatibility/2006">
    <mc:Choice Requires="x15">
      <x15ac:absPath xmlns:x15ac="http://schemas.microsoft.com/office/spreadsheetml/2010/11/ac" url="M:\Amit Medina\Schematic and Layout Design Course\Schematic-and-Layout-Design-Course-repo\lm5148_tool\"/>
    </mc:Choice>
  </mc:AlternateContent>
  <xr:revisionPtr revIDLastSave="0" documentId="8_{A46781CE-2C6F-416C-8CFB-FD12E895C184}" xr6:coauthVersionLast="47" xr6:coauthVersionMax="47" xr10:uidLastSave="{00000000-0000-0000-0000-000000000000}"/>
  <workbookProtection workbookAlgorithmName="SHA-512" workbookHashValue="z5FqPcKKBi5N5vWNRvcYhJXgQpCVhA6Nlkt2y6dNUxC67iEK3bipfR2nj7F8lthz3hfo8uuKqtD3glDULCo3lg==" workbookSaltValue="jp688ZIxTdWp8B4uuQx0XQ==" workbookSpinCount="100000" lockStructure="1"/>
  <bookViews>
    <workbookView xWindow="38280" yWindow="-120" windowWidth="38640" windowHeight="21120" tabRatio="329" xr2:uid="{00000000-000D-0000-FFFF-FFFF00000000}"/>
  </bookViews>
  <sheets>
    <sheet name="Design Regulator" sheetId="1" r:id="rId1"/>
    <sheet name="Input Filters" sheetId="29" state="hidden" r:id="rId2"/>
    <sheet name="Design Input Filter" sheetId="28" state="hidden" r:id="rId3"/>
    <sheet name="BOM &amp; Schematic" sheetId="16" r:id="rId4"/>
    <sheet name="EVM" sheetId="14" r:id="rId5"/>
    <sheet name="Variable Management" sheetId="2" state="hidden" r:id="rId6"/>
    <sheet name="Schematic Management" sheetId="22" state="hidden" r:id="rId7"/>
    <sheet name="Stability Calculations" sheetId="17" state="hidden" r:id="rId8"/>
    <sheet name="Bode Plot Management" sheetId="24" state="hidden" r:id="rId9"/>
    <sheet name="Efficiency Calculations" sheetId="21" state="hidden" r:id="rId10"/>
    <sheet name="Efficiency Plot Management" sheetId="19" state="hidden" r:id="rId11"/>
    <sheet name="Input Filter Calculations" sheetId="27" state="hidden" r:id="rId12"/>
    <sheet name="Standard Value Calculator" sheetId="8" state="hidden" r:id="rId13"/>
    <sheet name="Snubber" sheetId="11" state="hidden" r:id="rId14"/>
    <sheet name="Parallel Output Caps" sheetId="6"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rhp" localSheetId="8">'Variable Management'!#REF!</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8">'Variable Management'!#REF!</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2" localSheetId="3">INDIRECT('Schematic Management'!$A$2)</definedName>
    <definedName name="PICTURE2" localSheetId="0">INDIRECT('Schematic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_xlnm.Print_Area" localSheetId="3">'BOM &amp; Schematic'!$A$1:$J$61</definedName>
    <definedName name="_xlnm.Print_Area" localSheetId="0">'Design Regulator'!$A$1:$P$106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6" i="16" l="1"/>
  <c r="D56" i="16"/>
  <c r="A452" i="2"/>
  <c r="B73" i="2"/>
  <c r="P29" i="2"/>
  <c r="C56" i="16" s="1"/>
  <c r="P31" i="2"/>
  <c r="P30" i="2"/>
  <c r="E404" i="2"/>
  <c r="B448" i="2"/>
  <c r="B395" i="2"/>
  <c r="B381" i="2"/>
  <c r="B379" i="2"/>
  <c r="B184" i="2" l="1"/>
  <c r="B441" i="2"/>
  <c r="D385" i="2" l="1"/>
  <c r="E104" i="1" l="1"/>
  <c r="AE6" i="27" l="1"/>
  <c r="AE5" i="27"/>
  <c r="AE4" i="27"/>
  <c r="AE3" i="27"/>
  <c r="C12" i="29"/>
  <c r="C11" i="29"/>
  <c r="C10" i="29"/>
  <c r="C9" i="29"/>
  <c r="D58" i="1" l="1"/>
  <c r="M6" i="27"/>
  <c r="M5" i="27"/>
  <c r="M4" i="27"/>
  <c r="M3" i="27"/>
  <c r="E57" i="1" l="1"/>
  <c r="B442" i="2" s="1"/>
  <c r="B186" i="2" l="1"/>
  <c r="B183" i="2"/>
  <c r="B187" i="2" l="1"/>
  <c r="R41" i="8" s="1"/>
  <c r="S41" i="8" s="1"/>
  <c r="B189" i="2" s="1"/>
  <c r="B422" i="2" s="1"/>
  <c r="R40" i="8"/>
  <c r="S40" i="8" s="1"/>
  <c r="B188" i="2" s="1"/>
  <c r="B421" i="2" s="1"/>
  <c r="E55" i="1" l="1"/>
  <c r="E56" i="1"/>
  <c r="B266" i="2"/>
  <c r="B263" i="2"/>
  <c r="B200" i="2" l="1"/>
  <c r="R13" i="8" l="1"/>
  <c r="D248" i="2" l="1"/>
  <c r="D249" i="2"/>
  <c r="A245" i="2"/>
  <c r="E385" i="2"/>
  <c r="C385" i="2"/>
  <c r="B385" i="2"/>
  <c r="A385" i="2"/>
  <c r="B13" i="27" l="1"/>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D293" i="2" l="1"/>
  <c r="D296" i="2"/>
  <c r="D295" i="2"/>
  <c r="B287" i="2"/>
  <c r="B386" i="2" l="1"/>
  <c r="A386" i="2"/>
  <c r="B389" i="2"/>
  <c r="B387" i="2"/>
  <c r="C8" i="28"/>
  <c r="D292" i="2"/>
  <c r="F9" i="28"/>
  <c r="B9" i="28" l="1"/>
  <c r="E57" i="27"/>
  <c r="R57" i="27" s="1"/>
  <c r="E58" i="27"/>
  <c r="R58" i="27" s="1"/>
  <c r="E59" i="27"/>
  <c r="R59" i="27" s="1"/>
  <c r="E60" i="27"/>
  <c r="R60" i="27" s="1"/>
  <c r="E61" i="27"/>
  <c r="R61" i="27" s="1"/>
  <c r="E62" i="27"/>
  <c r="R62" i="27" s="1"/>
  <c r="E63" i="27"/>
  <c r="R63" i="27" s="1"/>
  <c r="E64" i="27"/>
  <c r="R64" i="27" s="1"/>
  <c r="E65" i="27"/>
  <c r="R65" i="27" s="1"/>
  <c r="E66" i="27"/>
  <c r="R66" i="27" s="1"/>
  <c r="E67" i="27"/>
  <c r="R67" i="27" s="1"/>
  <c r="E68" i="27"/>
  <c r="R68" i="27" s="1"/>
  <c r="D57" i="27"/>
  <c r="S57" i="27" s="1"/>
  <c r="D58" i="27"/>
  <c r="S58" i="27" s="1"/>
  <c r="D59" i="27"/>
  <c r="S59" i="27" s="1"/>
  <c r="D60" i="27"/>
  <c r="S60" i="27" s="1"/>
  <c r="D61" i="27"/>
  <c r="S61" i="27" s="1"/>
  <c r="D62" i="27"/>
  <c r="S62" i="27" s="1"/>
  <c r="D63" i="27"/>
  <c r="S63" i="27" s="1"/>
  <c r="D64" i="27"/>
  <c r="S64" i="27" s="1"/>
  <c r="D65" i="27"/>
  <c r="S65" i="27" s="1"/>
  <c r="D66" i="27"/>
  <c r="S66" i="27" s="1"/>
  <c r="D67" i="27"/>
  <c r="S67" i="27" s="1"/>
  <c r="D68" i="27"/>
  <c r="S68" i="27" s="1"/>
  <c r="C57" i="27"/>
  <c r="C58" i="27"/>
  <c r="C59" i="27"/>
  <c r="C60" i="27"/>
  <c r="C61" i="27"/>
  <c r="C62" i="27"/>
  <c r="C63" i="27"/>
  <c r="AD63" i="27" s="1"/>
  <c r="AE63" i="27" s="1"/>
  <c r="AH63" i="27" s="1"/>
  <c r="C64" i="27"/>
  <c r="C65" i="27"/>
  <c r="AD65" i="27" s="1"/>
  <c r="AE65" i="27" s="1"/>
  <c r="AH65" i="27" s="1"/>
  <c r="C66" i="27"/>
  <c r="C67" i="27"/>
  <c r="C68" i="27"/>
  <c r="AD68" i="27" s="1"/>
  <c r="AE68" i="27" s="1"/>
  <c r="AH68" i="27" s="1"/>
  <c r="Q67" i="27" l="1"/>
  <c r="AD67" i="27"/>
  <c r="AE67" i="27" s="1"/>
  <c r="AH67" i="27" s="1"/>
  <c r="Q59" i="27"/>
  <c r="AD59" i="27"/>
  <c r="AE59" i="27" s="1"/>
  <c r="AH59" i="27" s="1"/>
  <c r="Q66" i="27"/>
  <c r="AD66" i="27"/>
  <c r="AE66" i="27" s="1"/>
  <c r="AH66" i="27" s="1"/>
  <c r="Q58" i="27"/>
  <c r="AD58" i="27"/>
  <c r="AE58" i="27" s="1"/>
  <c r="AH58" i="27" s="1"/>
  <c r="Q62" i="27"/>
  <c r="AD62" i="27"/>
  <c r="AE62" i="27" s="1"/>
  <c r="AH62" i="27" s="1"/>
  <c r="Q61" i="27"/>
  <c r="AD61" i="27"/>
  <c r="AE61" i="27" s="1"/>
  <c r="AH61" i="27" s="1"/>
  <c r="Q57" i="27"/>
  <c r="AD57" i="27"/>
  <c r="AE57" i="27" s="1"/>
  <c r="AH57" i="27" s="1"/>
  <c r="Q64" i="27"/>
  <c r="AD64" i="27"/>
  <c r="AE64" i="27" s="1"/>
  <c r="AH64" i="27" s="1"/>
  <c r="Q60" i="27"/>
  <c r="AD60" i="27"/>
  <c r="AE60" i="27" s="1"/>
  <c r="AH60" i="27" s="1"/>
  <c r="I63" i="27"/>
  <c r="Q63" i="27"/>
  <c r="I68" i="27"/>
  <c r="Q68" i="27"/>
  <c r="I65" i="27"/>
  <c r="Q65" i="27"/>
  <c r="I66" i="27"/>
  <c r="I67" i="27"/>
  <c r="I60" i="27"/>
  <c r="I57" i="27"/>
  <c r="I64" i="27"/>
  <c r="I61" i="27"/>
  <c r="I58" i="27"/>
  <c r="I59" i="27"/>
  <c r="I62" i="27"/>
  <c r="C54" i="27"/>
  <c r="D54" i="27"/>
  <c r="S54" i="27" s="1"/>
  <c r="E54" i="27"/>
  <c r="R54" i="27" s="1"/>
  <c r="C55" i="27"/>
  <c r="D55" i="27"/>
  <c r="S55" i="27" s="1"/>
  <c r="E55" i="27"/>
  <c r="R55" i="27" s="1"/>
  <c r="C56" i="27"/>
  <c r="D56" i="27"/>
  <c r="S56" i="27" s="1"/>
  <c r="E56" i="27"/>
  <c r="R56" i="27" s="1"/>
  <c r="C78" i="27"/>
  <c r="D78" i="27"/>
  <c r="S78" i="27" s="1"/>
  <c r="E78" i="27"/>
  <c r="R78" i="27" s="1"/>
  <c r="C72" i="27"/>
  <c r="D72" i="27"/>
  <c r="S72" i="27" s="1"/>
  <c r="E72" i="27"/>
  <c r="R72" i="27" s="1"/>
  <c r="C73" i="27"/>
  <c r="D73" i="27"/>
  <c r="S73" i="27" s="1"/>
  <c r="E73" i="27"/>
  <c r="R73" i="27" s="1"/>
  <c r="C74" i="27"/>
  <c r="D74" i="27"/>
  <c r="S74" i="27" s="1"/>
  <c r="E74" i="27"/>
  <c r="R74" i="27" s="1"/>
  <c r="C75" i="27"/>
  <c r="D75" i="27"/>
  <c r="S75" i="27" s="1"/>
  <c r="E75" i="27"/>
  <c r="R75" i="27" s="1"/>
  <c r="C76" i="27"/>
  <c r="D76" i="27"/>
  <c r="S76" i="27" s="1"/>
  <c r="E76" i="27"/>
  <c r="R76" i="27" s="1"/>
  <c r="C77" i="27"/>
  <c r="D77" i="27"/>
  <c r="S77" i="27" s="1"/>
  <c r="E77" i="27"/>
  <c r="R77" i="27" s="1"/>
  <c r="C50" i="27"/>
  <c r="D50" i="27"/>
  <c r="S50" i="27" s="1"/>
  <c r="E50" i="27"/>
  <c r="R50" i="27" s="1"/>
  <c r="C51" i="27"/>
  <c r="D51" i="27"/>
  <c r="S51" i="27" s="1"/>
  <c r="E51" i="27"/>
  <c r="R51" i="27" s="1"/>
  <c r="C52" i="27"/>
  <c r="D52" i="27"/>
  <c r="S52" i="27" s="1"/>
  <c r="E52" i="27"/>
  <c r="R52" i="27" s="1"/>
  <c r="C53" i="27"/>
  <c r="D53" i="27"/>
  <c r="S53" i="27" s="1"/>
  <c r="E53" i="27"/>
  <c r="R53" i="27" s="1"/>
  <c r="Q50" i="27" l="1"/>
  <c r="AD50" i="27"/>
  <c r="AE50" i="27" s="1"/>
  <c r="AH50" i="27" s="1"/>
  <c r="Q74" i="27"/>
  <c r="AD74" i="27"/>
  <c r="AE74" i="27" s="1"/>
  <c r="AH74" i="27" s="1"/>
  <c r="Q56" i="27"/>
  <c r="AD56" i="27"/>
  <c r="AE56" i="27" s="1"/>
  <c r="AH56" i="27" s="1"/>
  <c r="Q51" i="27"/>
  <c r="AD51" i="27"/>
  <c r="AE51" i="27" s="1"/>
  <c r="AH51" i="27" s="1"/>
  <c r="Q75" i="27"/>
  <c r="AD75" i="27"/>
  <c r="AE75" i="27" s="1"/>
  <c r="AH75" i="27" s="1"/>
  <c r="Q78" i="27"/>
  <c r="AD78" i="27"/>
  <c r="AE78" i="27" s="1"/>
  <c r="AH78" i="27" s="1"/>
  <c r="Q52" i="27"/>
  <c r="AD52" i="27"/>
  <c r="AE52" i="27" s="1"/>
  <c r="AH52" i="27" s="1"/>
  <c r="Q76" i="27"/>
  <c r="AD76" i="27"/>
  <c r="AE76" i="27" s="1"/>
  <c r="AH76" i="27" s="1"/>
  <c r="Q72" i="27"/>
  <c r="AD72" i="27"/>
  <c r="AE72" i="27" s="1"/>
  <c r="AH72" i="27" s="1"/>
  <c r="Q54" i="27"/>
  <c r="AD54" i="27"/>
  <c r="AE54" i="27" s="1"/>
  <c r="AH54" i="27" s="1"/>
  <c r="Q53" i="27"/>
  <c r="AD53" i="27"/>
  <c r="AE53" i="27" s="1"/>
  <c r="AH53" i="27" s="1"/>
  <c r="Q77" i="27"/>
  <c r="AD77" i="27"/>
  <c r="AE77" i="27" s="1"/>
  <c r="AH77" i="27" s="1"/>
  <c r="Q73" i="27"/>
  <c r="AD73" i="27"/>
  <c r="AE73" i="27" s="1"/>
  <c r="AH73" i="27" s="1"/>
  <c r="Q55" i="27"/>
  <c r="AD55" i="27"/>
  <c r="AE55" i="27" s="1"/>
  <c r="AH55" i="27" s="1"/>
  <c r="I52" i="27"/>
  <c r="I53" i="27"/>
  <c r="I77" i="27"/>
  <c r="I73" i="27"/>
  <c r="I55" i="27"/>
  <c r="I74" i="27"/>
  <c r="I56" i="27"/>
  <c r="I50" i="27"/>
  <c r="I51" i="27"/>
  <c r="I75" i="27"/>
  <c r="I78" i="27"/>
  <c r="I76" i="27"/>
  <c r="I72" i="27"/>
  <c r="I54" i="27"/>
  <c r="E14" i="27"/>
  <c r="R14" i="27" s="1"/>
  <c r="E15" i="27"/>
  <c r="R15" i="27" s="1"/>
  <c r="E16" i="27"/>
  <c r="R16" i="27" s="1"/>
  <c r="E17" i="27"/>
  <c r="R17" i="27" s="1"/>
  <c r="E18" i="27"/>
  <c r="R18" i="27" s="1"/>
  <c r="E19" i="27"/>
  <c r="R19" i="27" s="1"/>
  <c r="E20" i="27"/>
  <c r="R20" i="27" s="1"/>
  <c r="E21" i="27"/>
  <c r="R21" i="27" s="1"/>
  <c r="E22" i="27"/>
  <c r="R22" i="27" s="1"/>
  <c r="E23" i="27"/>
  <c r="R23" i="27" s="1"/>
  <c r="E24" i="27"/>
  <c r="R24" i="27" s="1"/>
  <c r="E25" i="27"/>
  <c r="R25" i="27" s="1"/>
  <c r="E26" i="27"/>
  <c r="R26" i="27" s="1"/>
  <c r="E27" i="27"/>
  <c r="R27" i="27" s="1"/>
  <c r="E28" i="27"/>
  <c r="R28" i="27" s="1"/>
  <c r="E29" i="27"/>
  <c r="R29" i="27" s="1"/>
  <c r="E30" i="27"/>
  <c r="R30" i="27" s="1"/>
  <c r="E31" i="27"/>
  <c r="R31" i="27" s="1"/>
  <c r="E32" i="27"/>
  <c r="R32" i="27" s="1"/>
  <c r="E33" i="27"/>
  <c r="R33" i="27" s="1"/>
  <c r="E34" i="27"/>
  <c r="R34" i="27" s="1"/>
  <c r="E35" i="27"/>
  <c r="R35" i="27" s="1"/>
  <c r="E36" i="27"/>
  <c r="R36" i="27" s="1"/>
  <c r="E37" i="27"/>
  <c r="R37" i="27" s="1"/>
  <c r="E38" i="27"/>
  <c r="R38" i="27" s="1"/>
  <c r="E39" i="27"/>
  <c r="R39" i="27" s="1"/>
  <c r="E40" i="27"/>
  <c r="R40" i="27" s="1"/>
  <c r="E41" i="27"/>
  <c r="R41" i="27" s="1"/>
  <c r="E42" i="27"/>
  <c r="R42" i="27" s="1"/>
  <c r="E43" i="27"/>
  <c r="R43" i="27" s="1"/>
  <c r="E44" i="27"/>
  <c r="R44" i="27" s="1"/>
  <c r="E45" i="27"/>
  <c r="R45" i="27" s="1"/>
  <c r="E46" i="27"/>
  <c r="R46" i="27" s="1"/>
  <c r="E47" i="27"/>
  <c r="R47" i="27" s="1"/>
  <c r="E48" i="27"/>
  <c r="R48" i="27" s="1"/>
  <c r="E49" i="27"/>
  <c r="R49" i="27" s="1"/>
  <c r="E69" i="27"/>
  <c r="R69" i="27" s="1"/>
  <c r="E70" i="27"/>
  <c r="R70" i="27" s="1"/>
  <c r="E71" i="27"/>
  <c r="R71" i="27" s="1"/>
  <c r="E79" i="27"/>
  <c r="R79" i="27" s="1"/>
  <c r="E80" i="27"/>
  <c r="R80" i="27" s="1"/>
  <c r="E81" i="27"/>
  <c r="R81" i="27" s="1"/>
  <c r="E82" i="27"/>
  <c r="R82" i="27" s="1"/>
  <c r="E83" i="27"/>
  <c r="R83" i="27" s="1"/>
  <c r="E84" i="27"/>
  <c r="R84" i="27" s="1"/>
  <c r="E85" i="27"/>
  <c r="R85" i="27" s="1"/>
  <c r="E86" i="27"/>
  <c r="R86" i="27" s="1"/>
  <c r="E87" i="27"/>
  <c r="R87" i="27" s="1"/>
  <c r="E88" i="27"/>
  <c r="R88" i="27" s="1"/>
  <c r="E89" i="27"/>
  <c r="R89" i="27" s="1"/>
  <c r="E90" i="27"/>
  <c r="R90" i="27" s="1"/>
  <c r="E91" i="27"/>
  <c r="R91" i="27" s="1"/>
  <c r="E92" i="27"/>
  <c r="R92" i="27" s="1"/>
  <c r="E93" i="27"/>
  <c r="R93" i="27" s="1"/>
  <c r="E94" i="27"/>
  <c r="R94" i="27" s="1"/>
  <c r="E95" i="27"/>
  <c r="R95" i="27" s="1"/>
  <c r="E96" i="27"/>
  <c r="R96" i="27" s="1"/>
  <c r="E13" i="27"/>
  <c r="R13" i="27" s="1"/>
  <c r="D14" i="27"/>
  <c r="S14" i="27" s="1"/>
  <c r="D15" i="27"/>
  <c r="S15" i="27" s="1"/>
  <c r="D16" i="27"/>
  <c r="S16" i="27" s="1"/>
  <c r="D17" i="27"/>
  <c r="S17" i="27" s="1"/>
  <c r="D18" i="27"/>
  <c r="S18" i="27" s="1"/>
  <c r="D19" i="27"/>
  <c r="S19" i="27" s="1"/>
  <c r="D20" i="27"/>
  <c r="S20" i="27" s="1"/>
  <c r="D21" i="27"/>
  <c r="S21" i="27" s="1"/>
  <c r="D22" i="27"/>
  <c r="S22" i="27" s="1"/>
  <c r="D23" i="27"/>
  <c r="S23" i="27" s="1"/>
  <c r="D24" i="27"/>
  <c r="S24" i="27" s="1"/>
  <c r="D25" i="27"/>
  <c r="S25" i="27" s="1"/>
  <c r="D26" i="27"/>
  <c r="S26" i="27" s="1"/>
  <c r="D27" i="27"/>
  <c r="S27" i="27" s="1"/>
  <c r="D28" i="27"/>
  <c r="S28" i="27" s="1"/>
  <c r="D29" i="27"/>
  <c r="S29" i="27" s="1"/>
  <c r="D30" i="27"/>
  <c r="S30" i="27" s="1"/>
  <c r="D31" i="27"/>
  <c r="S31" i="27" s="1"/>
  <c r="D32" i="27"/>
  <c r="S32" i="27" s="1"/>
  <c r="D33" i="27"/>
  <c r="S33" i="27" s="1"/>
  <c r="D34" i="27"/>
  <c r="S34" i="27" s="1"/>
  <c r="D35" i="27"/>
  <c r="S35" i="27" s="1"/>
  <c r="D36" i="27"/>
  <c r="S36" i="27" s="1"/>
  <c r="D37" i="27"/>
  <c r="S37" i="27" s="1"/>
  <c r="D38" i="27"/>
  <c r="S38" i="27" s="1"/>
  <c r="D39" i="27"/>
  <c r="S39" i="27" s="1"/>
  <c r="D40" i="27"/>
  <c r="S40" i="27" s="1"/>
  <c r="D41" i="27"/>
  <c r="S41" i="27" s="1"/>
  <c r="D42" i="27"/>
  <c r="S42" i="27" s="1"/>
  <c r="D43" i="27"/>
  <c r="S43" i="27" s="1"/>
  <c r="D44" i="27"/>
  <c r="S44" i="27" s="1"/>
  <c r="D45" i="27"/>
  <c r="S45" i="27" s="1"/>
  <c r="D46" i="27"/>
  <c r="S46" i="27" s="1"/>
  <c r="D47" i="27"/>
  <c r="S47" i="27" s="1"/>
  <c r="D48" i="27"/>
  <c r="S48" i="27" s="1"/>
  <c r="D49" i="27"/>
  <c r="S49" i="27" s="1"/>
  <c r="D69" i="27"/>
  <c r="S69" i="27" s="1"/>
  <c r="D70" i="27"/>
  <c r="S70" i="27" s="1"/>
  <c r="D71" i="27"/>
  <c r="S71" i="27" s="1"/>
  <c r="D79" i="27"/>
  <c r="S79" i="27" s="1"/>
  <c r="D80" i="27"/>
  <c r="S80" i="27" s="1"/>
  <c r="D81" i="27"/>
  <c r="S81" i="27" s="1"/>
  <c r="D82" i="27"/>
  <c r="S82" i="27" s="1"/>
  <c r="D83" i="27"/>
  <c r="S83" i="27" s="1"/>
  <c r="D84" i="27"/>
  <c r="S84" i="27" s="1"/>
  <c r="D85" i="27"/>
  <c r="S85" i="27" s="1"/>
  <c r="D86" i="27"/>
  <c r="S86" i="27" s="1"/>
  <c r="D87" i="27"/>
  <c r="S87" i="27" s="1"/>
  <c r="D88" i="27"/>
  <c r="S88" i="27" s="1"/>
  <c r="D89" i="27"/>
  <c r="S89" i="27" s="1"/>
  <c r="D90" i="27"/>
  <c r="S90" i="27" s="1"/>
  <c r="D91" i="27"/>
  <c r="S91" i="27" s="1"/>
  <c r="D92" i="27"/>
  <c r="S92" i="27" s="1"/>
  <c r="D93" i="27"/>
  <c r="S93" i="27" s="1"/>
  <c r="D94" i="27"/>
  <c r="S94" i="27" s="1"/>
  <c r="D95" i="27"/>
  <c r="S95" i="27" s="1"/>
  <c r="D96" i="27"/>
  <c r="S96" i="27" s="1"/>
  <c r="D13" i="27"/>
  <c r="S13" i="27" s="1"/>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69" i="27"/>
  <c r="C70" i="27"/>
  <c r="C71" i="27"/>
  <c r="C79" i="27"/>
  <c r="C80" i="27"/>
  <c r="C81" i="27"/>
  <c r="C82" i="27"/>
  <c r="C83" i="27"/>
  <c r="C84" i="27"/>
  <c r="C85" i="27"/>
  <c r="C86" i="27"/>
  <c r="C87" i="27"/>
  <c r="C88" i="27"/>
  <c r="C89" i="27"/>
  <c r="C90" i="27"/>
  <c r="C91" i="27"/>
  <c r="C92" i="27"/>
  <c r="C93" i="27"/>
  <c r="C94" i="27"/>
  <c r="C95" i="27"/>
  <c r="C96" i="27"/>
  <c r="C13" i="27"/>
  <c r="Q13" i="27" l="1"/>
  <c r="AD13" i="27"/>
  <c r="Q89" i="27"/>
  <c r="AD89" i="27"/>
  <c r="AE89" i="27" s="1"/>
  <c r="AH89" i="27" s="1"/>
  <c r="Q81" i="27"/>
  <c r="AD81" i="27"/>
  <c r="AE81" i="27" s="1"/>
  <c r="AH81" i="27" s="1"/>
  <c r="Q47" i="27"/>
  <c r="AD47" i="27"/>
  <c r="AE47" i="27" s="1"/>
  <c r="AH47" i="27" s="1"/>
  <c r="Q43" i="27"/>
  <c r="AD43" i="27"/>
  <c r="AE43" i="27" s="1"/>
  <c r="AH43" i="27" s="1"/>
  <c r="Q35" i="27"/>
  <c r="AD35" i="27"/>
  <c r="AE35" i="27" s="1"/>
  <c r="AH35" i="27" s="1"/>
  <c r="Q27" i="27"/>
  <c r="AD27" i="27"/>
  <c r="AE27" i="27" s="1"/>
  <c r="AH27" i="27" s="1"/>
  <c r="Q19" i="27"/>
  <c r="AD19" i="27"/>
  <c r="AE19" i="27" s="1"/>
  <c r="AH19" i="27" s="1"/>
  <c r="Q15" i="27"/>
  <c r="AD15" i="27"/>
  <c r="AE15" i="27" s="1"/>
  <c r="AH15" i="27" s="1"/>
  <c r="Q96" i="27"/>
  <c r="AD96" i="27"/>
  <c r="AE96" i="27" s="1"/>
  <c r="AH96" i="27" s="1"/>
  <c r="Q88" i="27"/>
  <c r="AD88" i="27"/>
  <c r="AE88" i="27" s="1"/>
  <c r="AH88" i="27" s="1"/>
  <c r="Q80" i="27"/>
  <c r="AD80" i="27"/>
  <c r="AE80" i="27" s="1"/>
  <c r="AH80" i="27" s="1"/>
  <c r="Q69" i="27"/>
  <c r="AD69" i="27"/>
  <c r="AE69" i="27" s="1"/>
  <c r="AH69" i="27" s="1"/>
  <c r="Q42" i="27"/>
  <c r="AD42" i="27"/>
  <c r="AE42" i="27" s="1"/>
  <c r="AH42" i="27" s="1"/>
  <c r="Q34" i="27"/>
  <c r="AD34" i="27"/>
  <c r="AE34" i="27" s="1"/>
  <c r="AH34" i="27" s="1"/>
  <c r="Q30" i="27"/>
  <c r="AD30" i="27"/>
  <c r="AE30" i="27" s="1"/>
  <c r="AH30" i="27" s="1"/>
  <c r="Q22" i="27"/>
  <c r="AD22" i="27"/>
  <c r="AE22" i="27" s="1"/>
  <c r="AH22" i="27" s="1"/>
  <c r="Q18" i="27"/>
  <c r="AD18" i="27"/>
  <c r="AE18" i="27" s="1"/>
  <c r="AH18" i="27" s="1"/>
  <c r="Q14" i="27"/>
  <c r="AD14" i="27"/>
  <c r="AE14" i="27" s="1"/>
  <c r="AH14" i="27" s="1"/>
  <c r="Q95" i="27"/>
  <c r="AD95" i="27"/>
  <c r="AE95" i="27" s="1"/>
  <c r="AH95" i="27" s="1"/>
  <c r="Q91" i="27"/>
  <c r="AD91" i="27"/>
  <c r="AE91" i="27" s="1"/>
  <c r="AH91" i="27" s="1"/>
  <c r="Q87" i="27"/>
  <c r="AD87" i="27"/>
  <c r="AE87" i="27" s="1"/>
  <c r="AH87" i="27" s="1"/>
  <c r="Q83" i="27"/>
  <c r="AD83" i="27"/>
  <c r="AE83" i="27" s="1"/>
  <c r="AH83" i="27" s="1"/>
  <c r="Q79" i="27"/>
  <c r="AD79" i="27"/>
  <c r="AE79" i="27" s="1"/>
  <c r="AH79" i="27" s="1"/>
  <c r="Q49" i="27"/>
  <c r="AD49" i="27"/>
  <c r="AE49" i="27" s="1"/>
  <c r="AH49" i="27" s="1"/>
  <c r="Q45" i="27"/>
  <c r="AD45" i="27"/>
  <c r="AE45" i="27" s="1"/>
  <c r="AH45" i="27" s="1"/>
  <c r="Q41" i="27"/>
  <c r="AD41" i="27"/>
  <c r="AE41" i="27" s="1"/>
  <c r="AH41" i="27" s="1"/>
  <c r="Q37" i="27"/>
  <c r="AD37" i="27"/>
  <c r="AE37" i="27" s="1"/>
  <c r="AH37" i="27" s="1"/>
  <c r="Q33" i="27"/>
  <c r="AD33" i="27"/>
  <c r="AE33" i="27" s="1"/>
  <c r="AH33" i="27" s="1"/>
  <c r="Q29" i="27"/>
  <c r="AD29" i="27"/>
  <c r="AE29" i="27" s="1"/>
  <c r="AH29" i="27" s="1"/>
  <c r="Q25" i="27"/>
  <c r="AD25" i="27"/>
  <c r="AE25" i="27" s="1"/>
  <c r="AH25" i="27" s="1"/>
  <c r="Q21" i="27"/>
  <c r="AD21" i="27"/>
  <c r="AE21" i="27" s="1"/>
  <c r="AH21" i="27" s="1"/>
  <c r="Q17" i="27"/>
  <c r="AD17" i="27"/>
  <c r="AE17" i="27" s="1"/>
  <c r="AH17" i="27" s="1"/>
  <c r="Q93" i="27"/>
  <c r="AD93" i="27"/>
  <c r="AE93" i="27" s="1"/>
  <c r="AH93" i="27" s="1"/>
  <c r="Q85" i="27"/>
  <c r="AD85" i="27"/>
  <c r="AE85" i="27" s="1"/>
  <c r="AH85" i="27" s="1"/>
  <c r="Q70" i="27"/>
  <c r="AD70" i="27"/>
  <c r="AE70" i="27" s="1"/>
  <c r="AH70" i="27" s="1"/>
  <c r="Q39" i="27"/>
  <c r="AD39" i="27"/>
  <c r="AE39" i="27" s="1"/>
  <c r="AH39" i="27" s="1"/>
  <c r="Q31" i="27"/>
  <c r="AD31" i="27"/>
  <c r="AE31" i="27" s="1"/>
  <c r="AH31" i="27" s="1"/>
  <c r="Q23" i="27"/>
  <c r="AD23" i="27"/>
  <c r="AE23" i="27" s="1"/>
  <c r="AH23" i="27" s="1"/>
  <c r="Q92" i="27"/>
  <c r="AD92" i="27"/>
  <c r="AE92" i="27" s="1"/>
  <c r="AH92" i="27" s="1"/>
  <c r="Q84" i="27"/>
  <c r="AD84" i="27"/>
  <c r="AE84" i="27" s="1"/>
  <c r="AH84" i="27" s="1"/>
  <c r="Q46" i="27"/>
  <c r="AD46" i="27"/>
  <c r="AE46" i="27" s="1"/>
  <c r="AH46" i="27" s="1"/>
  <c r="Q38" i="27"/>
  <c r="AD38" i="27"/>
  <c r="AE38" i="27" s="1"/>
  <c r="AH38" i="27" s="1"/>
  <c r="Q26" i="27"/>
  <c r="AD26" i="27"/>
  <c r="AE26" i="27" s="1"/>
  <c r="AH26" i="27" s="1"/>
  <c r="Q94" i="27"/>
  <c r="AD94" i="27"/>
  <c r="AE94" i="27" s="1"/>
  <c r="AH94" i="27" s="1"/>
  <c r="Q90" i="27"/>
  <c r="AD90" i="27"/>
  <c r="AE90" i="27" s="1"/>
  <c r="AH90" i="27" s="1"/>
  <c r="Q86" i="27"/>
  <c r="AD86" i="27"/>
  <c r="AE86" i="27" s="1"/>
  <c r="AH86" i="27" s="1"/>
  <c r="Q82" i="27"/>
  <c r="AD82" i="27"/>
  <c r="AE82" i="27" s="1"/>
  <c r="AH82" i="27" s="1"/>
  <c r="Q71" i="27"/>
  <c r="AD71" i="27"/>
  <c r="AE71" i="27" s="1"/>
  <c r="AH71" i="27" s="1"/>
  <c r="Q48" i="27"/>
  <c r="AD48" i="27"/>
  <c r="AE48" i="27" s="1"/>
  <c r="AH48" i="27" s="1"/>
  <c r="Q44" i="27"/>
  <c r="AD44" i="27"/>
  <c r="AE44" i="27" s="1"/>
  <c r="AH44" i="27" s="1"/>
  <c r="Q40" i="27"/>
  <c r="AD40" i="27"/>
  <c r="AE40" i="27" s="1"/>
  <c r="AH40" i="27" s="1"/>
  <c r="Q36" i="27"/>
  <c r="AD36" i="27"/>
  <c r="AE36" i="27" s="1"/>
  <c r="AH36" i="27" s="1"/>
  <c r="Q32" i="27"/>
  <c r="AD32" i="27"/>
  <c r="AE32" i="27" s="1"/>
  <c r="AH32" i="27" s="1"/>
  <c r="Q28" i="27"/>
  <c r="AD28" i="27"/>
  <c r="AE28" i="27" s="1"/>
  <c r="AH28" i="27" s="1"/>
  <c r="Q24" i="27"/>
  <c r="AD24" i="27"/>
  <c r="AE24" i="27" s="1"/>
  <c r="AH24" i="27" s="1"/>
  <c r="Q20" i="27"/>
  <c r="AD20" i="27"/>
  <c r="AE20" i="27" s="1"/>
  <c r="AH20" i="27" s="1"/>
  <c r="Q16" i="27"/>
  <c r="AD16" i="27"/>
  <c r="AE16" i="27" s="1"/>
  <c r="AH16" i="27" s="1"/>
  <c r="I96" i="27"/>
  <c r="I88" i="27"/>
  <c r="I80" i="27"/>
  <c r="I46" i="27"/>
  <c r="I38" i="27"/>
  <c r="I30" i="27"/>
  <c r="I22" i="27"/>
  <c r="I18" i="27"/>
  <c r="I95" i="27"/>
  <c r="I91" i="27"/>
  <c r="I87" i="27"/>
  <c r="I83" i="27"/>
  <c r="I79" i="27"/>
  <c r="I49" i="27"/>
  <c r="I45" i="27"/>
  <c r="I41" i="27"/>
  <c r="I37" i="27"/>
  <c r="I33" i="27"/>
  <c r="I29" i="27"/>
  <c r="I25" i="27"/>
  <c r="I21" i="27"/>
  <c r="I17" i="27"/>
  <c r="I90" i="27"/>
  <c r="I82" i="27"/>
  <c r="I48" i="27"/>
  <c r="I40" i="27"/>
  <c r="I32" i="27"/>
  <c r="I24" i="27"/>
  <c r="I86" i="27"/>
  <c r="I71" i="27"/>
  <c r="I44" i="27"/>
  <c r="I36" i="27"/>
  <c r="I28" i="27"/>
  <c r="I20" i="27"/>
  <c r="I16" i="27"/>
  <c r="I13" i="27"/>
  <c r="I93" i="27"/>
  <c r="I89" i="27"/>
  <c r="I85" i="27"/>
  <c r="I81" i="27"/>
  <c r="I70" i="27"/>
  <c r="I47" i="27"/>
  <c r="I43" i="27"/>
  <c r="I39" i="27"/>
  <c r="I35" i="27"/>
  <c r="I31" i="27"/>
  <c r="I27" i="27"/>
  <c r="I23" i="27"/>
  <c r="I19" i="27"/>
  <c r="I15" i="27"/>
  <c r="I94" i="27"/>
  <c r="I92" i="27"/>
  <c r="I84" i="27"/>
  <c r="I69" i="27"/>
  <c r="I42" i="27"/>
  <c r="I34" i="27"/>
  <c r="I26" i="27"/>
  <c r="I14" i="27"/>
  <c r="D3" i="27"/>
  <c r="I33" i="16" l="1"/>
  <c r="A379" i="2" l="1"/>
  <c r="D336" i="2" l="1"/>
  <c r="D335" i="2"/>
  <c r="B336" i="2"/>
  <c r="B335" i="2"/>
  <c r="K37" i="1" l="1"/>
  <c r="P37" i="1"/>
  <c r="K35" i="1"/>
  <c r="K38" i="1"/>
  <c r="D70" i="1" l="1"/>
  <c r="U15" i="2"/>
  <c r="B397" i="2" s="1"/>
  <c r="B310" i="2" l="1"/>
  <c r="A2" i="19"/>
  <c r="A2" i="24"/>
  <c r="F6" i="24"/>
  <c r="Z8" i="2" l="1"/>
  <c r="K8" i="2"/>
  <c r="B12" i="2" l="1"/>
  <c r="A43" i="16"/>
  <c r="B137" i="2" l="1"/>
  <c r="J11" i="2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417" i="2" l="1"/>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B11" i="2"/>
  <c r="U13" i="2"/>
  <c r="Z9" i="2" s="1"/>
  <c r="B173" i="2"/>
  <c r="B174" i="2" s="1"/>
  <c r="R17" i="8" s="1"/>
  <c r="B93" i="2"/>
  <c r="E407" i="2" l="1"/>
  <c r="C407" i="2"/>
  <c r="D148" i="2"/>
  <c r="L17" i="2"/>
  <c r="L33" i="2"/>
  <c r="A2" i="22" s="1"/>
  <c r="C444" i="2"/>
  <c r="B16" i="2"/>
  <c r="K9" i="2"/>
  <c r="D395" i="2"/>
  <c r="D397" i="2"/>
  <c r="D381" i="2"/>
  <c r="D379" i="2"/>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L21" i="2"/>
  <c r="G3" i="8"/>
  <c r="D67" i="1" l="1"/>
  <c r="B417" i="2"/>
  <c r="B255" i="2"/>
  <c r="B267" i="2" s="1"/>
  <c r="Q3" i="17" s="1"/>
  <c r="O13" i="17" s="1"/>
  <c r="A419" i="2"/>
  <c r="D65" i="1"/>
  <c r="D419" i="2"/>
  <c r="D66" i="1" s="1"/>
  <c r="D418" i="2"/>
  <c r="C416" i="2"/>
  <c r="B268" i="2" l="1"/>
  <c r="B264" i="2"/>
  <c r="I3" i="8"/>
  <c r="R8" i="8"/>
  <c r="S8" i="8" s="1"/>
  <c r="R36" i="8" s="1"/>
  <c r="B60" i="21"/>
  <c r="B55" i="21"/>
  <c r="B35" i="21"/>
  <c r="B33" i="21"/>
  <c r="B28" i="21"/>
  <c r="B21" i="21"/>
  <c r="B15" i="21"/>
  <c r="Q5" i="17" l="1"/>
  <c r="S36" i="8"/>
  <c r="D351" i="2"/>
  <c r="D350" i="2"/>
  <c r="D345" i="2"/>
  <c r="D343" i="2"/>
  <c r="D342" i="2"/>
  <c r="B53" i="21" s="1"/>
  <c r="D339" i="2"/>
  <c r="D338" i="2"/>
  <c r="D337" i="2"/>
  <c r="B52" i="21" s="1"/>
  <c r="D334" i="2"/>
  <c r="D333" i="2"/>
  <c r="D332" i="2"/>
  <c r="B51" i="21" s="1"/>
  <c r="D330" i="2"/>
  <c r="B49" i="21" s="1"/>
  <c r="P15" i="17" l="1"/>
  <c r="P31" i="17"/>
  <c r="P47" i="17"/>
  <c r="P63" i="17"/>
  <c r="P20" i="17"/>
  <c r="P36" i="17"/>
  <c r="P52" i="17"/>
  <c r="P68" i="17"/>
  <c r="P84" i="17"/>
  <c r="P100" i="17"/>
  <c r="P116" i="17"/>
  <c r="P132" i="17"/>
  <c r="P148" i="17"/>
  <c r="P164" i="17"/>
  <c r="P180" i="17"/>
  <c r="P196" i="17"/>
  <c r="P212" i="17"/>
  <c r="P228" i="17"/>
  <c r="P244" i="17"/>
  <c r="P260" i="17"/>
  <c r="P276" i="17"/>
  <c r="P292" i="17"/>
  <c r="P308" i="17"/>
  <c r="P324" i="17"/>
  <c r="P340" i="17"/>
  <c r="P17" i="17"/>
  <c r="P33" i="17"/>
  <c r="P49" i="17"/>
  <c r="P65" i="17"/>
  <c r="P81" i="17"/>
  <c r="P97" i="17"/>
  <c r="P113" i="17"/>
  <c r="P129" i="17"/>
  <c r="P145" i="17"/>
  <c r="P161" i="17"/>
  <c r="P177" i="17"/>
  <c r="P193" i="17"/>
  <c r="P209" i="17"/>
  <c r="P225" i="17"/>
  <c r="P241" i="17"/>
  <c r="P257" i="17"/>
  <c r="P273" i="17"/>
  <c r="P289" i="17"/>
  <c r="P305" i="17"/>
  <c r="P321" i="17"/>
  <c r="P337" i="17"/>
  <c r="P353" i="17"/>
  <c r="P30" i="17"/>
  <c r="P46" i="17"/>
  <c r="P62" i="17"/>
  <c r="P78" i="17"/>
  <c r="P94" i="17"/>
  <c r="P110" i="17"/>
  <c r="P126" i="17"/>
  <c r="P142" i="17"/>
  <c r="P158" i="17"/>
  <c r="P174" i="17"/>
  <c r="P190" i="17"/>
  <c r="P206" i="17"/>
  <c r="P222" i="17"/>
  <c r="P238" i="17"/>
  <c r="P254" i="17"/>
  <c r="P270" i="17"/>
  <c r="P286" i="17"/>
  <c r="P302" i="17"/>
  <c r="P318" i="17"/>
  <c r="P334" i="17"/>
  <c r="P107" i="17"/>
  <c r="P171" i="17"/>
  <c r="P235" i="17"/>
  <c r="P299" i="17"/>
  <c r="P351" i="17"/>
  <c r="P369" i="17"/>
  <c r="P385" i="17"/>
  <c r="P401" i="17"/>
  <c r="P417" i="17"/>
  <c r="P433" i="17"/>
  <c r="P449" i="17"/>
  <c r="P465" i="17"/>
  <c r="P481" i="17"/>
  <c r="P497" i="17"/>
  <c r="P513" i="17"/>
  <c r="P529" i="17"/>
  <c r="P545" i="17"/>
  <c r="P561" i="17"/>
  <c r="P19" i="17"/>
  <c r="P35" i="17"/>
  <c r="P51" i="17"/>
  <c r="P67" i="17"/>
  <c r="P24" i="17"/>
  <c r="P40" i="17"/>
  <c r="P56" i="17"/>
  <c r="P72" i="17"/>
  <c r="P88" i="17"/>
  <c r="P104" i="17"/>
  <c r="P120" i="17"/>
  <c r="P136" i="17"/>
  <c r="P152" i="17"/>
  <c r="P168" i="17"/>
  <c r="P184" i="17"/>
  <c r="P200" i="17"/>
  <c r="P216" i="17"/>
  <c r="P232" i="17"/>
  <c r="P248" i="17"/>
  <c r="P264" i="17"/>
  <c r="P280" i="17"/>
  <c r="P296" i="17"/>
  <c r="P312" i="17"/>
  <c r="P328" i="17"/>
  <c r="P344" i="17"/>
  <c r="P21" i="17"/>
  <c r="P37" i="17"/>
  <c r="P53" i="17"/>
  <c r="P69" i="17"/>
  <c r="P85" i="17"/>
  <c r="P101" i="17"/>
  <c r="P117" i="17"/>
  <c r="P133" i="17"/>
  <c r="P149" i="17"/>
  <c r="P165" i="17"/>
  <c r="P181" i="17"/>
  <c r="P197" i="17"/>
  <c r="P213" i="17"/>
  <c r="P229" i="17"/>
  <c r="P245" i="17"/>
  <c r="P261" i="17"/>
  <c r="P277" i="17"/>
  <c r="P293" i="17"/>
  <c r="P309" i="17"/>
  <c r="P325" i="17"/>
  <c r="P341" i="17"/>
  <c r="P18" i="17"/>
  <c r="P34" i="17"/>
  <c r="P50" i="17"/>
  <c r="P66" i="17"/>
  <c r="P82" i="17"/>
  <c r="P98" i="17"/>
  <c r="P114" i="17"/>
  <c r="P130" i="17"/>
  <c r="P146" i="17"/>
  <c r="P162" i="17"/>
  <c r="P178" i="17"/>
  <c r="P194" i="17"/>
  <c r="P210" i="17"/>
  <c r="P226" i="17"/>
  <c r="P242" i="17"/>
  <c r="P23" i="17"/>
  <c r="P39" i="17"/>
  <c r="P55" i="17"/>
  <c r="P71" i="17"/>
  <c r="P28" i="17"/>
  <c r="P44" i="17"/>
  <c r="P60" i="17"/>
  <c r="P76" i="17"/>
  <c r="P92" i="17"/>
  <c r="P108" i="17"/>
  <c r="P124" i="17"/>
  <c r="P140" i="17"/>
  <c r="P156" i="17"/>
  <c r="P172" i="17"/>
  <c r="P188" i="17"/>
  <c r="P204" i="17"/>
  <c r="P220" i="17"/>
  <c r="P236" i="17"/>
  <c r="P252" i="17"/>
  <c r="P268" i="17"/>
  <c r="P284" i="17"/>
  <c r="P300" i="17"/>
  <c r="P316" i="17"/>
  <c r="P332" i="17"/>
  <c r="P348" i="17"/>
  <c r="P25" i="17"/>
  <c r="P41" i="17"/>
  <c r="P57" i="17"/>
  <c r="P73" i="17"/>
  <c r="P89" i="17"/>
  <c r="P105" i="17"/>
  <c r="P121" i="17"/>
  <c r="P137" i="17"/>
  <c r="P153" i="17"/>
  <c r="P169" i="17"/>
  <c r="P185" i="17"/>
  <c r="P201" i="17"/>
  <c r="P217" i="17"/>
  <c r="P233" i="17"/>
  <c r="P249" i="17"/>
  <c r="P265" i="17"/>
  <c r="P281" i="17"/>
  <c r="P297" i="17"/>
  <c r="P313" i="17"/>
  <c r="P329" i="17"/>
  <c r="P345" i="17"/>
  <c r="P22" i="17"/>
  <c r="P38" i="17"/>
  <c r="P54" i="17"/>
  <c r="P70" i="17"/>
  <c r="P86" i="17"/>
  <c r="P102" i="17"/>
  <c r="P118" i="17"/>
  <c r="P134" i="17"/>
  <c r="P150" i="17"/>
  <c r="P166" i="17"/>
  <c r="P182" i="17"/>
  <c r="P198" i="17"/>
  <c r="P214" i="17"/>
  <c r="P230" i="17"/>
  <c r="P246" i="17"/>
  <c r="P262" i="17"/>
  <c r="P278" i="17"/>
  <c r="P294" i="17"/>
  <c r="P310" i="17"/>
  <c r="P326" i="17"/>
  <c r="P75" i="17"/>
  <c r="P139" i="17"/>
  <c r="P203" i="17"/>
  <c r="P267" i="17"/>
  <c r="P331" i="17"/>
  <c r="P361" i="17"/>
  <c r="P377" i="17"/>
  <c r="P393" i="17"/>
  <c r="P409" i="17"/>
  <c r="P425" i="17"/>
  <c r="P441" i="17"/>
  <c r="P457" i="17"/>
  <c r="P473" i="17"/>
  <c r="P489" i="17"/>
  <c r="P505" i="17"/>
  <c r="P521" i="17"/>
  <c r="P537" i="17"/>
  <c r="P553" i="17"/>
  <c r="P27" i="17"/>
  <c r="P32" i="17"/>
  <c r="P96" i="17"/>
  <c r="P160" i="17"/>
  <c r="P224" i="17"/>
  <c r="P288" i="17"/>
  <c r="P352" i="17"/>
  <c r="P77" i="17"/>
  <c r="P141" i="17"/>
  <c r="P205" i="17"/>
  <c r="P269" i="17"/>
  <c r="P333" i="17"/>
  <c r="P58" i="17"/>
  <c r="P122" i="17"/>
  <c r="P186" i="17"/>
  <c r="P250" i="17"/>
  <c r="P282" i="17"/>
  <c r="P314" i="17"/>
  <c r="P91" i="17"/>
  <c r="P219" i="17"/>
  <c r="P343" i="17"/>
  <c r="P381" i="17"/>
  <c r="P413" i="17"/>
  <c r="P445" i="17"/>
  <c r="P477" i="17"/>
  <c r="P509" i="17"/>
  <c r="P541" i="17"/>
  <c r="P569" i="17"/>
  <c r="P585" i="17"/>
  <c r="P601" i="17"/>
  <c r="O16" i="17"/>
  <c r="P127" i="17"/>
  <c r="P191" i="17"/>
  <c r="P255" i="17"/>
  <c r="P319" i="17"/>
  <c r="P358" i="17"/>
  <c r="P374" i="17"/>
  <c r="P390" i="17"/>
  <c r="P406" i="17"/>
  <c r="P422" i="17"/>
  <c r="P438" i="17"/>
  <c r="P454" i="17"/>
  <c r="P470" i="17"/>
  <c r="P486" i="17"/>
  <c r="P502" i="17"/>
  <c r="P518" i="17"/>
  <c r="P534" i="17"/>
  <c r="P550" i="17"/>
  <c r="P566" i="17"/>
  <c r="P582" i="17"/>
  <c r="P131" i="17"/>
  <c r="P195" i="17"/>
  <c r="P259" i="17"/>
  <c r="P323" i="17"/>
  <c r="P359" i="17"/>
  <c r="P375" i="17"/>
  <c r="P391" i="17"/>
  <c r="P407" i="17"/>
  <c r="P423" i="17"/>
  <c r="P439" i="17"/>
  <c r="P455" i="17"/>
  <c r="P471" i="17"/>
  <c r="P487" i="17"/>
  <c r="P503" i="17"/>
  <c r="P519" i="17"/>
  <c r="P535" i="17"/>
  <c r="P551" i="17"/>
  <c r="P567" i="17"/>
  <c r="P583" i="17"/>
  <c r="P599" i="17"/>
  <c r="P279" i="17"/>
  <c r="P396" i="17"/>
  <c r="P460" i="17"/>
  <c r="P524" i="17"/>
  <c r="P586" i="17"/>
  <c r="P612" i="17"/>
  <c r="O29" i="17"/>
  <c r="O45" i="17"/>
  <c r="O61" i="17"/>
  <c r="O77" i="17"/>
  <c r="O93" i="17"/>
  <c r="O109" i="17"/>
  <c r="O125" i="17"/>
  <c r="O141" i="17"/>
  <c r="O157" i="17"/>
  <c r="O173" i="17"/>
  <c r="O189" i="17"/>
  <c r="O205" i="17"/>
  <c r="O221" i="17"/>
  <c r="O237" i="17"/>
  <c r="O253" i="17"/>
  <c r="P43" i="17"/>
  <c r="P48" i="17"/>
  <c r="P112" i="17"/>
  <c r="P176" i="17"/>
  <c r="P240" i="17"/>
  <c r="P304" i="17"/>
  <c r="P29" i="17"/>
  <c r="P93" i="17"/>
  <c r="P157" i="17"/>
  <c r="P221" i="17"/>
  <c r="P285" i="17"/>
  <c r="P349" i="17"/>
  <c r="P74" i="17"/>
  <c r="P138" i="17"/>
  <c r="P202" i="17"/>
  <c r="P258" i="17"/>
  <c r="P290" i="17"/>
  <c r="P322" i="17"/>
  <c r="P123" i="17"/>
  <c r="P251" i="17"/>
  <c r="P357" i="17"/>
  <c r="P389" i="17"/>
  <c r="P421" i="17"/>
  <c r="P453" i="17"/>
  <c r="P485" i="17"/>
  <c r="P517" i="17"/>
  <c r="P549" i="17"/>
  <c r="P573" i="17"/>
  <c r="P589" i="17"/>
  <c r="P605" i="17"/>
  <c r="P79" i="17"/>
  <c r="P143" i="17"/>
  <c r="P207" i="17"/>
  <c r="P271" i="17"/>
  <c r="P335" i="17"/>
  <c r="P362" i="17"/>
  <c r="P378" i="17"/>
  <c r="P394" i="17"/>
  <c r="P410" i="17"/>
  <c r="P426" i="17"/>
  <c r="P442" i="17"/>
  <c r="P458" i="17"/>
  <c r="P474" i="17"/>
  <c r="P490" i="17"/>
  <c r="P506" i="17"/>
  <c r="P522" i="17"/>
  <c r="P538" i="17"/>
  <c r="P554" i="17"/>
  <c r="P570" i="17"/>
  <c r="P83" i="17"/>
  <c r="P147" i="17"/>
  <c r="P211" i="17"/>
  <c r="P275" i="17"/>
  <c r="P339" i="17"/>
  <c r="P363" i="17"/>
  <c r="P379" i="17"/>
  <c r="P395" i="17"/>
  <c r="P411" i="17"/>
  <c r="P427" i="17"/>
  <c r="P443" i="17"/>
  <c r="P459" i="17"/>
  <c r="P475" i="17"/>
  <c r="P491" i="17"/>
  <c r="P507" i="17"/>
  <c r="P523" i="17"/>
  <c r="P539" i="17"/>
  <c r="P555" i="17"/>
  <c r="P571" i="17"/>
  <c r="P587" i="17"/>
  <c r="P59" i="17"/>
  <c r="P64" i="17"/>
  <c r="P128" i="17"/>
  <c r="P192" i="17"/>
  <c r="P256" i="17"/>
  <c r="P320" i="17"/>
  <c r="P45" i="17"/>
  <c r="P109" i="17"/>
  <c r="P173" i="17"/>
  <c r="P237" i="17"/>
  <c r="P301" i="17"/>
  <c r="P26" i="17"/>
  <c r="P90" i="17"/>
  <c r="P154" i="17"/>
  <c r="P218" i="17"/>
  <c r="P266" i="17"/>
  <c r="P298" i="17"/>
  <c r="P330" i="17"/>
  <c r="P155" i="17"/>
  <c r="P283" i="17"/>
  <c r="P365" i="17"/>
  <c r="P397" i="17"/>
  <c r="P429" i="17"/>
  <c r="P461" i="17"/>
  <c r="P493" i="17"/>
  <c r="P525" i="17"/>
  <c r="P557" i="17"/>
  <c r="P577" i="17"/>
  <c r="P593" i="17"/>
  <c r="P609" i="17"/>
  <c r="P95" i="17"/>
  <c r="P159" i="17"/>
  <c r="P223" i="17"/>
  <c r="P287" i="17"/>
  <c r="P346" i="17"/>
  <c r="P366" i="17"/>
  <c r="P382" i="17"/>
  <c r="P398" i="17"/>
  <c r="P414" i="17"/>
  <c r="P430" i="17"/>
  <c r="P446" i="17"/>
  <c r="P462" i="17"/>
  <c r="P478" i="17"/>
  <c r="P494" i="17"/>
  <c r="P510" i="17"/>
  <c r="P526" i="17"/>
  <c r="P542" i="17"/>
  <c r="P558" i="17"/>
  <c r="P574" i="17"/>
  <c r="P99" i="17"/>
  <c r="P163" i="17"/>
  <c r="P227" i="17"/>
  <c r="P291" i="17"/>
  <c r="P347" i="17"/>
  <c r="P367" i="17"/>
  <c r="P383" i="17"/>
  <c r="P399" i="17"/>
  <c r="P415" i="17"/>
  <c r="P431" i="17"/>
  <c r="P447" i="17"/>
  <c r="P463" i="17"/>
  <c r="P479" i="17"/>
  <c r="P495" i="17"/>
  <c r="P511" i="17"/>
  <c r="P527" i="17"/>
  <c r="P543" i="17"/>
  <c r="P559" i="17"/>
  <c r="P575" i="17"/>
  <c r="P591" i="17"/>
  <c r="P151" i="17"/>
  <c r="P364" i="17"/>
  <c r="P428" i="17"/>
  <c r="P492" i="17"/>
  <c r="P556" i="17"/>
  <c r="P602" i="17"/>
  <c r="O21" i="17"/>
  <c r="O37" i="17"/>
  <c r="O53" i="17"/>
  <c r="O69" i="17"/>
  <c r="O85" i="17"/>
  <c r="O101" i="17"/>
  <c r="O117" i="17"/>
  <c r="O133" i="17"/>
  <c r="O149" i="17"/>
  <c r="O165" i="17"/>
  <c r="P16" i="17"/>
  <c r="P272" i="17"/>
  <c r="P189" i="17"/>
  <c r="P106" i="17"/>
  <c r="P306" i="17"/>
  <c r="P373" i="17"/>
  <c r="P501" i="17"/>
  <c r="P597" i="17"/>
  <c r="P239" i="17"/>
  <c r="P386" i="17"/>
  <c r="P450" i="17"/>
  <c r="P514" i="17"/>
  <c r="P578" i="17"/>
  <c r="P307" i="17"/>
  <c r="P403" i="17"/>
  <c r="P467" i="17"/>
  <c r="P531" i="17"/>
  <c r="P595" i="17"/>
  <c r="P380" i="17"/>
  <c r="P508" i="17"/>
  <c r="P607" i="17"/>
  <c r="O41" i="17"/>
  <c r="O73" i="17"/>
  <c r="O105" i="17"/>
  <c r="O137" i="17"/>
  <c r="O169" i="17"/>
  <c r="O193" i="17"/>
  <c r="O213" i="17"/>
  <c r="O233" i="17"/>
  <c r="O257" i="17"/>
  <c r="O273" i="17"/>
  <c r="O289" i="17"/>
  <c r="O305" i="17"/>
  <c r="O321" i="17"/>
  <c r="O337" i="17"/>
  <c r="P103" i="17"/>
  <c r="P350" i="17"/>
  <c r="P416" i="17"/>
  <c r="P480" i="17"/>
  <c r="P544" i="17"/>
  <c r="P596" i="17"/>
  <c r="O18" i="17"/>
  <c r="O34" i="17"/>
  <c r="O50" i="17"/>
  <c r="O66" i="17"/>
  <c r="O82" i="17"/>
  <c r="O98" i="17"/>
  <c r="O114" i="17"/>
  <c r="O130" i="17"/>
  <c r="O146" i="17"/>
  <c r="O162" i="17"/>
  <c r="O178" i="17"/>
  <c r="O194" i="17"/>
  <c r="O210" i="17"/>
  <c r="O226" i="17"/>
  <c r="O242" i="17"/>
  <c r="O258" i="17"/>
  <c r="O274" i="17"/>
  <c r="O290" i="17"/>
  <c r="O306" i="17"/>
  <c r="P183" i="17"/>
  <c r="P372" i="17"/>
  <c r="P436" i="17"/>
  <c r="P500" i="17"/>
  <c r="P564" i="17"/>
  <c r="P604" i="17"/>
  <c r="O23" i="17"/>
  <c r="O39" i="17"/>
  <c r="O55" i="17"/>
  <c r="O71" i="17"/>
  <c r="P80" i="17"/>
  <c r="P336" i="17"/>
  <c r="P253" i="17"/>
  <c r="P170" i="17"/>
  <c r="P338" i="17"/>
  <c r="P405" i="17"/>
  <c r="P533" i="17"/>
  <c r="P613" i="17"/>
  <c r="P303" i="17"/>
  <c r="P402" i="17"/>
  <c r="P466" i="17"/>
  <c r="P530" i="17"/>
  <c r="P115" i="17"/>
  <c r="P355" i="17"/>
  <c r="P419" i="17"/>
  <c r="P483" i="17"/>
  <c r="P547" i="17"/>
  <c r="P87" i="17"/>
  <c r="P412" i="17"/>
  <c r="P540" i="17"/>
  <c r="O17" i="17"/>
  <c r="O49" i="17"/>
  <c r="O81" i="17"/>
  <c r="O113" i="17"/>
  <c r="O145" i="17"/>
  <c r="O177" i="17"/>
  <c r="O197" i="17"/>
  <c r="O217" i="17"/>
  <c r="O241" i="17"/>
  <c r="O261" i="17"/>
  <c r="O277" i="17"/>
  <c r="O293" i="17"/>
  <c r="O309" i="17"/>
  <c r="O325" i="17"/>
  <c r="O341" i="17"/>
  <c r="P167" i="17"/>
  <c r="P368" i="17"/>
  <c r="P432" i="17"/>
  <c r="P496" i="17"/>
  <c r="P560" i="17"/>
  <c r="P603" i="17"/>
  <c r="O22" i="17"/>
  <c r="O38" i="17"/>
  <c r="O54" i="17"/>
  <c r="O70" i="17"/>
  <c r="O86" i="17"/>
  <c r="O102" i="17"/>
  <c r="O118" i="17"/>
  <c r="O134" i="17"/>
  <c r="O150" i="17"/>
  <c r="O166" i="17"/>
  <c r="O182" i="17"/>
  <c r="O198" i="17"/>
  <c r="O214" i="17"/>
  <c r="O230" i="17"/>
  <c r="O246" i="17"/>
  <c r="O262" i="17"/>
  <c r="O278" i="17"/>
  <c r="O294" i="17"/>
  <c r="O310" i="17"/>
  <c r="P247" i="17"/>
  <c r="P388" i="17"/>
  <c r="P452" i="17"/>
  <c r="P516" i="17"/>
  <c r="P580" i="17"/>
  <c r="P610" i="17"/>
  <c r="O27" i="17"/>
  <c r="O43" i="17"/>
  <c r="O59" i="17"/>
  <c r="O75" i="17"/>
  <c r="O91" i="17"/>
  <c r="O107" i="17"/>
  <c r="O123" i="17"/>
  <c r="O139" i="17"/>
  <c r="O155" i="17"/>
  <c r="O171" i="17"/>
  <c r="O187" i="17"/>
  <c r="O203" i="17"/>
  <c r="O219" i="17"/>
  <c r="O235" i="17"/>
  <c r="O251" i="17"/>
  <c r="P360" i="17"/>
  <c r="P600" i="17"/>
  <c r="O68" i="17"/>
  <c r="O132" i="17"/>
  <c r="P144" i="17"/>
  <c r="P61" i="17"/>
  <c r="P317" i="17"/>
  <c r="P234" i="17"/>
  <c r="P187" i="17"/>
  <c r="P437" i="17"/>
  <c r="P565" i="17"/>
  <c r="P111" i="17"/>
  <c r="P354" i="17"/>
  <c r="P418" i="17"/>
  <c r="P482" i="17"/>
  <c r="P546" i="17"/>
  <c r="P179" i="17"/>
  <c r="P371" i="17"/>
  <c r="P435" i="17"/>
  <c r="P499" i="17"/>
  <c r="P563" i="17"/>
  <c r="P215" i="17"/>
  <c r="P444" i="17"/>
  <c r="P572" i="17"/>
  <c r="O25" i="17"/>
  <c r="O57" i="17"/>
  <c r="O89" i="17"/>
  <c r="O121" i="17"/>
  <c r="O153" i="17"/>
  <c r="O181" i="17"/>
  <c r="O201" i="17"/>
  <c r="O225" i="17"/>
  <c r="O245" i="17"/>
  <c r="O265" i="17"/>
  <c r="O281" i="17"/>
  <c r="O297" i="17"/>
  <c r="O313" i="17"/>
  <c r="O329" i="17"/>
  <c r="O345" i="17"/>
  <c r="P231" i="17"/>
  <c r="P384" i="17"/>
  <c r="P448" i="17"/>
  <c r="P512" i="17"/>
  <c r="P576" i="17"/>
  <c r="P608" i="17"/>
  <c r="O26" i="17"/>
  <c r="O42" i="17"/>
  <c r="O58" i="17"/>
  <c r="O74" i="17"/>
  <c r="O90" i="17"/>
  <c r="O106" i="17"/>
  <c r="O122" i="17"/>
  <c r="O138" i="17"/>
  <c r="O154" i="17"/>
  <c r="O170" i="17"/>
  <c r="O186" i="17"/>
  <c r="O202" i="17"/>
  <c r="O218" i="17"/>
  <c r="O234" i="17"/>
  <c r="O250" i="17"/>
  <c r="O266" i="17"/>
  <c r="O282" i="17"/>
  <c r="O298" i="17"/>
  <c r="O314" i="17"/>
  <c r="P311" i="17"/>
  <c r="P404" i="17"/>
  <c r="P468" i="17"/>
  <c r="P532" i="17"/>
  <c r="P590" i="17"/>
  <c r="P13" i="17"/>
  <c r="O31" i="17"/>
  <c r="O47" i="17"/>
  <c r="O63" i="17"/>
  <c r="O79" i="17"/>
  <c r="O95" i="17"/>
  <c r="O111" i="17"/>
  <c r="O127" i="17"/>
  <c r="O143" i="17"/>
  <c r="O159" i="17"/>
  <c r="O175" i="17"/>
  <c r="O191" i="17"/>
  <c r="O207" i="17"/>
  <c r="O223" i="17"/>
  <c r="O239" i="17"/>
  <c r="O255" i="17"/>
  <c r="P424" i="17"/>
  <c r="O20" i="17"/>
  <c r="O84" i="17"/>
  <c r="O148" i="17"/>
  <c r="O212" i="17"/>
  <c r="O268" i="17"/>
  <c r="O300" i="17"/>
  <c r="O327" i="17"/>
  <c r="O348" i="17"/>
  <c r="O365" i="17"/>
  <c r="O381" i="17"/>
  <c r="O397" i="17"/>
  <c r="O413" i="17"/>
  <c r="O429" i="17"/>
  <c r="O445" i="17"/>
  <c r="O461" i="17"/>
  <c r="O477" i="17"/>
  <c r="O493" i="17"/>
  <c r="O509" i="17"/>
  <c r="O525" i="17"/>
  <c r="O541" i="17"/>
  <c r="P208" i="17"/>
  <c r="P315" i="17"/>
  <c r="P370" i="17"/>
  <c r="P243" i="17"/>
  <c r="P579" i="17"/>
  <c r="O33" i="17"/>
  <c r="O161" i="17"/>
  <c r="O249" i="17"/>
  <c r="O317" i="17"/>
  <c r="P400" i="17"/>
  <c r="P14" i="17"/>
  <c r="O78" i="17"/>
  <c r="O142" i="17"/>
  <c r="O206" i="17"/>
  <c r="O270" i="17"/>
  <c r="P356" i="17"/>
  <c r="P598" i="17"/>
  <c r="O67" i="17"/>
  <c r="O103" i="17"/>
  <c r="O135" i="17"/>
  <c r="O167" i="17"/>
  <c r="O199" i="17"/>
  <c r="O231" i="17"/>
  <c r="P135" i="17"/>
  <c r="O52" i="17"/>
  <c r="O180" i="17"/>
  <c r="O260" i="17"/>
  <c r="O308" i="17"/>
  <c r="O338" i="17"/>
  <c r="O361" i="17"/>
  <c r="O385" i="17"/>
  <c r="O405" i="17"/>
  <c r="O425" i="17"/>
  <c r="O449" i="17"/>
  <c r="O469" i="17"/>
  <c r="O489" i="17"/>
  <c r="O513" i="17"/>
  <c r="O533" i="17"/>
  <c r="O553" i="17"/>
  <c r="O569" i="17"/>
  <c r="O585" i="17"/>
  <c r="O601" i="17"/>
  <c r="P199" i="17"/>
  <c r="P568" i="17"/>
  <c r="O56" i="17"/>
  <c r="O120" i="17"/>
  <c r="O184" i="17"/>
  <c r="O248" i="17"/>
  <c r="O287" i="17"/>
  <c r="O318" i="17"/>
  <c r="O339" i="17"/>
  <c r="O358" i="17"/>
  <c r="O374" i="17"/>
  <c r="O390" i="17"/>
  <c r="O406" i="17"/>
  <c r="O422" i="17"/>
  <c r="O438" i="17"/>
  <c r="O454" i="17"/>
  <c r="O470" i="17"/>
  <c r="O486" i="17"/>
  <c r="O502" i="17"/>
  <c r="O518" i="17"/>
  <c r="O534" i="17"/>
  <c r="O550" i="17"/>
  <c r="O566" i="17"/>
  <c r="O582" i="17"/>
  <c r="O598" i="17"/>
  <c r="P456" i="17"/>
  <c r="O28" i="17"/>
  <c r="O92" i="17"/>
  <c r="O156" i="17"/>
  <c r="O220" i="17"/>
  <c r="O272" i="17"/>
  <c r="O304" i="17"/>
  <c r="O330" i="17"/>
  <c r="O351" i="17"/>
  <c r="O367" i="17"/>
  <c r="O383" i="17"/>
  <c r="O399" i="17"/>
  <c r="O415" i="17"/>
  <c r="O431" i="17"/>
  <c r="O447" i="17"/>
  <c r="O463" i="17"/>
  <c r="O479" i="17"/>
  <c r="O495" i="17"/>
  <c r="O511" i="17"/>
  <c r="O527" i="17"/>
  <c r="O543" i="17"/>
  <c r="O559" i="17"/>
  <c r="O575" i="17"/>
  <c r="O591" i="17"/>
  <c r="O607" i="17"/>
  <c r="P327" i="17"/>
  <c r="O192" i="17"/>
  <c r="O342" i="17"/>
  <c r="O408" i="17"/>
  <c r="O472" i="17"/>
  <c r="O536" i="17"/>
  <c r="O600" i="17"/>
  <c r="P125" i="17"/>
  <c r="P469" i="17"/>
  <c r="P434" i="17"/>
  <c r="P387" i="17"/>
  <c r="P342" i="17"/>
  <c r="O65" i="17"/>
  <c r="O185" i="17"/>
  <c r="O269" i="17"/>
  <c r="O333" i="17"/>
  <c r="P464" i="17"/>
  <c r="O30" i="17"/>
  <c r="O94" i="17"/>
  <c r="O158" i="17"/>
  <c r="O222" i="17"/>
  <c r="O286" i="17"/>
  <c r="P420" i="17"/>
  <c r="O19" i="17"/>
  <c r="O83" i="17"/>
  <c r="O115" i="17"/>
  <c r="O147" i="17"/>
  <c r="O179" i="17"/>
  <c r="O211" i="17"/>
  <c r="O243" i="17"/>
  <c r="P488" i="17"/>
  <c r="O100" i="17"/>
  <c r="O196" i="17"/>
  <c r="O276" i="17"/>
  <c r="O316" i="17"/>
  <c r="O343" i="17"/>
  <c r="O369" i="17"/>
  <c r="O389" i="17"/>
  <c r="O409" i="17"/>
  <c r="O433" i="17"/>
  <c r="O453" i="17"/>
  <c r="O473" i="17"/>
  <c r="O497" i="17"/>
  <c r="O517" i="17"/>
  <c r="O537" i="17"/>
  <c r="O557" i="17"/>
  <c r="O573" i="17"/>
  <c r="O589" i="17"/>
  <c r="O605" i="17"/>
  <c r="P376" i="17"/>
  <c r="P606" i="17"/>
  <c r="O72" i="17"/>
  <c r="O136" i="17"/>
  <c r="O200" i="17"/>
  <c r="O263" i="17"/>
  <c r="O295" i="17"/>
  <c r="O323" i="17"/>
  <c r="O344" i="17"/>
  <c r="O362" i="17"/>
  <c r="O378" i="17"/>
  <c r="O394" i="17"/>
  <c r="O410" i="17"/>
  <c r="O426" i="17"/>
  <c r="O442" i="17"/>
  <c r="O458" i="17"/>
  <c r="O474" i="17"/>
  <c r="O490" i="17"/>
  <c r="O506" i="17"/>
  <c r="O522" i="17"/>
  <c r="O538" i="17"/>
  <c r="O554" i="17"/>
  <c r="O570" i="17"/>
  <c r="O586" i="17"/>
  <c r="O602" i="17"/>
  <c r="P520" i="17"/>
  <c r="O44" i="17"/>
  <c r="O108" i="17"/>
  <c r="O172" i="17"/>
  <c r="O236" i="17"/>
  <c r="O280" i="17"/>
  <c r="O312" i="17"/>
  <c r="O335" i="17"/>
  <c r="O355" i="17"/>
  <c r="O371" i="17"/>
  <c r="O387" i="17"/>
  <c r="O403" i="17"/>
  <c r="O419" i="17"/>
  <c r="O435" i="17"/>
  <c r="O451" i="17"/>
  <c r="O467" i="17"/>
  <c r="O483" i="17"/>
  <c r="O499" i="17"/>
  <c r="O515" i="17"/>
  <c r="O531" i="17"/>
  <c r="O547" i="17"/>
  <c r="O563" i="17"/>
  <c r="O579" i="17"/>
  <c r="O595" i="17"/>
  <c r="O611" i="17"/>
  <c r="P592" i="17"/>
  <c r="O256" i="17"/>
  <c r="O360" i="17"/>
  <c r="O424" i="17"/>
  <c r="O488" i="17"/>
  <c r="O552" i="17"/>
  <c r="P42" i="17"/>
  <c r="P498" i="17"/>
  <c r="P476" i="17"/>
  <c r="O209" i="17"/>
  <c r="O349" i="17"/>
  <c r="O46" i="17"/>
  <c r="O174" i="17"/>
  <c r="O302" i="17"/>
  <c r="O35" i="17"/>
  <c r="O119" i="17"/>
  <c r="O183" i="17"/>
  <c r="O247" i="17"/>
  <c r="O116" i="17"/>
  <c r="O284" i="17"/>
  <c r="O353" i="17"/>
  <c r="O393" i="17"/>
  <c r="O437" i="17"/>
  <c r="O481" i="17"/>
  <c r="O521" i="17"/>
  <c r="O561" i="17"/>
  <c r="O593" i="17"/>
  <c r="O24" i="17"/>
  <c r="O152" i="17"/>
  <c r="O271" i="17"/>
  <c r="O328" i="17"/>
  <c r="O366" i="17"/>
  <c r="O398" i="17"/>
  <c r="O430" i="17"/>
  <c r="O462" i="17"/>
  <c r="O494" i="17"/>
  <c r="O526" i="17"/>
  <c r="O558" i="17"/>
  <c r="O590" i="17"/>
  <c r="P584" i="17"/>
  <c r="O124" i="17"/>
  <c r="O252" i="17"/>
  <c r="O319" i="17"/>
  <c r="O359" i="17"/>
  <c r="O391" i="17"/>
  <c r="O423" i="17"/>
  <c r="O455" i="17"/>
  <c r="O487" i="17"/>
  <c r="O519" i="17"/>
  <c r="O551" i="17"/>
  <c r="O583" i="17"/>
  <c r="O64" i="17"/>
  <c r="O376" i="17"/>
  <c r="O504" i="17"/>
  <c r="P408" i="17"/>
  <c r="O208" i="17"/>
  <c r="O347" i="17"/>
  <c r="O412" i="17"/>
  <c r="O476" i="17"/>
  <c r="O540" i="17"/>
  <c r="O604" i="17"/>
  <c r="O96" i="17"/>
  <c r="O307" i="17"/>
  <c r="O384" i="17"/>
  <c r="O448" i="17"/>
  <c r="O512" i="17"/>
  <c r="O576" i="17"/>
  <c r="P274" i="17"/>
  <c r="P562" i="17"/>
  <c r="P594" i="17"/>
  <c r="O229" i="17"/>
  <c r="P295" i="17"/>
  <c r="O62" i="17"/>
  <c r="O190" i="17"/>
  <c r="P119" i="17"/>
  <c r="O51" i="17"/>
  <c r="O131" i="17"/>
  <c r="O195" i="17"/>
  <c r="O259" i="17"/>
  <c r="O164" i="17"/>
  <c r="O292" i="17"/>
  <c r="O357" i="17"/>
  <c r="O401" i="17"/>
  <c r="O441" i="17"/>
  <c r="O485" i="17"/>
  <c r="O529" i="17"/>
  <c r="O565" i="17"/>
  <c r="O597" i="17"/>
  <c r="O40" i="17"/>
  <c r="O168" i="17"/>
  <c r="O279" i="17"/>
  <c r="O334" i="17"/>
  <c r="O370" i="17"/>
  <c r="O402" i="17"/>
  <c r="O434" i="17"/>
  <c r="O466" i="17"/>
  <c r="O498" i="17"/>
  <c r="O530" i="17"/>
  <c r="O562" i="17"/>
  <c r="O594" i="17"/>
  <c r="P611" i="17"/>
  <c r="O140" i="17"/>
  <c r="O264" i="17"/>
  <c r="O324" i="17"/>
  <c r="O363" i="17"/>
  <c r="O395" i="17"/>
  <c r="O427" i="17"/>
  <c r="O459" i="17"/>
  <c r="O491" i="17"/>
  <c r="O523" i="17"/>
  <c r="O555" i="17"/>
  <c r="O587" i="17"/>
  <c r="O128" i="17"/>
  <c r="O392" i="17"/>
  <c r="O520" i="17"/>
  <c r="O15" i="17"/>
  <c r="O267" i="17"/>
  <c r="O364" i="17"/>
  <c r="O428" i="17"/>
  <c r="O492" i="17"/>
  <c r="O556" i="17"/>
  <c r="O160" i="17"/>
  <c r="O331" i="17"/>
  <c r="O400" i="17"/>
  <c r="O464" i="17"/>
  <c r="O528" i="17"/>
  <c r="O592" i="17"/>
  <c r="P581" i="17"/>
  <c r="O97" i="17"/>
  <c r="P528" i="17"/>
  <c r="O238" i="17"/>
  <c r="O87" i="17"/>
  <c r="O215" i="17"/>
  <c r="O228" i="17"/>
  <c r="O373" i="17"/>
  <c r="O457" i="17"/>
  <c r="O545" i="17"/>
  <c r="O609" i="17"/>
  <c r="O88" i="17"/>
  <c r="O303" i="17"/>
  <c r="O382" i="17"/>
  <c r="O446" i="17"/>
  <c r="O510" i="17"/>
  <c r="O574" i="17"/>
  <c r="P263" i="17"/>
  <c r="O188" i="17"/>
  <c r="O340" i="17"/>
  <c r="O407" i="17"/>
  <c r="O471" i="17"/>
  <c r="O535" i="17"/>
  <c r="O599" i="17"/>
  <c r="O291" i="17"/>
  <c r="O568" i="17"/>
  <c r="O299" i="17"/>
  <c r="O444" i="17"/>
  <c r="O572" i="17"/>
  <c r="O224" i="17"/>
  <c r="O416" i="17"/>
  <c r="O544" i="17"/>
  <c r="O420" i="17"/>
  <c r="O48" i="17"/>
  <c r="O500" i="17"/>
  <c r="O336" i="17"/>
  <c r="O388" i="17"/>
  <c r="O596" i="17"/>
  <c r="P451" i="17"/>
  <c r="O110" i="17"/>
  <c r="P552" i="17"/>
  <c r="O417" i="17"/>
  <c r="O577" i="17"/>
  <c r="O216" i="17"/>
  <c r="O414" i="17"/>
  <c r="O542" i="17"/>
  <c r="O60" i="17"/>
  <c r="O439" i="17"/>
  <c r="O567" i="17"/>
  <c r="O380" i="17"/>
  <c r="P472" i="17"/>
  <c r="O480" i="17"/>
  <c r="O240" i="17"/>
  <c r="O532" i="17"/>
  <c r="P175" i="17"/>
  <c r="O129" i="17"/>
  <c r="P588" i="17"/>
  <c r="O254" i="17"/>
  <c r="O99" i="17"/>
  <c r="O227" i="17"/>
  <c r="O244" i="17"/>
  <c r="O377" i="17"/>
  <c r="O465" i="17"/>
  <c r="O549" i="17"/>
  <c r="O613" i="17"/>
  <c r="O104" i="17"/>
  <c r="O311" i="17"/>
  <c r="O386" i="17"/>
  <c r="O450" i="17"/>
  <c r="O514" i="17"/>
  <c r="O578" i="17"/>
  <c r="P392" i="17"/>
  <c r="O204" i="17"/>
  <c r="O346" i="17"/>
  <c r="O411" i="17"/>
  <c r="O475" i="17"/>
  <c r="O539" i="17"/>
  <c r="O603" i="17"/>
  <c r="O320" i="17"/>
  <c r="O584" i="17"/>
  <c r="O326" i="17"/>
  <c r="O460" i="17"/>
  <c r="O588" i="17"/>
  <c r="O275" i="17"/>
  <c r="O432" i="17"/>
  <c r="O560" i="17"/>
  <c r="P536" i="17"/>
  <c r="O484" i="17"/>
  <c r="O283" i="17"/>
  <c r="O564" i="17"/>
  <c r="O468" i="17"/>
  <c r="O452" i="17"/>
  <c r="O285" i="17"/>
  <c r="P484" i="17"/>
  <c r="O151" i="17"/>
  <c r="O322" i="17"/>
  <c r="O501" i="17"/>
  <c r="P440" i="17"/>
  <c r="O350" i="17"/>
  <c r="O478" i="17"/>
  <c r="O606" i="17"/>
  <c r="O288" i="17"/>
  <c r="O375" i="17"/>
  <c r="O503" i="17"/>
  <c r="O440" i="17"/>
  <c r="O80" i="17"/>
  <c r="O508" i="17"/>
  <c r="O352" i="17"/>
  <c r="O608" i="17"/>
  <c r="O548" i="17"/>
  <c r="O372" i="17"/>
  <c r="P515" i="17"/>
  <c r="O163" i="17"/>
  <c r="O505" i="17"/>
  <c r="O418" i="17"/>
  <c r="O76" i="17"/>
  <c r="O507" i="17"/>
  <c r="O524" i="17"/>
  <c r="O368" i="17"/>
  <c r="O612" i="17"/>
  <c r="O436" i="17"/>
  <c r="O516" i="17"/>
  <c r="O332" i="17"/>
  <c r="O546" i="17"/>
  <c r="O379" i="17"/>
  <c r="O144" i="17"/>
  <c r="O14" i="17"/>
  <c r="P548" i="17"/>
  <c r="O421" i="17"/>
  <c r="O610" i="17"/>
  <c r="O443" i="17"/>
  <c r="O32" i="17"/>
  <c r="O356" i="17"/>
  <c r="O315" i="17"/>
  <c r="O301" i="17"/>
  <c r="O36" i="17"/>
  <c r="O581" i="17"/>
  <c r="P504" i="17"/>
  <c r="O482" i="17"/>
  <c r="O296" i="17"/>
  <c r="O571" i="17"/>
  <c r="O496" i="17"/>
  <c r="O580" i="17"/>
  <c r="O126" i="17"/>
  <c r="O232" i="17"/>
  <c r="O112" i="17"/>
  <c r="O176" i="17"/>
  <c r="O354" i="17"/>
  <c r="O456" i="17"/>
  <c r="O396" i="17"/>
  <c r="O404" i="17"/>
  <c r="D340" i="2"/>
  <c r="B54" i="21"/>
  <c r="B56" i="21"/>
  <c r="K128" i="2"/>
  <c r="B402" i="2"/>
  <c r="A42" i="16"/>
  <c r="B377" i="2" l="1"/>
  <c r="A377" i="2"/>
  <c r="D376" i="2"/>
  <c r="B398" i="2"/>
  <c r="A397" i="2"/>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Z206" i="17"/>
  <c r="Z207" i="17"/>
  <c r="Z208" i="17"/>
  <c r="Z209" i="17"/>
  <c r="Z210" i="17"/>
  <c r="Z211" i="17"/>
  <c r="Z212" i="17"/>
  <c r="Z213" i="17"/>
  <c r="Z214" i="17"/>
  <c r="Z215" i="17"/>
  <c r="Z216" i="17"/>
  <c r="Z217" i="17"/>
  <c r="Z218" i="17"/>
  <c r="Z219" i="17"/>
  <c r="Z220" i="17"/>
  <c r="Z221" i="17"/>
  <c r="Z222" i="17"/>
  <c r="Z223" i="17"/>
  <c r="Z224" i="17"/>
  <c r="Z225" i="17"/>
  <c r="Z226" i="17"/>
  <c r="Z227" i="17"/>
  <c r="Z228" i="17"/>
  <c r="Z229" i="17"/>
  <c r="Z230" i="17"/>
  <c r="Z231" i="17"/>
  <c r="Z232" i="17"/>
  <c r="Z233" i="17"/>
  <c r="Z234" i="17"/>
  <c r="Z235" i="17"/>
  <c r="Z236" i="17"/>
  <c r="Z237" i="17"/>
  <c r="Z238" i="17"/>
  <c r="Z239" i="17"/>
  <c r="Z240" i="17"/>
  <c r="Z241" i="17"/>
  <c r="Z242" i="17"/>
  <c r="Z243" i="17"/>
  <c r="Z244" i="17"/>
  <c r="Z245" i="17"/>
  <c r="Z246" i="17"/>
  <c r="Z247" i="17"/>
  <c r="Z248" i="17"/>
  <c r="Z249" i="17"/>
  <c r="Z250" i="17"/>
  <c r="Z251" i="17"/>
  <c r="Z252" i="17"/>
  <c r="Z253" i="17"/>
  <c r="Z254" i="17"/>
  <c r="Z255" i="17"/>
  <c r="Z256" i="17"/>
  <c r="Z257" i="17"/>
  <c r="Z258" i="17"/>
  <c r="Z259" i="17"/>
  <c r="Z260" i="17"/>
  <c r="Z261" i="17"/>
  <c r="Z262" i="17"/>
  <c r="Z263" i="17"/>
  <c r="Z264" i="17"/>
  <c r="Z265" i="17"/>
  <c r="Z266" i="17"/>
  <c r="Z267" i="17"/>
  <c r="Z268" i="17"/>
  <c r="Z269" i="17"/>
  <c r="Z270" i="17"/>
  <c r="Z271" i="17"/>
  <c r="Z272" i="17"/>
  <c r="Z273" i="17"/>
  <c r="Z274" i="17"/>
  <c r="Z275" i="17"/>
  <c r="Z276" i="17"/>
  <c r="Z277" i="17"/>
  <c r="Z278" i="17"/>
  <c r="Z279" i="17"/>
  <c r="Z280" i="17"/>
  <c r="Z281" i="17"/>
  <c r="Z282" i="17"/>
  <c r="Z283" i="17"/>
  <c r="Z284" i="17"/>
  <c r="Z285" i="17"/>
  <c r="Z286" i="17"/>
  <c r="Z287" i="17"/>
  <c r="Z288" i="17"/>
  <c r="Z289" i="17"/>
  <c r="Z290" i="17"/>
  <c r="Z291" i="17"/>
  <c r="Z292" i="17"/>
  <c r="Z293" i="17"/>
  <c r="Z294" i="17"/>
  <c r="Z295" i="17"/>
  <c r="Z296" i="17"/>
  <c r="Z297" i="17"/>
  <c r="Z298" i="17"/>
  <c r="Z299" i="17"/>
  <c r="Z300" i="17"/>
  <c r="Z301" i="17"/>
  <c r="Z302" i="17"/>
  <c r="Z303" i="17"/>
  <c r="Z304" i="17"/>
  <c r="Z305" i="17"/>
  <c r="Z306" i="17"/>
  <c r="Z307" i="17"/>
  <c r="Z308" i="17"/>
  <c r="Z309" i="17"/>
  <c r="Z310" i="17"/>
  <c r="Z311" i="17"/>
  <c r="Z312" i="17"/>
  <c r="Z313" i="17"/>
  <c r="Z314" i="17"/>
  <c r="Z315" i="17"/>
  <c r="Z316" i="17"/>
  <c r="Z317" i="17"/>
  <c r="Z318" i="17"/>
  <c r="Z319" i="17"/>
  <c r="Z320" i="17"/>
  <c r="Z321" i="17"/>
  <c r="Z322" i="17"/>
  <c r="Z323" i="17"/>
  <c r="Z324" i="17"/>
  <c r="Z325" i="17"/>
  <c r="Z326" i="17"/>
  <c r="Z327" i="17"/>
  <c r="Z328" i="17"/>
  <c r="Z329" i="17"/>
  <c r="Z330" i="17"/>
  <c r="Z331" i="17"/>
  <c r="Z332" i="17"/>
  <c r="Z333" i="17"/>
  <c r="Z334" i="17"/>
  <c r="Z335" i="17"/>
  <c r="Z336" i="17"/>
  <c r="Z337" i="17"/>
  <c r="Z338" i="17"/>
  <c r="Z339" i="17"/>
  <c r="Z340" i="17"/>
  <c r="Z341" i="17"/>
  <c r="Z342" i="17"/>
  <c r="Z343" i="17"/>
  <c r="Z344" i="17"/>
  <c r="Z345" i="17"/>
  <c r="Z346" i="17"/>
  <c r="Z347" i="17"/>
  <c r="Z348" i="17"/>
  <c r="Z349" i="17"/>
  <c r="Z350" i="17"/>
  <c r="Z351" i="17"/>
  <c r="Z352" i="17"/>
  <c r="Z353" i="17"/>
  <c r="Z354" i="17"/>
  <c r="Z355" i="17"/>
  <c r="Z356" i="17"/>
  <c r="Z357" i="17"/>
  <c r="Z358" i="17"/>
  <c r="Z359" i="17"/>
  <c r="Z360" i="17"/>
  <c r="Z361" i="17"/>
  <c r="Z362" i="17"/>
  <c r="Z363" i="17"/>
  <c r="Z364" i="17"/>
  <c r="Z365" i="17"/>
  <c r="Z366" i="17"/>
  <c r="Z367" i="17"/>
  <c r="Z368" i="17"/>
  <c r="Z369" i="17"/>
  <c r="Z370" i="17"/>
  <c r="Z371" i="17"/>
  <c r="Z372" i="17"/>
  <c r="Z373" i="17"/>
  <c r="Z374" i="17"/>
  <c r="Z375" i="17"/>
  <c r="Z376" i="17"/>
  <c r="Z377" i="17"/>
  <c r="Z378" i="17"/>
  <c r="Z379" i="17"/>
  <c r="Z380" i="17"/>
  <c r="Z381" i="17"/>
  <c r="Z382" i="17"/>
  <c r="Z383" i="17"/>
  <c r="Z384" i="17"/>
  <c r="Z385" i="17"/>
  <c r="Z386" i="17"/>
  <c r="Z387" i="17"/>
  <c r="Z388" i="17"/>
  <c r="Z389" i="17"/>
  <c r="Z390" i="17"/>
  <c r="Z391" i="17"/>
  <c r="Z392" i="17"/>
  <c r="Z393" i="17"/>
  <c r="Z394" i="17"/>
  <c r="Z395" i="17"/>
  <c r="Z396" i="17"/>
  <c r="Z397" i="17"/>
  <c r="Z398" i="17"/>
  <c r="Z399" i="17"/>
  <c r="Z400" i="17"/>
  <c r="Z401" i="17"/>
  <c r="Z402" i="17"/>
  <c r="Z403" i="17"/>
  <c r="Z404" i="17"/>
  <c r="Z405" i="17"/>
  <c r="Z406" i="17"/>
  <c r="Z407" i="17"/>
  <c r="Z408" i="17"/>
  <c r="Z409" i="17"/>
  <c r="Z410" i="17"/>
  <c r="Z411" i="17"/>
  <c r="Z412" i="17"/>
  <c r="Z413" i="17"/>
  <c r="Z414" i="17"/>
  <c r="Z415" i="17"/>
  <c r="Z416" i="17"/>
  <c r="Z417" i="17"/>
  <c r="Z418" i="17"/>
  <c r="Z419" i="17"/>
  <c r="Z420" i="17"/>
  <c r="Z421" i="17"/>
  <c r="Z422" i="17"/>
  <c r="Z423" i="17"/>
  <c r="Z424" i="17"/>
  <c r="Z425" i="17"/>
  <c r="Z426" i="17"/>
  <c r="Z427" i="17"/>
  <c r="Z428" i="17"/>
  <c r="Z429" i="17"/>
  <c r="Z430" i="17"/>
  <c r="Z431" i="17"/>
  <c r="Z432" i="17"/>
  <c r="Z433" i="17"/>
  <c r="Z434" i="17"/>
  <c r="Z435" i="17"/>
  <c r="Z436" i="17"/>
  <c r="Z437" i="17"/>
  <c r="Z438" i="17"/>
  <c r="Z439" i="17"/>
  <c r="Z440" i="17"/>
  <c r="Z441" i="17"/>
  <c r="Z442" i="17"/>
  <c r="Z443" i="17"/>
  <c r="Z444" i="17"/>
  <c r="Z445" i="17"/>
  <c r="Z446" i="17"/>
  <c r="Z447" i="17"/>
  <c r="Z448" i="17"/>
  <c r="Z449" i="17"/>
  <c r="Z450" i="17"/>
  <c r="Z451" i="17"/>
  <c r="Z452" i="17"/>
  <c r="Z453" i="17"/>
  <c r="Z454" i="17"/>
  <c r="Z455" i="17"/>
  <c r="Z456" i="17"/>
  <c r="Z457" i="17"/>
  <c r="Z458" i="17"/>
  <c r="Z459" i="17"/>
  <c r="Z460" i="17"/>
  <c r="Z461" i="17"/>
  <c r="Z462" i="17"/>
  <c r="Z463" i="17"/>
  <c r="Z464" i="17"/>
  <c r="Z465" i="17"/>
  <c r="Z466" i="17"/>
  <c r="Z467" i="17"/>
  <c r="Z468" i="17"/>
  <c r="Z469" i="17"/>
  <c r="Z470" i="17"/>
  <c r="Z471" i="17"/>
  <c r="Z472" i="17"/>
  <c r="Z473" i="17"/>
  <c r="Z474" i="17"/>
  <c r="Z475" i="17"/>
  <c r="Z476" i="17"/>
  <c r="Z477" i="17"/>
  <c r="Z478" i="17"/>
  <c r="Z479" i="17"/>
  <c r="Z480" i="17"/>
  <c r="Z481" i="17"/>
  <c r="Z482" i="17"/>
  <c r="Z483" i="17"/>
  <c r="Z484" i="17"/>
  <c r="Z485" i="17"/>
  <c r="Z486" i="17"/>
  <c r="Z487" i="17"/>
  <c r="Z488" i="17"/>
  <c r="Z489" i="17"/>
  <c r="Z490" i="17"/>
  <c r="Z491" i="17"/>
  <c r="Z492" i="17"/>
  <c r="Z493" i="17"/>
  <c r="Z494" i="17"/>
  <c r="Z495" i="17"/>
  <c r="Z496" i="17"/>
  <c r="Z497" i="17"/>
  <c r="Z498" i="17"/>
  <c r="Z499" i="17"/>
  <c r="Z500" i="17"/>
  <c r="Z501" i="17"/>
  <c r="Z502" i="17"/>
  <c r="Z503" i="17"/>
  <c r="Z504" i="17"/>
  <c r="Z505" i="17"/>
  <c r="Z506" i="17"/>
  <c r="Z507" i="17"/>
  <c r="Z508" i="17"/>
  <c r="Z509" i="17"/>
  <c r="Z510" i="17"/>
  <c r="Z511" i="17"/>
  <c r="Z512" i="17"/>
  <c r="Z513" i="17"/>
  <c r="Z514" i="17"/>
  <c r="Z515" i="17"/>
  <c r="Z516" i="17"/>
  <c r="Z517" i="17"/>
  <c r="Z518" i="17"/>
  <c r="Z519" i="17"/>
  <c r="Z520" i="17"/>
  <c r="Z521" i="17"/>
  <c r="Z522" i="17"/>
  <c r="Z523" i="17"/>
  <c r="Z524" i="17"/>
  <c r="Z525" i="17"/>
  <c r="Z526" i="17"/>
  <c r="Z527" i="17"/>
  <c r="Z528" i="17"/>
  <c r="Z529" i="17"/>
  <c r="Z530" i="17"/>
  <c r="Z531" i="17"/>
  <c r="Z532" i="17"/>
  <c r="Z533" i="17"/>
  <c r="Z534" i="17"/>
  <c r="Z535" i="17"/>
  <c r="Z536" i="17"/>
  <c r="Z537" i="17"/>
  <c r="Z538" i="17"/>
  <c r="Z539" i="17"/>
  <c r="Z540" i="17"/>
  <c r="Z541" i="17"/>
  <c r="Z542" i="17"/>
  <c r="Z543" i="17"/>
  <c r="Z544" i="17"/>
  <c r="Z545" i="17"/>
  <c r="Z546" i="17"/>
  <c r="Z547" i="17"/>
  <c r="Z548" i="17"/>
  <c r="Z549" i="17"/>
  <c r="Z550" i="17"/>
  <c r="Z551" i="17"/>
  <c r="Z552" i="17"/>
  <c r="Z553" i="17"/>
  <c r="Z554" i="17"/>
  <c r="Z555" i="17"/>
  <c r="Z556" i="17"/>
  <c r="Z557" i="17"/>
  <c r="Z558" i="17"/>
  <c r="Z559" i="17"/>
  <c r="Z560" i="17"/>
  <c r="Z561" i="17"/>
  <c r="Z562" i="17"/>
  <c r="Z563" i="17"/>
  <c r="Z564" i="17"/>
  <c r="Z565" i="17"/>
  <c r="Z566" i="17"/>
  <c r="Z567" i="17"/>
  <c r="Z568" i="17"/>
  <c r="Z569" i="17"/>
  <c r="Z570" i="17"/>
  <c r="Z571" i="17"/>
  <c r="Z572" i="17"/>
  <c r="Z573" i="17"/>
  <c r="Z574" i="17"/>
  <c r="Z575" i="17"/>
  <c r="Z576" i="17"/>
  <c r="Z577" i="17"/>
  <c r="Z578" i="17"/>
  <c r="Z579" i="17"/>
  <c r="Z580" i="17"/>
  <c r="Z581" i="17"/>
  <c r="Z582" i="17"/>
  <c r="Z583" i="17"/>
  <c r="Z584" i="17"/>
  <c r="Z585" i="17"/>
  <c r="Z586" i="17"/>
  <c r="Z587" i="17"/>
  <c r="Z588" i="17"/>
  <c r="Z589" i="17"/>
  <c r="Z590" i="17"/>
  <c r="Z591" i="17"/>
  <c r="Z592" i="17"/>
  <c r="Z593" i="17"/>
  <c r="Z594" i="17"/>
  <c r="Z595" i="17"/>
  <c r="Z596" i="17"/>
  <c r="Z597" i="17"/>
  <c r="Z598" i="17"/>
  <c r="Z599" i="17"/>
  <c r="Z600" i="17"/>
  <c r="Z601" i="17"/>
  <c r="Z602" i="17"/>
  <c r="Z603" i="17"/>
  <c r="Z604" i="17"/>
  <c r="Z605" i="17"/>
  <c r="Z606" i="17"/>
  <c r="Z607" i="17"/>
  <c r="Z608" i="17"/>
  <c r="Z609" i="17"/>
  <c r="Z610" i="17"/>
  <c r="Z611" i="17"/>
  <c r="Z612" i="17"/>
  <c r="Z613" i="17"/>
  <c r="I3" i="17" l="1"/>
  <c r="B413" i="2"/>
  <c r="A413" i="2"/>
  <c r="B219" i="2"/>
  <c r="B234" i="2" s="1"/>
  <c r="B95" i="2"/>
  <c r="E19" i="1" s="1"/>
  <c r="C49" i="16" l="1"/>
  <c r="B199" i="2"/>
  <c r="B412" i="2"/>
  <c r="A412" i="2"/>
  <c r="B411" i="2"/>
  <c r="A411" i="2"/>
  <c r="AI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U6" i="17"/>
  <c r="C6" i="17" l="1"/>
  <c r="A381" i="2"/>
  <c r="B191" i="2"/>
  <c r="B192" i="2" s="1"/>
  <c r="H3" i="8" s="1"/>
  <c r="B122" i="2"/>
  <c r="B77" i="2"/>
  <c r="B8" i="2"/>
  <c r="B449" i="2" s="1"/>
  <c r="B9" i="2"/>
  <c r="B383" i="2" l="1"/>
  <c r="F251"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B39" i="2"/>
  <c r="D131" i="2" s="1"/>
  <c r="B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436" i="2"/>
  <c r="B399" i="2"/>
  <c r="B227" i="2"/>
  <c r="B223" i="2"/>
  <c r="F135" i="2" l="1"/>
  <c r="F136" i="2"/>
  <c r="K132" i="2"/>
  <c r="K133" i="2"/>
  <c r="B16" i="21"/>
  <c r="A436" i="2"/>
  <c r="F3" i="17"/>
  <c r="B26" i="2" l="1"/>
  <c r="B42" i="2" s="1"/>
  <c r="B27" i="2" l="1"/>
  <c r="B206" i="2"/>
  <c r="B202" i="2" s="1"/>
  <c r="R12" i="8"/>
  <c r="B41" i="2"/>
  <c r="D240" i="2"/>
  <c r="B240" i="2" s="1"/>
  <c r="A97" i="27"/>
  <c r="B97" i="27" s="1"/>
  <c r="F443" i="2"/>
  <c r="D443" i="2"/>
  <c r="S13" i="8"/>
  <c r="B44" i="2"/>
  <c r="B13" i="21"/>
  <c r="B78" i="21"/>
  <c r="B29" i="2"/>
  <c r="B367" i="2"/>
  <c r="B238" i="2"/>
  <c r="N3" i="17"/>
  <c r="R21" i="8"/>
  <c r="D47" i="16"/>
  <c r="H22" i="2" l="1"/>
  <c r="B430" i="2"/>
  <c r="C97" i="27"/>
  <c r="H23" i="2"/>
  <c r="E97" i="27"/>
  <c r="R97" i="27" s="1"/>
  <c r="H443" i="2"/>
  <c r="B388" i="2"/>
  <c r="D97" i="27"/>
  <c r="S97" i="27" s="1"/>
  <c r="B289" i="2"/>
  <c r="B283" i="2"/>
  <c r="B297" i="2"/>
  <c r="D297" i="2" s="1"/>
  <c r="B391" i="2" s="1"/>
  <c r="B298" i="2"/>
  <c r="B25" i="2"/>
  <c r="N5" i="17"/>
  <c r="S12" i="8"/>
  <c r="J3" i="8"/>
  <c r="E26" i="1"/>
  <c r="A626" i="17"/>
  <c r="C636" i="17"/>
  <c r="I47" i="16"/>
  <c r="H24" i="2" l="1"/>
  <c r="Q97" i="27"/>
  <c r="AD97" i="27"/>
  <c r="AE97" i="27" s="1"/>
  <c r="AH97" i="27" s="1"/>
  <c r="I97" i="27"/>
  <c r="P626" i="17"/>
  <c r="O626" i="17"/>
  <c r="B31" i="2"/>
  <c r="B443" i="2" s="1"/>
  <c r="A390" i="2"/>
  <c r="B390" i="2"/>
  <c r="A391" i="2"/>
  <c r="B299" i="2"/>
  <c r="D299" i="2" s="1"/>
  <c r="C51" i="16"/>
  <c r="D51" i="16" s="1"/>
  <c r="D53" i="16"/>
  <c r="D55" i="16"/>
  <c r="C46" i="16"/>
  <c r="D45" i="16"/>
  <c r="D43" i="16"/>
  <c r="D42" i="16"/>
  <c r="D44" i="16"/>
  <c r="D39" i="16"/>
  <c r="F31" i="2" l="1"/>
  <c r="C443" i="2"/>
  <c r="E12" i="1" s="1"/>
  <c r="G59" i="27"/>
  <c r="A392" i="2"/>
  <c r="B392" i="2"/>
  <c r="G20" i="27"/>
  <c r="G42" i="27"/>
  <c r="L42" i="27" s="1"/>
  <c r="G54" i="27"/>
  <c r="G24" i="27"/>
  <c r="G48" i="27"/>
  <c r="G29" i="27"/>
  <c r="G49" i="27"/>
  <c r="G97" i="27"/>
  <c r="G34" i="27"/>
  <c r="G64" i="27"/>
  <c r="G33" i="27"/>
  <c r="G43" i="27"/>
  <c r="G65" i="27"/>
  <c r="G67" i="27"/>
  <c r="M67" i="27" s="1"/>
  <c r="G91" i="27"/>
  <c r="G73" i="27"/>
  <c r="G17" i="27"/>
  <c r="G63" i="27"/>
  <c r="M63" i="27" s="1"/>
  <c r="G32" i="27"/>
  <c r="G19" i="27"/>
  <c r="G68" i="27"/>
  <c r="G35" i="27"/>
  <c r="G92" i="27"/>
  <c r="G78" i="27"/>
  <c r="G87" i="27"/>
  <c r="G71" i="27"/>
  <c r="G16" i="27"/>
  <c r="G58" i="27"/>
  <c r="G60" i="27"/>
  <c r="G37" i="27"/>
  <c r="G86" i="27"/>
  <c r="G89" i="27"/>
  <c r="G80" i="27"/>
  <c r="G31" i="27"/>
  <c r="G50" i="27"/>
  <c r="G95" i="27"/>
  <c r="G51" i="27"/>
  <c r="G41" i="27"/>
  <c r="G40" i="27"/>
  <c r="G15" i="27"/>
  <c r="G52" i="27"/>
  <c r="G39" i="27"/>
  <c r="G47" i="27"/>
  <c r="G61" i="27"/>
  <c r="G28" i="27"/>
  <c r="G81" i="27"/>
  <c r="G21" i="27"/>
  <c r="G30" i="27"/>
  <c r="G25" i="27"/>
  <c r="G93" i="27"/>
  <c r="G57" i="27"/>
  <c r="G74" i="27"/>
  <c r="G55" i="27"/>
  <c r="G85" i="27"/>
  <c r="G72" i="27"/>
  <c r="G79" i="27"/>
  <c r="G69" i="27"/>
  <c r="G36" i="27"/>
  <c r="G27" i="27"/>
  <c r="G88" i="27"/>
  <c r="G22" i="27"/>
  <c r="G83" i="27"/>
  <c r="G62" i="27"/>
  <c r="G96" i="27"/>
  <c r="G18" i="27"/>
  <c r="G70" i="27"/>
  <c r="G76" i="27"/>
  <c r="G53" i="27"/>
  <c r="G45" i="27"/>
  <c r="G13" i="27"/>
  <c r="G82" i="27"/>
  <c r="G38" i="27"/>
  <c r="G77" i="27"/>
  <c r="G66" i="27"/>
  <c r="G90" i="27"/>
  <c r="G75" i="27"/>
  <c r="G23" i="27"/>
  <c r="G14" i="27"/>
  <c r="G94" i="27"/>
  <c r="G44" i="27"/>
  <c r="G26" i="27"/>
  <c r="G84" i="27"/>
  <c r="G46" i="27"/>
  <c r="G56" i="27"/>
  <c r="F63" i="1"/>
  <c r="L87" i="27" l="1"/>
  <c r="AF87" i="27"/>
  <c r="AG87" i="27"/>
  <c r="L65" i="27"/>
  <c r="AF65" i="27"/>
  <c r="AG65" i="27"/>
  <c r="L20" i="27"/>
  <c r="AF20" i="27"/>
  <c r="AG20" i="27"/>
  <c r="AF94" i="27"/>
  <c r="AG94" i="27"/>
  <c r="AF82" i="27"/>
  <c r="AG82" i="27"/>
  <c r="AF79" i="27"/>
  <c r="AG79" i="27"/>
  <c r="AF25" i="27"/>
  <c r="AG25" i="27"/>
  <c r="AF52" i="27"/>
  <c r="AG52" i="27"/>
  <c r="M71" i="27"/>
  <c r="AF71" i="27"/>
  <c r="AG71" i="27"/>
  <c r="L63" i="27"/>
  <c r="AF63" i="27"/>
  <c r="AG63" i="27"/>
  <c r="M64" i="27"/>
  <c r="AF64" i="27"/>
  <c r="AG64" i="27"/>
  <c r="M42" i="27"/>
  <c r="AF42" i="27"/>
  <c r="AG42" i="27"/>
  <c r="AF84" i="27"/>
  <c r="AG84" i="27"/>
  <c r="AF66" i="27"/>
  <c r="AG66" i="27"/>
  <c r="AF70" i="27"/>
  <c r="AG70" i="27"/>
  <c r="AF27" i="27"/>
  <c r="AG27" i="27"/>
  <c r="AF30" i="27"/>
  <c r="AG30" i="27"/>
  <c r="AF15" i="27"/>
  <c r="AG15" i="27"/>
  <c r="AF95" i="27"/>
  <c r="AG95" i="27"/>
  <c r="L80" i="27"/>
  <c r="AF80" i="27"/>
  <c r="AG80" i="27"/>
  <c r="M60" i="27"/>
  <c r="AF60" i="27"/>
  <c r="AG60" i="27"/>
  <c r="M68" i="27"/>
  <c r="AF68" i="27"/>
  <c r="AG68" i="27"/>
  <c r="L17" i="27"/>
  <c r="AF17" i="27"/>
  <c r="AG17" i="27"/>
  <c r="L34" i="27"/>
  <c r="AF34" i="27"/>
  <c r="AG34" i="27"/>
  <c r="L48" i="27"/>
  <c r="AF48" i="27"/>
  <c r="AG48" i="27"/>
  <c r="AF26" i="27"/>
  <c r="AG26" i="27"/>
  <c r="AF23" i="27"/>
  <c r="AG23" i="27"/>
  <c r="AF77" i="27"/>
  <c r="AG77" i="27"/>
  <c r="AF45" i="27"/>
  <c r="AG45" i="27"/>
  <c r="AF18" i="27"/>
  <c r="AG18" i="27"/>
  <c r="AF83" i="27"/>
  <c r="AG83" i="27"/>
  <c r="AF36" i="27"/>
  <c r="AG36" i="27"/>
  <c r="AF85" i="27"/>
  <c r="AG85" i="27"/>
  <c r="AF57" i="27"/>
  <c r="AG57" i="27"/>
  <c r="AF21" i="27"/>
  <c r="AG21" i="27"/>
  <c r="AF47" i="27"/>
  <c r="AG47" i="27"/>
  <c r="AF40" i="27"/>
  <c r="AG40" i="27"/>
  <c r="AF50" i="27"/>
  <c r="AG50" i="27"/>
  <c r="M89" i="27"/>
  <c r="AF89" i="27"/>
  <c r="AG89" i="27"/>
  <c r="M58" i="27"/>
  <c r="AF58" i="27"/>
  <c r="AG58" i="27"/>
  <c r="L78" i="27"/>
  <c r="AF78" i="27"/>
  <c r="AG78" i="27"/>
  <c r="M19" i="27"/>
  <c r="AF19" i="27"/>
  <c r="AG19" i="27"/>
  <c r="M73" i="27"/>
  <c r="AF73" i="27"/>
  <c r="AG73" i="27"/>
  <c r="L43" i="27"/>
  <c r="AF43" i="27"/>
  <c r="AG43" i="27"/>
  <c r="M97" i="27"/>
  <c r="AF97" i="27"/>
  <c r="AG97" i="27"/>
  <c r="M24" i="27"/>
  <c r="AF24" i="27"/>
  <c r="AG24" i="27"/>
  <c r="AF46" i="27"/>
  <c r="AG46" i="27"/>
  <c r="AF90" i="27"/>
  <c r="AG90" i="27"/>
  <c r="AF76" i="27"/>
  <c r="AG76" i="27"/>
  <c r="AF88" i="27"/>
  <c r="AG88" i="27"/>
  <c r="AF28" i="27"/>
  <c r="AG28" i="27"/>
  <c r="AF51" i="27"/>
  <c r="AG51" i="27"/>
  <c r="L37" i="27"/>
  <c r="AF37" i="27"/>
  <c r="AG37" i="27"/>
  <c r="M35" i="27"/>
  <c r="AF35" i="27"/>
  <c r="AG35" i="27"/>
  <c r="L67" i="27"/>
  <c r="AF67" i="27"/>
  <c r="AG67" i="27"/>
  <c r="L29" i="27"/>
  <c r="AF29" i="27"/>
  <c r="AG29" i="27"/>
  <c r="L59" i="27"/>
  <c r="AF59" i="27"/>
  <c r="AG59" i="27"/>
  <c r="AF14" i="27"/>
  <c r="AG14" i="27"/>
  <c r="AF13" i="27"/>
  <c r="AG13" i="27"/>
  <c r="AF62" i="27"/>
  <c r="AG62" i="27"/>
  <c r="AF72" i="27"/>
  <c r="AG72" i="27"/>
  <c r="AF74" i="27"/>
  <c r="AG74" i="27"/>
  <c r="AF61" i="27"/>
  <c r="AG61" i="27"/>
  <c r="AF56" i="27"/>
  <c r="AG56" i="27"/>
  <c r="AF44" i="27"/>
  <c r="AG44" i="27"/>
  <c r="AF75" i="27"/>
  <c r="AG75" i="27"/>
  <c r="AF38" i="27"/>
  <c r="AG38" i="27"/>
  <c r="AF53" i="27"/>
  <c r="AG53" i="27"/>
  <c r="AF96" i="27"/>
  <c r="AG96" i="27"/>
  <c r="AF22" i="27"/>
  <c r="AG22" i="27"/>
  <c r="AF69" i="27"/>
  <c r="AG69" i="27"/>
  <c r="AF55" i="27"/>
  <c r="AG55" i="27"/>
  <c r="AF93" i="27"/>
  <c r="AG93" i="27"/>
  <c r="AF81" i="27"/>
  <c r="AG81" i="27"/>
  <c r="AF39" i="27"/>
  <c r="AG39" i="27"/>
  <c r="AF41" i="27"/>
  <c r="AG41" i="27"/>
  <c r="AF31" i="27"/>
  <c r="AG31" i="27"/>
  <c r="L86" i="27"/>
  <c r="AF86" i="27"/>
  <c r="AG86" i="27"/>
  <c r="L16" i="27"/>
  <c r="AF16" i="27"/>
  <c r="AG16" i="27"/>
  <c r="L92" i="27"/>
  <c r="AF92" i="27"/>
  <c r="AG92" i="27"/>
  <c r="L32" i="27"/>
  <c r="AF32" i="27"/>
  <c r="AG32" i="27"/>
  <c r="L91" i="27"/>
  <c r="AF91" i="27"/>
  <c r="AG91" i="27"/>
  <c r="L33" i="27"/>
  <c r="AF33" i="27"/>
  <c r="AG33" i="27"/>
  <c r="L49" i="27"/>
  <c r="AF49" i="27"/>
  <c r="AG49" i="27"/>
  <c r="L54" i="27"/>
  <c r="AF54" i="27"/>
  <c r="AG54" i="27"/>
  <c r="L64" i="27"/>
  <c r="M59" i="27"/>
  <c r="M37" i="27"/>
  <c r="L35" i="27"/>
  <c r="L71" i="27"/>
  <c r="M29" i="27"/>
  <c r="M54" i="27"/>
  <c r="M34" i="27"/>
  <c r="M17" i="27"/>
  <c r="M48" i="27"/>
  <c r="L68" i="27"/>
  <c r="M87" i="27"/>
  <c r="M65" i="27"/>
  <c r="M20" i="27"/>
  <c r="M80" i="27"/>
  <c r="L60" i="27"/>
  <c r="M49" i="27"/>
  <c r="M33" i="27"/>
  <c r="M32" i="27"/>
  <c r="M92" i="27"/>
  <c r="L89" i="27"/>
  <c r="M43" i="27"/>
  <c r="L19" i="27"/>
  <c r="M78" i="27"/>
  <c r="L58" i="27"/>
  <c r="L24" i="27"/>
  <c r="L97" i="27"/>
  <c r="L73" i="27"/>
  <c r="M91" i="27"/>
  <c r="M16" i="27"/>
  <c r="M86" i="27"/>
  <c r="M66" i="27"/>
  <c r="L66" i="27"/>
  <c r="L52" i="27"/>
  <c r="M52" i="27"/>
  <c r="M26" i="27"/>
  <c r="L26" i="27"/>
  <c r="L45" i="27"/>
  <c r="M45" i="27"/>
  <c r="L22" i="27"/>
  <c r="M22" i="27"/>
  <c r="L30" i="27"/>
  <c r="M30" i="27"/>
  <c r="L61" i="27"/>
  <c r="M61" i="27"/>
  <c r="L15" i="27"/>
  <c r="M15" i="27"/>
  <c r="M95" i="27"/>
  <c r="L95" i="27"/>
  <c r="L84" i="27"/>
  <c r="M84" i="27"/>
  <c r="M13" i="27"/>
  <c r="L13" i="27"/>
  <c r="L83" i="27"/>
  <c r="M83" i="27"/>
  <c r="L85" i="27"/>
  <c r="M85" i="27"/>
  <c r="L25" i="27"/>
  <c r="M25" i="27"/>
  <c r="L51" i="27"/>
  <c r="M51" i="27"/>
  <c r="M23" i="27"/>
  <c r="L23" i="27"/>
  <c r="M18" i="27"/>
  <c r="L18" i="27"/>
  <c r="M69" i="27"/>
  <c r="L69" i="27"/>
  <c r="M56" i="27"/>
  <c r="L56" i="27"/>
  <c r="M44" i="27"/>
  <c r="L44" i="27"/>
  <c r="M75" i="27"/>
  <c r="L75" i="27"/>
  <c r="M38" i="27"/>
  <c r="L38" i="27"/>
  <c r="L53" i="27"/>
  <c r="M53" i="27"/>
  <c r="M96" i="27"/>
  <c r="L96" i="27"/>
  <c r="M88" i="27"/>
  <c r="L88" i="27"/>
  <c r="L79" i="27"/>
  <c r="M79" i="27"/>
  <c r="M57" i="27"/>
  <c r="L57" i="27"/>
  <c r="L21" i="27"/>
  <c r="M21" i="27"/>
  <c r="L47" i="27"/>
  <c r="M47" i="27"/>
  <c r="M40" i="27"/>
  <c r="L40" i="27"/>
  <c r="M50" i="27"/>
  <c r="L50" i="27"/>
  <c r="M14" i="27"/>
  <c r="L14" i="27"/>
  <c r="M70" i="27"/>
  <c r="L70" i="27"/>
  <c r="L36" i="27"/>
  <c r="M36" i="27"/>
  <c r="M28" i="27"/>
  <c r="L28" i="27"/>
  <c r="L77" i="27"/>
  <c r="M77" i="27"/>
  <c r="M55" i="27"/>
  <c r="L55" i="27"/>
  <c r="L74" i="27"/>
  <c r="M74" i="27"/>
  <c r="M46" i="27"/>
  <c r="L46" i="27"/>
  <c r="L94" i="27"/>
  <c r="M94" i="27"/>
  <c r="M90" i="27"/>
  <c r="L90" i="27"/>
  <c r="M82" i="27"/>
  <c r="L82" i="27"/>
  <c r="M76" i="27"/>
  <c r="L76" i="27"/>
  <c r="L62" i="27"/>
  <c r="M62" i="27"/>
  <c r="L27" i="27"/>
  <c r="M27" i="27"/>
  <c r="M72" i="27"/>
  <c r="L72" i="27"/>
  <c r="L93" i="27"/>
  <c r="M93" i="27"/>
  <c r="L81" i="27"/>
  <c r="M81" i="27"/>
  <c r="L39" i="27"/>
  <c r="M39" i="27"/>
  <c r="M41" i="27"/>
  <c r="L41" i="27"/>
  <c r="M31" i="27"/>
  <c r="L31" i="27"/>
  <c r="B126" i="2"/>
  <c r="B46" i="2"/>
  <c r="B140" i="2"/>
  <c r="B351" i="2"/>
  <c r="AM42" i="21" s="1"/>
  <c r="B337" i="2"/>
  <c r="B42" i="21" s="1"/>
  <c r="B47" i="2"/>
  <c r="B380" i="2" s="1"/>
  <c r="B7" i="2"/>
  <c r="B150" i="2"/>
  <c r="B330" i="2"/>
  <c r="R10" i="8"/>
  <c r="B350" i="2"/>
  <c r="B167" i="2"/>
  <c r="B332" i="2"/>
  <c r="B362" i="2" s="1"/>
  <c r="B342" i="2"/>
  <c r="B333" i="2"/>
  <c r="B334" i="2"/>
  <c r="B41" i="21" s="1"/>
  <c r="B339" i="2"/>
  <c r="B338" i="2"/>
  <c r="B43" i="21" s="1"/>
  <c r="B345" i="2"/>
  <c r="B312" i="2"/>
  <c r="B156" i="2"/>
  <c r="B331" i="2"/>
  <c r="D7" i="6"/>
  <c r="D6" i="6"/>
  <c r="D10" i="6"/>
  <c r="D9"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7" i="8" s="1"/>
  <c r="A69" i="8" s="1"/>
  <c r="A81" i="8" s="1"/>
  <c r="A93" i="8" s="1"/>
  <c r="A105" i="8" s="1"/>
  <c r="A117" i="8" s="1"/>
  <c r="A129" i="8" s="1"/>
  <c r="A141" i="8" s="1"/>
  <c r="A153" i="8" s="1"/>
  <c r="A56" i="8"/>
  <c r="A68" i="8" s="1"/>
  <c r="A80" i="8" s="1"/>
  <c r="A92" i="8" s="1"/>
  <c r="A104" i="8" s="1"/>
  <c r="A116" i="8" s="1"/>
  <c r="A128" i="8" s="1"/>
  <c r="A140" i="8" s="1"/>
  <c r="A152" i="8" s="1"/>
  <c r="B116" i="2"/>
  <c r="A395" i="2"/>
  <c r="A417" i="2"/>
  <c r="B447" i="2"/>
  <c r="A36" i="16" l="1"/>
  <c r="B146" i="2"/>
  <c r="B143" i="2"/>
  <c r="D147" i="2"/>
  <c r="B404" i="2"/>
  <c r="B301" i="2"/>
  <c r="R14" i="8" s="1"/>
  <c r="S14" i="8" s="1"/>
  <c r="D301" i="2" s="1"/>
  <c r="B405" i="2" s="1"/>
  <c r="AI49" i="27"/>
  <c r="AK49" i="27" s="1"/>
  <c r="AM49" i="27" s="1"/>
  <c r="AI92" i="27"/>
  <c r="AK92" i="27" s="1"/>
  <c r="AM92" i="27" s="1"/>
  <c r="AI29" i="27"/>
  <c r="AK29" i="27" s="1"/>
  <c r="AM29" i="27" s="1"/>
  <c r="AI51" i="27"/>
  <c r="AK51" i="27" s="1"/>
  <c r="AM51" i="27" s="1"/>
  <c r="AI88" i="27"/>
  <c r="AK88" i="27" s="1"/>
  <c r="AM88" i="27" s="1"/>
  <c r="AI90" i="27"/>
  <c r="AK90" i="27" s="1"/>
  <c r="AN90" i="27" s="1"/>
  <c r="AI24" i="27"/>
  <c r="AK24" i="27" s="1"/>
  <c r="AN24" i="27" s="1"/>
  <c r="AI19" i="27"/>
  <c r="AK19" i="27" s="1"/>
  <c r="AN19" i="27" s="1"/>
  <c r="AI50" i="27"/>
  <c r="AK50" i="27" s="1"/>
  <c r="AN50" i="27" s="1"/>
  <c r="AI47" i="27"/>
  <c r="AK47" i="27" s="1"/>
  <c r="AN47" i="27" s="1"/>
  <c r="AI57" i="27"/>
  <c r="AK57" i="27" s="1"/>
  <c r="AN57" i="27" s="1"/>
  <c r="AI36" i="27"/>
  <c r="AK36" i="27" s="1"/>
  <c r="AN36" i="27" s="1"/>
  <c r="AI18" i="27"/>
  <c r="AK18" i="27" s="1"/>
  <c r="AM18" i="27" s="1"/>
  <c r="AI77" i="27"/>
  <c r="AK77" i="27" s="1"/>
  <c r="AN77" i="27" s="1"/>
  <c r="AI26" i="27"/>
  <c r="AK26" i="27" s="1"/>
  <c r="AM26" i="27" s="1"/>
  <c r="AI17" i="27"/>
  <c r="AK17" i="27" s="1"/>
  <c r="AN17" i="27" s="1"/>
  <c r="AI95" i="27"/>
  <c r="AK95" i="27" s="1"/>
  <c r="AN95" i="27" s="1"/>
  <c r="AI30" i="27"/>
  <c r="AK30" i="27" s="1"/>
  <c r="AM30" i="27" s="1"/>
  <c r="AI70" i="27"/>
  <c r="AK70" i="27" s="1"/>
  <c r="AM70" i="27" s="1"/>
  <c r="AI84" i="27"/>
  <c r="AK84" i="27" s="1"/>
  <c r="AM84" i="27" s="1"/>
  <c r="AI91" i="27"/>
  <c r="AK91" i="27" s="1"/>
  <c r="AM91" i="27" s="1"/>
  <c r="AI86" i="27"/>
  <c r="AK86" i="27" s="1"/>
  <c r="AM86" i="27" s="1"/>
  <c r="AI35" i="27"/>
  <c r="AK35" i="27" s="1"/>
  <c r="AN35" i="27" s="1"/>
  <c r="AI76" i="27"/>
  <c r="AK76" i="27" s="1"/>
  <c r="AM76" i="27" s="1"/>
  <c r="AI46" i="27"/>
  <c r="AK46" i="27" s="1"/>
  <c r="AN46" i="27" s="1"/>
  <c r="AI43" i="27"/>
  <c r="AK43" i="27" s="1"/>
  <c r="AN43" i="27" s="1"/>
  <c r="AI58" i="27"/>
  <c r="AK58" i="27" s="1"/>
  <c r="AM58" i="27" s="1"/>
  <c r="AI40" i="27"/>
  <c r="AK40" i="27" s="1"/>
  <c r="AN40" i="27" s="1"/>
  <c r="AI21" i="27"/>
  <c r="AK21" i="27" s="1"/>
  <c r="AM21" i="27" s="1"/>
  <c r="AI85" i="27"/>
  <c r="AK85" i="27" s="1"/>
  <c r="AM85" i="27" s="1"/>
  <c r="AI83" i="27"/>
  <c r="AK83" i="27" s="1"/>
  <c r="AM83" i="27" s="1"/>
  <c r="AI45" i="27"/>
  <c r="AK45" i="27" s="1"/>
  <c r="AM45" i="27" s="1"/>
  <c r="AI23" i="27"/>
  <c r="AK23" i="27" s="1"/>
  <c r="AN23" i="27" s="1"/>
  <c r="AI48" i="27"/>
  <c r="AK48" i="27" s="1"/>
  <c r="AN48" i="27" s="1"/>
  <c r="AI63" i="27"/>
  <c r="AK63" i="27" s="1"/>
  <c r="AM63" i="27" s="1"/>
  <c r="AI15" i="27"/>
  <c r="AK15" i="27" s="1"/>
  <c r="AN15" i="27" s="1"/>
  <c r="AI25" i="27"/>
  <c r="AK25" i="27" s="1"/>
  <c r="AM25" i="27" s="1"/>
  <c r="AI82" i="27"/>
  <c r="AK82" i="27" s="1"/>
  <c r="AN82" i="27" s="1"/>
  <c r="AI20" i="27"/>
  <c r="AK20" i="27" s="1"/>
  <c r="AN20" i="27" s="1"/>
  <c r="AI27" i="27"/>
  <c r="AK27" i="27" s="1"/>
  <c r="AM27" i="27" s="1"/>
  <c r="AI87" i="27"/>
  <c r="AK87" i="27" s="1"/>
  <c r="AN87" i="27" s="1"/>
  <c r="AI66" i="27"/>
  <c r="AK66" i="27" s="1"/>
  <c r="AN66" i="27" s="1"/>
  <c r="AI42" i="27"/>
  <c r="AK42" i="27" s="1"/>
  <c r="AM42" i="27" s="1"/>
  <c r="AI52" i="27"/>
  <c r="AK52" i="27" s="1"/>
  <c r="AN52" i="27" s="1"/>
  <c r="AI54" i="27"/>
  <c r="AK54" i="27" s="1"/>
  <c r="AI32" i="27"/>
  <c r="AK32" i="27" s="1"/>
  <c r="AI31" i="27"/>
  <c r="AK31" i="27" s="1"/>
  <c r="AI39" i="27"/>
  <c r="AK39" i="27" s="1"/>
  <c r="AI93" i="27"/>
  <c r="AK93" i="27" s="1"/>
  <c r="AI69" i="27"/>
  <c r="AK69" i="27" s="1"/>
  <c r="AI96" i="27"/>
  <c r="AK96" i="27" s="1"/>
  <c r="AI38" i="27"/>
  <c r="AK38" i="27" s="1"/>
  <c r="AI44" i="27"/>
  <c r="AK44" i="27" s="1"/>
  <c r="AI61" i="27"/>
  <c r="AK61" i="27" s="1"/>
  <c r="AI72" i="27"/>
  <c r="AK72" i="27" s="1"/>
  <c r="AI59" i="27"/>
  <c r="AK59" i="27" s="1"/>
  <c r="AI37" i="27"/>
  <c r="AK37" i="27" s="1"/>
  <c r="AI28" i="27"/>
  <c r="AK28" i="27" s="1"/>
  <c r="AI73" i="27"/>
  <c r="AK73" i="27" s="1"/>
  <c r="AI89" i="27"/>
  <c r="AK89" i="27" s="1"/>
  <c r="AI34" i="27"/>
  <c r="AK34" i="27" s="1"/>
  <c r="AI60" i="27"/>
  <c r="AK60" i="27" s="1"/>
  <c r="AI80" i="27"/>
  <c r="AK80" i="27" s="1"/>
  <c r="AI64" i="27"/>
  <c r="AK64" i="27" s="1"/>
  <c r="AI79" i="27"/>
  <c r="AK79" i="27" s="1"/>
  <c r="AI94" i="27"/>
  <c r="AK94" i="27" s="1"/>
  <c r="AI33" i="27"/>
  <c r="AK33" i="27" s="1"/>
  <c r="AI16" i="27"/>
  <c r="AK16" i="27" s="1"/>
  <c r="AI41" i="27"/>
  <c r="AK41" i="27" s="1"/>
  <c r="AI81" i="27"/>
  <c r="AK81" i="27" s="1"/>
  <c r="AI55" i="27"/>
  <c r="AK55" i="27" s="1"/>
  <c r="AI22" i="27"/>
  <c r="AK22" i="27" s="1"/>
  <c r="AI53" i="27"/>
  <c r="AK53" i="27" s="1"/>
  <c r="AI75" i="27"/>
  <c r="AK75" i="27" s="1"/>
  <c r="AI56" i="27"/>
  <c r="AK56" i="27" s="1"/>
  <c r="AI74" i="27"/>
  <c r="AK74" i="27" s="1"/>
  <c r="AI62" i="27"/>
  <c r="AK62" i="27" s="1"/>
  <c r="AI14" i="27"/>
  <c r="AK14" i="27" s="1"/>
  <c r="AI67" i="27"/>
  <c r="AK67" i="27" s="1"/>
  <c r="AI97" i="27"/>
  <c r="AK97" i="27" s="1"/>
  <c r="AI78" i="27"/>
  <c r="AK78" i="27" s="1"/>
  <c r="AI68" i="27"/>
  <c r="AK68" i="27" s="1"/>
  <c r="AI71" i="27"/>
  <c r="AK71" i="27" s="1"/>
  <c r="AI65" i="27"/>
  <c r="AK65" i="27" s="1"/>
  <c r="B169"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AM67" i="21"/>
  <c r="AM100" i="21"/>
  <c r="AM23" i="21"/>
  <c r="AM11" i="21"/>
  <c r="AM33" i="21"/>
  <c r="AM69" i="21"/>
  <c r="AM43" i="21"/>
  <c r="AM64" i="21"/>
  <c r="AM77" i="21"/>
  <c r="AM55" i="21"/>
  <c r="AM82" i="21"/>
  <c r="AM99" i="21"/>
  <c r="AM27" i="21"/>
  <c r="AM44" i="21"/>
  <c r="AM101" i="21"/>
  <c r="AM53" i="21"/>
  <c r="AM104" i="21"/>
  <c r="AM46" i="21"/>
  <c r="AM21" i="21"/>
  <c r="AM13" i="21"/>
  <c r="AM65" i="21"/>
  <c r="AM45" i="21"/>
  <c r="AM81" i="21"/>
  <c r="AM48" i="21"/>
  <c r="AM57" i="21"/>
  <c r="AM105" i="21"/>
  <c r="AM80" i="21"/>
  <c r="AM29" i="21"/>
  <c r="AM61" i="21"/>
  <c r="AM72" i="21"/>
  <c r="AM89" i="21"/>
  <c r="AM93" i="21"/>
  <c r="AM56" i="21"/>
  <c r="AM92" i="21"/>
  <c r="AM91" i="21"/>
  <c r="AM49" i="21"/>
  <c r="AM12" i="21"/>
  <c r="AM24" i="21"/>
  <c r="AM10" i="21"/>
  <c r="AM73" i="21"/>
  <c r="AM70" i="21"/>
  <c r="AM34" i="21"/>
  <c r="AM54" i="21"/>
  <c r="AM39" i="21"/>
  <c r="AM90" i="21"/>
  <c r="AM109" i="21"/>
  <c r="AM38" i="21"/>
  <c r="AM28" i="21"/>
  <c r="AM15" i="21"/>
  <c r="AM88" i="21"/>
  <c r="AM83" i="21"/>
  <c r="AM87" i="21"/>
  <c r="AM75" i="21"/>
  <c r="AM9" i="21"/>
  <c r="AM51" i="21"/>
  <c r="AM17" i="21"/>
  <c r="AM103" i="21"/>
  <c r="AM63" i="21"/>
  <c r="AM32" i="21"/>
  <c r="AM31" i="21"/>
  <c r="AM94" i="21"/>
  <c r="AM62" i="21"/>
  <c r="AM50" i="21"/>
  <c r="AM20" i="21"/>
  <c r="AM85" i="21"/>
  <c r="AM26" i="21"/>
  <c r="AM41" i="21"/>
  <c r="AM68" i="21"/>
  <c r="AM86" i="21"/>
  <c r="AM37" i="21"/>
  <c r="AM58" i="21"/>
  <c r="AM96" i="21"/>
  <c r="AM107" i="21"/>
  <c r="AM66" i="21"/>
  <c r="AM59" i="21"/>
  <c r="AM76" i="21"/>
  <c r="AM35" i="21"/>
  <c r="AM19" i="21"/>
  <c r="AM14" i="21"/>
  <c r="AM74" i="21"/>
  <c r="AM98" i="21"/>
  <c r="AM30" i="21"/>
  <c r="AM95" i="21"/>
  <c r="AM47" i="21"/>
  <c r="AM60" i="21"/>
  <c r="AM97" i="21"/>
  <c r="AM22" i="21"/>
  <c r="AM71" i="21"/>
  <c r="AM106" i="21"/>
  <c r="AM18" i="21"/>
  <c r="AM102" i="21"/>
  <c r="AM79" i="21"/>
  <c r="AM16" i="21"/>
  <c r="AM78" i="21"/>
  <c r="AM25" i="21"/>
  <c r="AM52" i="21"/>
  <c r="AM36" i="21"/>
  <c r="AM84" i="21"/>
  <c r="AM108" i="21"/>
  <c r="AM40" i="21"/>
  <c r="B144" i="2"/>
  <c r="B340" i="2"/>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80" i="2"/>
  <c r="B54" i="2"/>
  <c r="B53" i="2"/>
  <c r="B52" i="2"/>
  <c r="B164" i="2" s="1"/>
  <c r="B36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D46" i="16"/>
  <c r="G251" i="2"/>
  <c r="B58" i="21"/>
  <c r="AL9" i="21"/>
  <c r="B37" i="21"/>
  <c r="M9" i="21"/>
  <c r="N9" i="21" s="1"/>
  <c r="B204" i="2"/>
  <c r="B203" i="2"/>
  <c r="B207" i="2" s="1"/>
  <c r="B118" i="2"/>
  <c r="B37" i="2"/>
  <c r="B19" i="2"/>
  <c r="B450"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68" i="2"/>
  <c r="B403" i="2"/>
  <c r="A380" i="2"/>
  <c r="B49" i="2"/>
  <c r="B256" i="2"/>
  <c r="R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4" i="2"/>
  <c r="B34" i="2"/>
  <c r="B401" i="2"/>
  <c r="R4" i="8"/>
  <c r="S4" i="8" s="1"/>
  <c r="S10" i="8"/>
  <c r="F66" i="1"/>
  <c r="B314"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1"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3" i="6" s="1"/>
  <c r="B14" i="6" s="1"/>
  <c r="B72" i="2"/>
  <c r="B237" i="2"/>
  <c r="B168"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AM57" i="27" l="1"/>
  <c r="AM50" i="27"/>
  <c r="AN49" i="27"/>
  <c r="AN58" i="27"/>
  <c r="AN70" i="27"/>
  <c r="AN29" i="27"/>
  <c r="AN26" i="27"/>
  <c r="AM24" i="27"/>
  <c r="AM43" i="27"/>
  <c r="AM47" i="27"/>
  <c r="AM48" i="27"/>
  <c r="B142" i="2"/>
  <c r="B147" i="2" s="1"/>
  <c r="B134" i="2"/>
  <c r="D132" i="2"/>
  <c r="AM90" i="27"/>
  <c r="AM77" i="27"/>
  <c r="AN85" i="27"/>
  <c r="AN86" i="27"/>
  <c r="AM82" i="27"/>
  <c r="AM66" i="27"/>
  <c r="AN92" i="27"/>
  <c r="AN88" i="27"/>
  <c r="AN21" i="27"/>
  <c r="AN30" i="27"/>
  <c r="AN83" i="27"/>
  <c r="AM35" i="27"/>
  <c r="AM20" i="27"/>
  <c r="AN63" i="27"/>
  <c r="AN84" i="27"/>
  <c r="AM17" i="27"/>
  <c r="AM19" i="27"/>
  <c r="AN51" i="27"/>
  <c r="AM36" i="27"/>
  <c r="AN25" i="27"/>
  <c r="AM46" i="27"/>
  <c r="AM95" i="27"/>
  <c r="AN18" i="27"/>
  <c r="AM40" i="27"/>
  <c r="AN76" i="27"/>
  <c r="AN42" i="27"/>
  <c r="AM15" i="27"/>
  <c r="AN45" i="27"/>
  <c r="AN91" i="27"/>
  <c r="AM23" i="27"/>
  <c r="AM87" i="27"/>
  <c r="AN27" i="27"/>
  <c r="AM52" i="27"/>
  <c r="AM62" i="27"/>
  <c r="AN62" i="27"/>
  <c r="AM41" i="27"/>
  <c r="AN41" i="27"/>
  <c r="AN80" i="27"/>
  <c r="AM80" i="27"/>
  <c r="AM73" i="27"/>
  <c r="AN73" i="27"/>
  <c r="AN72" i="27"/>
  <c r="AM72" i="27"/>
  <c r="AN96" i="27"/>
  <c r="AM96" i="27"/>
  <c r="AN31" i="27"/>
  <c r="AM31" i="27"/>
  <c r="AM65" i="27"/>
  <c r="AN65" i="27"/>
  <c r="AM97" i="27"/>
  <c r="E16" i="29" s="1"/>
  <c r="AN97" i="27"/>
  <c r="AN74" i="27"/>
  <c r="AM74" i="27"/>
  <c r="AM22" i="27"/>
  <c r="AN22" i="27"/>
  <c r="AN16" i="27"/>
  <c r="AM16" i="27"/>
  <c r="AN60" i="27"/>
  <c r="AM60" i="27"/>
  <c r="AN28" i="27"/>
  <c r="AM28" i="27"/>
  <c r="AM61" i="27"/>
  <c r="AN61" i="27"/>
  <c r="AM69" i="27"/>
  <c r="AN69" i="27"/>
  <c r="AM32" i="27"/>
  <c r="AN32" i="27"/>
  <c r="AN79" i="27"/>
  <c r="AM79" i="27"/>
  <c r="AN71" i="27"/>
  <c r="AM71" i="27"/>
  <c r="AM67" i="27"/>
  <c r="AN67" i="27"/>
  <c r="AN56" i="27"/>
  <c r="AM56" i="27"/>
  <c r="AM55" i="27"/>
  <c r="AN55" i="27"/>
  <c r="AN33" i="27"/>
  <c r="AM33" i="27"/>
  <c r="AN34" i="27"/>
  <c r="AM34" i="27"/>
  <c r="AM37" i="27"/>
  <c r="AN37" i="27"/>
  <c r="AM44" i="27"/>
  <c r="AN44" i="27"/>
  <c r="AM93" i="27"/>
  <c r="AN93" i="27"/>
  <c r="AM54" i="27"/>
  <c r="AN54" i="27"/>
  <c r="AM78" i="27"/>
  <c r="AN78" i="27"/>
  <c r="AN53" i="27"/>
  <c r="AM53" i="27"/>
  <c r="AN68" i="27"/>
  <c r="AM68" i="27"/>
  <c r="AM14" i="27"/>
  <c r="AN14" i="27"/>
  <c r="AM75" i="27"/>
  <c r="AN75" i="27"/>
  <c r="AN81" i="27"/>
  <c r="AM81" i="27"/>
  <c r="AN94" i="27"/>
  <c r="AM94" i="27"/>
  <c r="AN64" i="27"/>
  <c r="AM64" i="27"/>
  <c r="AN89" i="27"/>
  <c r="AM89" i="27"/>
  <c r="AM59" i="27"/>
  <c r="AN59" i="27"/>
  <c r="AN38" i="27"/>
  <c r="AM38" i="27"/>
  <c r="AN39" i="27"/>
  <c r="AM39" i="27"/>
  <c r="C451" i="2"/>
  <c r="B451" i="2"/>
  <c r="M131" i="2"/>
  <c r="B58" i="2"/>
  <c r="K131" i="2"/>
  <c r="K134" i="2" s="1"/>
  <c r="B57" i="2"/>
  <c r="B68" i="2" s="1"/>
  <c r="E29" i="1" s="1"/>
  <c r="P9" i="21"/>
  <c r="Q9" i="21" s="1"/>
  <c r="AE9" i="21" s="1"/>
  <c r="O9" i="21"/>
  <c r="B363" i="2"/>
  <c r="B364" i="2" s="1"/>
  <c r="E103" i="1" s="1"/>
  <c r="E102" i="1"/>
  <c r="AL70" i="21"/>
  <c r="AL54" i="21"/>
  <c r="AL10" i="21"/>
  <c r="AL95" i="21"/>
  <c r="AL79" i="21"/>
  <c r="AL63" i="21"/>
  <c r="AL31" i="21"/>
  <c r="AL84" i="21"/>
  <c r="AL68" i="21"/>
  <c r="AL52" i="21"/>
  <c r="AL20" i="21"/>
  <c r="AL109" i="21"/>
  <c r="AL93" i="21"/>
  <c r="AL77" i="21"/>
  <c r="AL61" i="21"/>
  <c r="AL45" i="21"/>
  <c r="AL21" i="21"/>
  <c r="B68" i="21"/>
  <c r="B69" i="21" s="1"/>
  <c r="AL98" i="21"/>
  <c r="AL90" i="21"/>
  <c r="AL82" i="21"/>
  <c r="AL74" i="21"/>
  <c r="AL66" i="21"/>
  <c r="AL58" i="21"/>
  <c r="AL34" i="21"/>
  <c r="AL18" i="21"/>
  <c r="AL99" i="21"/>
  <c r="AL91" i="21"/>
  <c r="AL83" i="21"/>
  <c r="AL75" i="21"/>
  <c r="AL67" i="21"/>
  <c r="AL59" i="21"/>
  <c r="AL35" i="21"/>
  <c r="AL27" i="21"/>
  <c r="AL38" i="21"/>
  <c r="AL78" i="21"/>
  <c r="AL62" i="21"/>
  <c r="AL46" i="21"/>
  <c r="AL30" i="21"/>
  <c r="AL14" i="21"/>
  <c r="AL103" i="21"/>
  <c r="AL87" i="21"/>
  <c r="AL71" i="21"/>
  <c r="AL55" i="21"/>
  <c r="AL39" i="21"/>
  <c r="AL15" i="21"/>
  <c r="AL108" i="21"/>
  <c r="AL60" i="21"/>
  <c r="AL44" i="21"/>
  <c r="AL85" i="21"/>
  <c r="AL69" i="21"/>
  <c r="AL13" i="21"/>
  <c r="AL88" i="21"/>
  <c r="AL80" i="21"/>
  <c r="AL72" i="21"/>
  <c r="AL56" i="21"/>
  <c r="AL24" i="21"/>
  <c r="AL16" i="21"/>
  <c r="AL97" i="21"/>
  <c r="AL89" i="21"/>
  <c r="AL81" i="21"/>
  <c r="AL73" i="21"/>
  <c r="AL33" i="21"/>
  <c r="AL25" i="21"/>
  <c r="AL17" i="21"/>
  <c r="AL104" i="21"/>
  <c r="AL11" i="21"/>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S38" i="8"/>
  <c r="R38" i="8"/>
  <c r="I4" i="8"/>
  <c r="B56" i="2"/>
  <c r="B131" i="2" s="1"/>
  <c r="K3" i="17"/>
  <c r="E563" i="17" s="1"/>
  <c r="B210" i="2"/>
  <c r="B214" i="2" s="1"/>
  <c r="B213" i="2"/>
  <c r="B9" i="8"/>
  <c r="B8" i="8" s="1"/>
  <c r="B7" i="8" s="1"/>
  <c r="B6" i="8" s="1"/>
  <c r="B4" i="8" s="1"/>
  <c r="B444" i="2"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58" i="2"/>
  <c r="B193" i="2"/>
  <c r="B416" i="2" s="1"/>
  <c r="B359" i="2"/>
  <c r="B230" i="2"/>
  <c r="B208" i="2"/>
  <c r="B23" i="2"/>
  <c r="B21" i="2"/>
  <c r="B22"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S11" i="8"/>
  <c r="B257" i="2" s="1"/>
  <c r="B418" i="2" s="1"/>
  <c r="C50" i="16"/>
  <c r="D50" i="16" s="1"/>
  <c r="B50" i="2"/>
  <c r="E62" i="1"/>
  <c r="B151" i="2" l="1"/>
  <c r="B148" i="2"/>
  <c r="B153" i="2"/>
  <c r="B152" i="2"/>
  <c r="B159" i="2"/>
  <c r="B158" i="2"/>
  <c r="B161" i="2"/>
  <c r="B113" i="2"/>
  <c r="B160" i="2"/>
  <c r="B69"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AN51" i="21" s="1"/>
  <c r="BE51" i="21" s="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AN83" i="21" s="1"/>
  <c r="BE83" i="21" s="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97" i="2"/>
  <c r="B101" i="2" s="1"/>
  <c r="B60" i="2"/>
  <c r="B67" i="2"/>
  <c r="B79" i="2"/>
  <c r="B225" i="2"/>
  <c r="B232" i="2"/>
  <c r="B224" i="2"/>
  <c r="AN9" i="21"/>
  <c r="S9" i="21"/>
  <c r="B111" i="2"/>
  <c r="E110" i="17"/>
  <c r="F329" i="17"/>
  <c r="E203" i="17"/>
  <c r="AF72" i="21"/>
  <c r="AF62" i="21"/>
  <c r="AF107" i="21"/>
  <c r="AF100" i="21"/>
  <c r="AF41" i="21"/>
  <c r="AF69" i="21"/>
  <c r="AF101" i="21"/>
  <c r="AF12" i="21"/>
  <c r="AF68" i="21"/>
  <c r="AF86" i="21"/>
  <c r="AF25" i="21"/>
  <c r="AF40" i="21"/>
  <c r="AF104" i="21"/>
  <c r="AF36" i="21"/>
  <c r="AF24" i="21"/>
  <c r="AF94" i="21"/>
  <c r="AF106" i="21"/>
  <c r="AF13" i="21"/>
  <c r="AF71" i="21"/>
  <c r="AF45" i="21"/>
  <c r="AF81" i="21"/>
  <c r="AF32" i="21"/>
  <c r="AF11" i="21"/>
  <c r="AF29" i="21"/>
  <c r="AF78" i="21"/>
  <c r="AF79" i="21"/>
  <c r="AF10" i="21"/>
  <c r="AF70" i="21"/>
  <c r="F64" i="17"/>
  <c r="AF35" i="21"/>
  <c r="AF51" i="21"/>
  <c r="AF83" i="21"/>
  <c r="AF34" i="21"/>
  <c r="AF50" i="21"/>
  <c r="AF66" i="21"/>
  <c r="AF98" i="21"/>
  <c r="AF84" i="2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V52" i="21"/>
  <c r="AJ52" i="21"/>
  <c r="V20" i="21"/>
  <c r="AJ20" i="21"/>
  <c r="V56" i="21"/>
  <c r="AJ56" i="21"/>
  <c r="V88" i="21"/>
  <c r="R88" i="21"/>
  <c r="AJ88" i="21"/>
  <c r="V61" i="21"/>
  <c r="R61" i="21"/>
  <c r="V64" i="21"/>
  <c r="R64" i="21"/>
  <c r="V89" i="21"/>
  <c r="R89" i="21"/>
  <c r="V67" i="21"/>
  <c r="R67" i="21"/>
  <c r="AJ67" i="21"/>
  <c r="V99" i="21"/>
  <c r="R99" i="21"/>
  <c r="V30" i="21"/>
  <c r="AJ30" i="21"/>
  <c r="R30" i="21"/>
  <c r="AJ35" i="21"/>
  <c r="R35" i="21"/>
  <c r="AJ84" i="21"/>
  <c r="AJ25" i="21"/>
  <c r="AJ24" i="21"/>
  <c r="R32" i="21"/>
  <c r="R29" i="21"/>
  <c r="V19" i="21"/>
  <c r="AJ19" i="21"/>
  <c r="V91" i="21"/>
  <c r="R91" i="21"/>
  <c r="AJ91" i="21"/>
  <c r="V21" i="21"/>
  <c r="AJ21" i="21"/>
  <c r="R21" i="21"/>
  <c r="V44" i="21"/>
  <c r="R44" i="21"/>
  <c r="AJ44" i="21"/>
  <c r="V23" i="21"/>
  <c r="AJ23" i="21"/>
  <c r="R23" i="21"/>
  <c r="V97" i="21"/>
  <c r="AJ97" i="21"/>
  <c r="R97" i="21"/>
  <c r="V51" i="21"/>
  <c r="AJ51" i="21"/>
  <c r="V42" i="21"/>
  <c r="AJ42" i="21"/>
  <c r="R42" i="21"/>
  <c r="V92" i="21"/>
  <c r="R92" i="21"/>
  <c r="AJ92" i="21"/>
  <c r="V95" i="21"/>
  <c r="AJ95" i="21"/>
  <c r="R95" i="21"/>
  <c r="V33" i="21"/>
  <c r="R33" i="21"/>
  <c r="AJ33" i="21"/>
  <c r="V48" i="21"/>
  <c r="R48" i="21"/>
  <c r="AJ48" i="21"/>
  <c r="V27" i="21"/>
  <c r="R27" i="21"/>
  <c r="AJ27" i="21"/>
  <c r="N43" i="21"/>
  <c r="V83" i="21"/>
  <c r="AJ83" i="21"/>
  <c r="V58" i="21"/>
  <c r="R58" i="21"/>
  <c r="AJ58" i="21"/>
  <c r="V54" i="21"/>
  <c r="AJ54" i="21"/>
  <c r="R54" i="21"/>
  <c r="V85" i="21"/>
  <c r="AJ85" i="21"/>
  <c r="R85" i="21"/>
  <c r="V60" i="21"/>
  <c r="R60" i="21"/>
  <c r="AJ60" i="21"/>
  <c r="V73" i="21"/>
  <c r="AJ73" i="21"/>
  <c r="R73" i="21"/>
  <c r="V15" i="21"/>
  <c r="AJ15" i="21"/>
  <c r="R15" i="21"/>
  <c r="V93" i="21"/>
  <c r="AJ93" i="21"/>
  <c r="R93" i="21"/>
  <c r="V55" i="21"/>
  <c r="AJ55" i="21"/>
  <c r="R55" i="21"/>
  <c r="V65" i="21"/>
  <c r="AJ65" i="21"/>
  <c r="R65" i="21"/>
  <c r="R19" i="21"/>
  <c r="V59" i="21"/>
  <c r="R59" i="21"/>
  <c r="AJ59" i="21"/>
  <c r="N75" i="21"/>
  <c r="V74" i="21"/>
  <c r="AJ74" i="21"/>
  <c r="R74" i="21"/>
  <c r="V90" i="21"/>
  <c r="AJ90" i="21"/>
  <c r="R90" i="21"/>
  <c r="V63" i="21"/>
  <c r="AJ63" i="21"/>
  <c r="R63" i="21"/>
  <c r="V53" i="21"/>
  <c r="AJ53" i="21"/>
  <c r="R53" i="21"/>
  <c r="V28" i="21"/>
  <c r="AJ28" i="21"/>
  <c r="R28" i="21"/>
  <c r="V87" i="21"/>
  <c r="R87" i="21"/>
  <c r="AJ87" i="21"/>
  <c r="AB35" i="21"/>
  <c r="AH35" i="21"/>
  <c r="Y35" i="21"/>
  <c r="AH67" i="21"/>
  <c r="AB67" i="21"/>
  <c r="Y67" i="21"/>
  <c r="AH99" i="21"/>
  <c r="AB99" i="21"/>
  <c r="Y99" i="21"/>
  <c r="R107" i="21"/>
  <c r="R34" i="21"/>
  <c r="AH50" i="21"/>
  <c r="AB50" i="21"/>
  <c r="Y50" i="21"/>
  <c r="AJ50" i="21"/>
  <c r="R66" i="21"/>
  <c r="R98" i="21"/>
  <c r="R106" i="21"/>
  <c r="R78" i="21"/>
  <c r="AJ13" i="21"/>
  <c r="AH29" i="21"/>
  <c r="Y29" i="21"/>
  <c r="AB29" i="21"/>
  <c r="N37" i="21"/>
  <c r="AJ45" i="21"/>
  <c r="AH61" i="21"/>
  <c r="Y61" i="21"/>
  <c r="AB61" i="21"/>
  <c r="AH69" i="21"/>
  <c r="Y69" i="21"/>
  <c r="AB69" i="21"/>
  <c r="AH101" i="21"/>
  <c r="Y101" i="21"/>
  <c r="AB101" i="21"/>
  <c r="AJ101" i="21"/>
  <c r="R20" i="21"/>
  <c r="AH36" i="21"/>
  <c r="AB36" i="21"/>
  <c r="Y36" i="21"/>
  <c r="R52" i="21"/>
  <c r="AH68" i="21"/>
  <c r="Y68" i="21"/>
  <c r="AB68" i="21"/>
  <c r="R84" i="21"/>
  <c r="AH100" i="21"/>
  <c r="Y100" i="21"/>
  <c r="AB100" i="21"/>
  <c r="AJ79" i="21"/>
  <c r="R10" i="21"/>
  <c r="AH86" i="21"/>
  <c r="AB86" i="21"/>
  <c r="Y86" i="21"/>
  <c r="AH12" i="21"/>
  <c r="Y12" i="21"/>
  <c r="AB12" i="21"/>
  <c r="R25" i="21"/>
  <c r="AH41" i="21"/>
  <c r="AB41" i="21"/>
  <c r="Y41" i="21"/>
  <c r="R57" i="21"/>
  <c r="N105" i="21"/>
  <c r="R24" i="21"/>
  <c r="AH40" i="21"/>
  <c r="AB40" i="21"/>
  <c r="Y40" i="21"/>
  <c r="R56" i="2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H66" i="21"/>
  <c r="AB66" i="21"/>
  <c r="Y66" i="21"/>
  <c r="AJ66" i="21"/>
  <c r="N82" i="21"/>
  <c r="AH98" i="21"/>
  <c r="AB98" i="21"/>
  <c r="Y98" i="21"/>
  <c r="AJ98" i="21"/>
  <c r="AH30" i="21"/>
  <c r="AB30" i="21"/>
  <c r="Y30" i="21"/>
  <c r="N102" i="21"/>
  <c r="AH13" i="21"/>
  <c r="Y13" i="21"/>
  <c r="AB13" i="21"/>
  <c r="AJ29" i="21"/>
  <c r="AH45" i="21"/>
  <c r="Y45" i="21"/>
  <c r="AB45" i="21"/>
  <c r="AJ61" i="21"/>
  <c r="R69" i="21"/>
  <c r="N77" i="21"/>
  <c r="R101" i="21"/>
  <c r="N109" i="21"/>
  <c r="AH20" i="21"/>
  <c r="AB20" i="21"/>
  <c r="Y20" i="21"/>
  <c r="R36" i="21"/>
  <c r="AH52" i="21"/>
  <c r="Y52" i="21"/>
  <c r="AB52" i="21"/>
  <c r="R68" i="21"/>
  <c r="N76" i="21"/>
  <c r="AH84" i="21"/>
  <c r="Y84" i="21"/>
  <c r="AB84" i="21"/>
  <c r="R100" i="21"/>
  <c r="N108" i="21"/>
  <c r="AH79" i="21"/>
  <c r="AB79" i="21"/>
  <c r="Y79" i="21"/>
  <c r="N22" i="21"/>
  <c r="AH70" i="21"/>
  <c r="AB70" i="21"/>
  <c r="Y70" i="21"/>
  <c r="AJ70" i="21"/>
  <c r="R12" i="21"/>
  <c r="N17" i="21"/>
  <c r="AH25" i="21"/>
  <c r="AB25" i="21"/>
  <c r="Y25" i="21"/>
  <c r="R41" i="21"/>
  <c r="N49" i="21"/>
  <c r="AH57" i="21"/>
  <c r="Y57" i="21"/>
  <c r="AB57" i="21"/>
  <c r="AH81" i="21"/>
  <c r="Y81" i="21"/>
  <c r="AB81" i="21"/>
  <c r="AH89" i="21"/>
  <c r="Y89" i="21"/>
  <c r="AB89" i="21"/>
  <c r="AJ89" i="21"/>
  <c r="N16" i="21"/>
  <c r="AH24" i="21"/>
  <c r="AB24" i="21"/>
  <c r="Y24" i="21"/>
  <c r="AJ32" i="21"/>
  <c r="R40" i="21"/>
  <c r="AH56" i="21"/>
  <c r="Y56" i="21"/>
  <c r="AB56" i="21"/>
  <c r="AJ64" i="21"/>
  <c r="R72" i="21"/>
  <c r="N80" i="21"/>
  <c r="AH88" i="21"/>
  <c r="Y88" i="21"/>
  <c r="AB88" i="21"/>
  <c r="AJ96" i="21"/>
  <c r="R104" i="21"/>
  <c r="R11" i="21"/>
  <c r="AH71" i="21"/>
  <c r="AB71" i="21"/>
  <c r="Y71" i="21"/>
  <c r="N14" i="21"/>
  <c r="R62" i="2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H21" i="21"/>
  <c r="Y21" i="21"/>
  <c r="AB21" i="21"/>
  <c r="R45" i="2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H95" i="21"/>
  <c r="AB95" i="21"/>
  <c r="Y95" i="21"/>
  <c r="AH10" i="21"/>
  <c r="AB10" i="21"/>
  <c r="Y10" i="21"/>
  <c r="AJ10" i="21"/>
  <c r="N46" i="21"/>
  <c r="R70" i="21"/>
  <c r="R86" i="21"/>
  <c r="AJ86" i="21"/>
  <c r="AJ12" i="21"/>
  <c r="AH33" i="21"/>
  <c r="Y33" i="21"/>
  <c r="AB33" i="21"/>
  <c r="AJ41" i="21"/>
  <c r="AH65" i="21"/>
  <c r="Y65" i="21"/>
  <c r="AB65" i="21"/>
  <c r="R81" i="21"/>
  <c r="AH32" i="21"/>
  <c r="AB32" i="21"/>
  <c r="Y32" i="21"/>
  <c r="AJ40" i="21"/>
  <c r="AH64" i="21"/>
  <c r="AB64" i="21"/>
  <c r="Y64" i="21"/>
  <c r="AJ72" i="21"/>
  <c r="AH96" i="21"/>
  <c r="AB96" i="21"/>
  <c r="Y96" i="21"/>
  <c r="AJ104" i="21"/>
  <c r="AB11" i="21"/>
  <c r="AH11" i="21"/>
  <c r="Y11" i="21"/>
  <c r="AH15" i="21"/>
  <c r="AB15" i="21"/>
  <c r="Y15" i="21"/>
  <c r="N31" i="21"/>
  <c r="R71" i="21"/>
  <c r="AH87" i="21"/>
  <c r="AB87" i="21"/>
  <c r="Y87" i="21"/>
  <c r="N103" i="21"/>
  <c r="N38" i="21"/>
  <c r="AH62" i="21"/>
  <c r="AB62" i="21"/>
  <c r="Y62" i="21"/>
  <c r="R94" i="21"/>
  <c r="AJ94" i="21"/>
  <c r="S37" i="8"/>
  <c r="R37" i="8"/>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211" i="2"/>
  <c r="B170"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F6" i="17"/>
  <c r="B276" i="2"/>
  <c r="B275" i="2"/>
  <c r="B277" i="2"/>
  <c r="B16" i="6"/>
  <c r="B17" i="6"/>
  <c r="B154" i="2" l="1"/>
  <c r="E66" i="1"/>
  <c r="B162" i="2"/>
  <c r="E623" i="17"/>
  <c r="P623" i="17"/>
  <c r="O623" i="17"/>
  <c r="B265" i="2"/>
  <c r="Q6" i="17"/>
  <c r="B135" i="2"/>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AN86" i="21"/>
  <c r="BE86" i="21" s="1"/>
  <c r="S86" i="21"/>
  <c r="AN101" i="21"/>
  <c r="BE101" i="21" s="1"/>
  <c r="S101" i="21"/>
  <c r="AN50" i="21"/>
  <c r="BE50" i="21" s="1"/>
  <c r="S50" i="21"/>
  <c r="AN57" i="21"/>
  <c r="BE57" i="21" s="1"/>
  <c r="S57" i="21"/>
  <c r="AN52" i="21"/>
  <c r="BE52" i="21" s="1"/>
  <c r="S52" i="21"/>
  <c r="AN66" i="21"/>
  <c r="BE66" i="21" s="1"/>
  <c r="S66" i="21"/>
  <c r="AN59" i="21"/>
  <c r="BE59" i="21" s="1"/>
  <c r="S59" i="21"/>
  <c r="AN54" i="21"/>
  <c r="BE54" i="21" s="1"/>
  <c r="S54" i="21"/>
  <c r="AN58" i="21"/>
  <c r="BE58" i="21" s="1"/>
  <c r="S58" i="21"/>
  <c r="AN42" i="21"/>
  <c r="BE42" i="21" s="1"/>
  <c r="S42" i="21"/>
  <c r="AN23" i="21"/>
  <c r="BE23" i="21" s="1"/>
  <c r="S23" i="21"/>
  <c r="AN44" i="21"/>
  <c r="BE44" i="21" s="1"/>
  <c r="S44" i="21"/>
  <c r="AN99" i="21"/>
  <c r="BE99" i="21" s="1"/>
  <c r="S99" i="21"/>
  <c r="AN96" i="21"/>
  <c r="BE96" i="21" s="1"/>
  <c r="S96" i="21"/>
  <c r="AN94" i="21"/>
  <c r="BE94" i="21" s="1"/>
  <c r="S94" i="21"/>
  <c r="AN62" i="21"/>
  <c r="BE62" i="21" s="1"/>
  <c r="S62" i="21"/>
  <c r="AN72" i="21"/>
  <c r="BE72" i="21" s="1"/>
  <c r="S72" i="21"/>
  <c r="AN87" i="21"/>
  <c r="BE87" i="21" s="1"/>
  <c r="S87" i="21"/>
  <c r="AN93" i="21"/>
  <c r="BE93" i="21" s="1"/>
  <c r="S93" i="21"/>
  <c r="AN48" i="21"/>
  <c r="BE48" i="21" s="1"/>
  <c r="S48" i="21"/>
  <c r="AN97" i="21"/>
  <c r="BE97" i="21" s="1"/>
  <c r="S97" i="21"/>
  <c r="AN30" i="21"/>
  <c r="BE30" i="21" s="1"/>
  <c r="S30" i="21"/>
  <c r="AN61" i="21"/>
  <c r="BE61" i="21" s="1"/>
  <c r="S61" i="21"/>
  <c r="AN71" i="21"/>
  <c r="BE71" i="21" s="1"/>
  <c r="S71" i="21"/>
  <c r="AN81" i="21"/>
  <c r="BE81" i="21" s="1"/>
  <c r="S81" i="21"/>
  <c r="AN79" i="21"/>
  <c r="BE79" i="21" s="1"/>
  <c r="S79" i="21"/>
  <c r="AN11" i="21"/>
  <c r="BE11" i="21" s="1"/>
  <c r="S11" i="21"/>
  <c r="AN40" i="21"/>
  <c r="BE40" i="21" s="1"/>
  <c r="S40" i="21"/>
  <c r="AN100" i="21"/>
  <c r="BE100" i="21" s="1"/>
  <c r="S100" i="21"/>
  <c r="AN69" i="21"/>
  <c r="BE69" i="21" s="1"/>
  <c r="S69" i="21"/>
  <c r="AN56" i="21"/>
  <c r="BE56" i="21" s="1"/>
  <c r="S56" i="21"/>
  <c r="AN24" i="21"/>
  <c r="BE24" i="21" s="1"/>
  <c r="S24" i="21"/>
  <c r="AN106" i="21"/>
  <c r="BE106" i="21" s="1"/>
  <c r="S106" i="21"/>
  <c r="AN107" i="21"/>
  <c r="BE107" i="21" s="1"/>
  <c r="S107" i="21"/>
  <c r="AN53" i="21"/>
  <c r="BE53" i="21" s="1"/>
  <c r="S53" i="21"/>
  <c r="AN19" i="21"/>
  <c r="BE19" i="21" s="1"/>
  <c r="S19" i="21"/>
  <c r="AN55" i="21"/>
  <c r="BE55" i="21" s="1"/>
  <c r="S55" i="21"/>
  <c r="AN27" i="21"/>
  <c r="BE27" i="21" s="1"/>
  <c r="S27" i="21"/>
  <c r="AN95" i="21"/>
  <c r="BE95" i="21" s="1"/>
  <c r="S95" i="21"/>
  <c r="AN92" i="21"/>
  <c r="BE92" i="21" s="1"/>
  <c r="S92" i="21"/>
  <c r="AN21" i="21"/>
  <c r="BE21" i="21" s="1"/>
  <c r="S21" i="21"/>
  <c r="AN91" i="21"/>
  <c r="BE91" i="21" s="1"/>
  <c r="S91" i="21"/>
  <c r="AN29" i="21"/>
  <c r="BE29" i="21" s="1"/>
  <c r="S29" i="21"/>
  <c r="AN12" i="21"/>
  <c r="BE12" i="21" s="1"/>
  <c r="S12" i="21"/>
  <c r="AN25" i="21"/>
  <c r="BE25" i="21" s="1"/>
  <c r="S25" i="21"/>
  <c r="AN84" i="21"/>
  <c r="BE84" i="21" s="1"/>
  <c r="S84" i="21"/>
  <c r="AN20" i="21"/>
  <c r="BE20" i="21" s="1"/>
  <c r="S20" i="21"/>
  <c r="AN90" i="21"/>
  <c r="BE90" i="21" s="1"/>
  <c r="S90" i="21"/>
  <c r="AN15" i="21"/>
  <c r="BE15" i="21" s="1"/>
  <c r="S15" i="21"/>
  <c r="AN33" i="21"/>
  <c r="BE33" i="21" s="1"/>
  <c r="S33" i="21"/>
  <c r="AN88" i="21"/>
  <c r="BE88" i="21" s="1"/>
  <c r="S88" i="21"/>
  <c r="AN70" i="21"/>
  <c r="BE70" i="21" s="1"/>
  <c r="S70" i="21"/>
  <c r="AN45" i="21"/>
  <c r="BE45" i="21" s="1"/>
  <c r="S45" i="21"/>
  <c r="AN13" i="21"/>
  <c r="BE13" i="21" s="1"/>
  <c r="S13" i="21"/>
  <c r="AN78" i="21"/>
  <c r="BE78" i="21" s="1"/>
  <c r="S78" i="21"/>
  <c r="AN34" i="21"/>
  <c r="BE34" i="21" s="1"/>
  <c r="S34" i="21"/>
  <c r="AN63" i="21"/>
  <c r="BE63" i="21" s="1"/>
  <c r="S63" i="21"/>
  <c r="AN85" i="21"/>
  <c r="BE85" i="21" s="1"/>
  <c r="S85" i="21"/>
  <c r="AN89" i="21"/>
  <c r="BE89" i="21" s="1"/>
  <c r="S89" i="21"/>
  <c r="AN104" i="21"/>
  <c r="BE104" i="21" s="1"/>
  <c r="S104" i="21"/>
  <c r="AN41" i="21"/>
  <c r="BE41" i="21" s="1"/>
  <c r="S41" i="21"/>
  <c r="AN68" i="21"/>
  <c r="BE68" i="21" s="1"/>
  <c r="S68" i="21"/>
  <c r="AN36" i="21"/>
  <c r="BE36" i="21" s="1"/>
  <c r="S36" i="21"/>
  <c r="AN10" i="21"/>
  <c r="BE10" i="21" s="1"/>
  <c r="S10" i="21"/>
  <c r="AN98" i="21"/>
  <c r="BE98" i="21" s="1"/>
  <c r="S98" i="21"/>
  <c r="AN28" i="21"/>
  <c r="BE28" i="21" s="1"/>
  <c r="S28" i="21"/>
  <c r="AN74" i="21"/>
  <c r="BE74" i="21" s="1"/>
  <c r="S74" i="21"/>
  <c r="AN65" i="21"/>
  <c r="BE65" i="21" s="1"/>
  <c r="S65" i="21"/>
  <c r="AN73" i="21"/>
  <c r="BE73" i="21" s="1"/>
  <c r="S73" i="21"/>
  <c r="AN60" i="21"/>
  <c r="BE60" i="21" s="1"/>
  <c r="S60" i="21"/>
  <c r="AN32" i="21"/>
  <c r="BE32" i="21" s="1"/>
  <c r="S32" i="21"/>
  <c r="AN35" i="21"/>
  <c r="BE35" i="21" s="1"/>
  <c r="S35" i="21"/>
  <c r="AN67" i="21"/>
  <c r="BE67" i="21" s="1"/>
  <c r="S67" i="21"/>
  <c r="AN64" i="21"/>
  <c r="BE64" i="21" s="1"/>
  <c r="S64" i="21"/>
  <c r="AH76" i="21"/>
  <c r="AF76" i="21"/>
  <c r="AB18" i="21"/>
  <c r="AF18" i="21"/>
  <c r="AB75" i="21"/>
  <c r="AF75" i="21"/>
  <c r="Y39" i="21"/>
  <c r="AF39" i="21"/>
  <c r="Y105" i="21"/>
  <c r="AF105" i="21"/>
  <c r="AB37" i="21"/>
  <c r="AF37" i="21"/>
  <c r="AB43" i="21"/>
  <c r="AF43" i="21"/>
  <c r="Y14" i="21"/>
  <c r="AF14" i="21"/>
  <c r="AH49" i="21"/>
  <c r="AF49" i="21"/>
  <c r="AH47" i="21"/>
  <c r="AF47" i="21"/>
  <c r="AH31" i="21"/>
  <c r="AF31" i="21"/>
  <c r="AH38" i="21"/>
  <c r="AF38" i="21"/>
  <c r="AH22" i="21"/>
  <c r="AF22" i="21"/>
  <c r="AH108" i="21"/>
  <c r="AF108" i="21"/>
  <c r="AH77" i="21"/>
  <c r="AF77" i="21"/>
  <c r="AB26" i="21"/>
  <c r="AF26" i="21"/>
  <c r="AH75" i="21"/>
  <c r="Y75" i="21"/>
  <c r="V103" i="21"/>
  <c r="AJ103" i="21"/>
  <c r="R103" i="21"/>
  <c r="V46" i="21"/>
  <c r="AJ46" i="21"/>
  <c r="R46" i="21"/>
  <c r="V16" i="21"/>
  <c r="R16" i="21"/>
  <c r="AJ16" i="21"/>
  <c r="V17" i="21"/>
  <c r="R17" i="21"/>
  <c r="AJ17" i="21"/>
  <c r="V109" i="21"/>
  <c r="AJ109" i="21"/>
  <c r="R109" i="21"/>
  <c r="V102" i="21"/>
  <c r="R102" i="21"/>
  <c r="AJ102" i="21"/>
  <c r="V82" i="21"/>
  <c r="R82" i="21"/>
  <c r="AJ82" i="21"/>
  <c r="Y16" i="21"/>
  <c r="Y49" i="21"/>
  <c r="AH17" i="21"/>
  <c r="AB76" i="21"/>
  <c r="Y109" i="21"/>
  <c r="Y26" i="21"/>
  <c r="AH14" i="21"/>
  <c r="AB102" i="21"/>
  <c r="AH18" i="21"/>
  <c r="Y38" i="21"/>
  <c r="AB105" i="21"/>
  <c r="Y22" i="21"/>
  <c r="Y43" i="21"/>
  <c r="V31" i="21"/>
  <c r="R31" i="21"/>
  <c r="AJ31" i="21"/>
  <c r="V39" i="21"/>
  <c r="R39" i="21"/>
  <c r="AJ39" i="21"/>
  <c r="Y46" i="21"/>
  <c r="V80" i="21"/>
  <c r="R80" i="21"/>
  <c r="AJ80" i="21"/>
  <c r="Y103" i="21"/>
  <c r="AB16" i="21"/>
  <c r="Y76" i="21"/>
  <c r="AH109" i="21"/>
  <c r="AB31" i="21"/>
  <c r="AH39" i="21"/>
  <c r="AH102" i="21"/>
  <c r="Y82" i="21"/>
  <c r="Y80" i="21"/>
  <c r="AH43" i="21"/>
  <c r="AB46" i="21"/>
  <c r="V22" i="21"/>
  <c r="AJ22" i="21"/>
  <c r="R22" i="21"/>
  <c r="V108" i="21"/>
  <c r="R108" i="21"/>
  <c r="AJ108" i="21"/>
  <c r="V77" i="21"/>
  <c r="R77" i="21"/>
  <c r="AJ77" i="21"/>
  <c r="V26" i="21"/>
  <c r="R26" i="21"/>
  <c r="AJ26" i="21"/>
  <c r="AB103" i="21"/>
  <c r="AH16" i="21"/>
  <c r="AB17" i="21"/>
  <c r="AB77" i="21"/>
  <c r="AH26" i="21"/>
  <c r="V47" i="21"/>
  <c r="AJ47" i="21"/>
  <c r="R47" i="21"/>
  <c r="V105" i="21"/>
  <c r="R105" i="21"/>
  <c r="AJ105" i="21"/>
  <c r="AB39" i="21"/>
  <c r="V37" i="21"/>
  <c r="AJ37" i="21"/>
  <c r="R37" i="21"/>
  <c r="AB82" i="21"/>
  <c r="Y47" i="21"/>
  <c r="AB80" i="21"/>
  <c r="AH105" i="21"/>
  <c r="AB108" i="21"/>
  <c r="Y37" i="21"/>
  <c r="V75" i="21"/>
  <c r="AJ75" i="21"/>
  <c r="R75" i="21"/>
  <c r="V38" i="21"/>
  <c r="AJ38" i="21"/>
  <c r="R38" i="21"/>
  <c r="AH46" i="21"/>
  <c r="V14" i="21"/>
  <c r="R14" i="21"/>
  <c r="AJ14" i="21"/>
  <c r="V49" i="21"/>
  <c r="R49" i="21"/>
  <c r="AJ49" i="21"/>
  <c r="V76" i="21"/>
  <c r="R76" i="21"/>
  <c r="AJ76" i="21"/>
  <c r="V18" i="21"/>
  <c r="AJ18" i="21"/>
  <c r="R18" i="21"/>
  <c r="AH103" i="21"/>
  <c r="AB49" i="21"/>
  <c r="Y17" i="21"/>
  <c r="AB109" i="21"/>
  <c r="Y77" i="21"/>
  <c r="AB14" i="21"/>
  <c r="Y31" i="21"/>
  <c r="Y102" i="21"/>
  <c r="AH82" i="21"/>
  <c r="Y18" i="21"/>
  <c r="AB38" i="21"/>
  <c r="AB47" i="21"/>
  <c r="AH80" i="21"/>
  <c r="AB22" i="21"/>
  <c r="Y108" i="21"/>
  <c r="AH37" i="21"/>
  <c r="V43" i="21"/>
  <c r="AJ43" i="21"/>
  <c r="R43" i="21"/>
  <c r="F623" i="17"/>
  <c r="B90" i="2"/>
  <c r="B107" i="2"/>
  <c r="B105" i="2"/>
  <c r="E20" i="1" s="1"/>
  <c r="B368" i="2"/>
  <c r="B369" i="2" s="1"/>
  <c r="A418" i="2" l="1"/>
  <c r="E67" i="1"/>
  <c r="C52" i="16"/>
  <c r="D52" i="16" s="1"/>
  <c r="B138" i="2"/>
  <c r="E48" i="1" s="1"/>
  <c r="Q4" i="17"/>
  <c r="Q623" i="17" s="1"/>
  <c r="AN49" i="21"/>
  <c r="BE49" i="21" s="1"/>
  <c r="S49" i="21"/>
  <c r="AN18" i="21"/>
  <c r="BE18" i="21" s="1"/>
  <c r="S18" i="21"/>
  <c r="AN80" i="21"/>
  <c r="BE80" i="21" s="1"/>
  <c r="S80" i="21"/>
  <c r="AN17" i="21"/>
  <c r="BE17" i="21" s="1"/>
  <c r="S17" i="21"/>
  <c r="AN43" i="21"/>
  <c r="BE43" i="21" s="1"/>
  <c r="S43" i="21"/>
  <c r="AN38" i="21"/>
  <c r="BE38" i="21" s="1"/>
  <c r="S38" i="21"/>
  <c r="AN37" i="21"/>
  <c r="BE37" i="21" s="1"/>
  <c r="S37" i="21"/>
  <c r="AN26" i="21"/>
  <c r="BE26" i="21" s="1"/>
  <c r="S26" i="21"/>
  <c r="AN22" i="21"/>
  <c r="BE22" i="21" s="1"/>
  <c r="S22" i="21"/>
  <c r="AN46" i="21"/>
  <c r="BE46" i="21" s="1"/>
  <c r="S46" i="21"/>
  <c r="AN108" i="21"/>
  <c r="BE108" i="21" s="1"/>
  <c r="S108" i="21"/>
  <c r="AN31" i="21"/>
  <c r="BE31" i="21" s="1"/>
  <c r="S31" i="21"/>
  <c r="AN82" i="21"/>
  <c r="BE82" i="21" s="1"/>
  <c r="S82" i="21"/>
  <c r="AN16" i="21"/>
  <c r="BE16" i="21" s="1"/>
  <c r="S16" i="21"/>
  <c r="AN76" i="21"/>
  <c r="BE76" i="21" s="1"/>
  <c r="S76" i="21"/>
  <c r="AN75" i="21"/>
  <c r="BE75" i="21" s="1"/>
  <c r="S75" i="21"/>
  <c r="AN47" i="21"/>
  <c r="BE47" i="21" s="1"/>
  <c r="S47" i="21"/>
  <c r="U47" i="21" s="1"/>
  <c r="AN77" i="21"/>
  <c r="BE77" i="21" s="1"/>
  <c r="S77" i="21"/>
  <c r="AN39" i="21"/>
  <c r="BE39" i="21" s="1"/>
  <c r="S39" i="21"/>
  <c r="AN109" i="21"/>
  <c r="BE109" i="21" s="1"/>
  <c r="S109" i="21"/>
  <c r="U109" i="21" s="1"/>
  <c r="AN103" i="21"/>
  <c r="BE103" i="21" s="1"/>
  <c r="S103" i="21"/>
  <c r="AN14" i="21"/>
  <c r="BE14" i="21" s="1"/>
  <c r="S14" i="21"/>
  <c r="AN105" i="21"/>
  <c r="BE105" i="21" s="1"/>
  <c r="S105" i="21"/>
  <c r="U105" i="21" s="1"/>
  <c r="AN102" i="21"/>
  <c r="BE102" i="21" s="1"/>
  <c r="S102" i="21"/>
  <c r="B89" i="2"/>
  <c r="B92" i="2" s="1"/>
  <c r="E17" i="1" s="1"/>
  <c r="B106" i="2"/>
  <c r="B88" i="2"/>
  <c r="B63" i="2"/>
  <c r="AC77" i="21"/>
  <c r="AG77" i="21" s="1"/>
  <c r="AC11" i="21"/>
  <c r="AG11" i="21" s="1"/>
  <c r="AC86" i="21"/>
  <c r="AG86" i="21" s="1"/>
  <c r="AI56" i="21"/>
  <c r="Z81" i="21"/>
  <c r="AA81" i="21" s="1"/>
  <c r="U90" i="21"/>
  <c r="AC21" i="21"/>
  <c r="AG21" i="21" s="1"/>
  <c r="Z85" i="21"/>
  <c r="AA85" i="2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55" i="2"/>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3"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22" i="2" l="1"/>
  <c r="U3" i="17" s="1"/>
  <c r="Q13" i="17"/>
  <c r="Q568" i="17"/>
  <c r="Q509" i="17"/>
  <c r="Q456" i="17"/>
  <c r="Q361" i="17"/>
  <c r="Q299" i="17"/>
  <c r="Q439" i="17"/>
  <c r="Q597" i="17"/>
  <c r="Q101" i="17"/>
  <c r="Q243" i="17"/>
  <c r="Q303" i="17"/>
  <c r="Q321" i="17"/>
  <c r="Q582" i="17"/>
  <c r="Q475" i="17"/>
  <c r="Q36" i="17"/>
  <c r="Q181" i="17"/>
  <c r="Q128" i="17"/>
  <c r="Q244" i="17"/>
  <c r="Q474" i="17"/>
  <c r="Q178" i="17"/>
  <c r="R626" i="17"/>
  <c r="R623" i="17"/>
  <c r="Q337" i="17"/>
  <c r="Q511" i="17"/>
  <c r="Q587" i="17"/>
  <c r="Q278" i="17"/>
  <c r="Q145" i="17"/>
  <c r="Q414" i="17"/>
  <c r="Q118" i="17"/>
  <c r="Q609" i="17"/>
  <c r="Q218" i="17"/>
  <c r="Q23" i="17"/>
  <c r="Q626" i="17"/>
  <c r="Q133" i="17"/>
  <c r="Q58" i="17"/>
  <c r="Q224" i="17"/>
  <c r="Q358" i="17"/>
  <c r="Q88" i="17"/>
  <c r="Q546" i="17"/>
  <c r="Q428" i="17"/>
  <c r="Q105" i="17"/>
  <c r="Q194" i="17"/>
  <c r="Q499" i="17"/>
  <c r="Q421" i="17"/>
  <c r="Q99" i="17"/>
  <c r="Q14" i="17"/>
  <c r="Q592" i="17"/>
  <c r="Q239" i="17"/>
  <c r="Q209" i="17"/>
  <c r="Q216" i="17"/>
  <c r="Q235" i="17"/>
  <c r="Q152" i="17"/>
  <c r="Q351" i="17"/>
  <c r="Q561" i="17"/>
  <c r="Q240" i="17"/>
  <c r="Q529" i="17"/>
  <c r="Q331" i="17"/>
  <c r="Q280" i="17"/>
  <c r="Q288" i="17"/>
  <c r="Q347" i="17"/>
  <c r="Q481" i="17"/>
  <c r="Q418" i="17"/>
  <c r="Q365" i="17"/>
  <c r="Q130" i="17"/>
  <c r="Q400" i="17"/>
  <c r="Q160" i="17"/>
  <c r="Q375" i="17"/>
  <c r="Q606" i="17"/>
  <c r="Q350" i="17"/>
  <c r="Q553" i="17"/>
  <c r="Q297" i="17"/>
  <c r="Q64" i="17"/>
  <c r="Q594" i="17"/>
  <c r="Q525" i="17"/>
  <c r="Q20" i="17"/>
  <c r="Q604" i="17"/>
  <c r="Q412" i="17"/>
  <c r="Q435" i="17"/>
  <c r="Q173" i="17"/>
  <c r="Q410" i="17"/>
  <c r="Q89" i="17"/>
  <c r="Q357" i="17"/>
  <c r="Q124" i="17"/>
  <c r="Q50" i="17"/>
  <c r="Q126" i="17"/>
  <c r="Q35" i="17"/>
  <c r="Q484" i="17"/>
  <c r="Q559" i="17"/>
  <c r="Q390" i="17"/>
  <c r="Q392" i="17"/>
  <c r="Q555" i="17"/>
  <c r="Q438" i="17"/>
  <c r="Q200" i="17"/>
  <c r="Q223" i="17"/>
  <c r="Q305" i="17"/>
  <c r="Q591" i="17"/>
  <c r="Q40" i="17"/>
  <c r="Q502" i="17"/>
  <c r="Q588" i="17"/>
  <c r="Q572" i="17"/>
  <c r="Q219" i="17"/>
  <c r="Q225" i="17"/>
  <c r="Q306" i="17"/>
  <c r="Q237" i="17"/>
  <c r="Q532" i="17"/>
  <c r="Q613" i="17"/>
  <c r="Q567" i="17"/>
  <c r="Q311" i="17"/>
  <c r="Q542" i="17"/>
  <c r="Q286" i="17"/>
  <c r="Q489" i="17"/>
  <c r="Q233" i="17"/>
  <c r="Q175" i="17"/>
  <c r="Q466" i="17"/>
  <c r="Q413" i="17"/>
  <c r="Q98" i="17"/>
  <c r="Q384" i="17"/>
  <c r="Q97" i="17"/>
  <c r="Q371" i="17"/>
  <c r="Q602" i="17"/>
  <c r="Q346" i="17"/>
  <c r="Q549" i="17"/>
  <c r="Q293" i="17"/>
  <c r="Q60" i="17"/>
  <c r="Q151" i="17"/>
  <c r="Q62" i="17"/>
  <c r="Q138" i="17"/>
  <c r="Q228" i="17"/>
  <c r="Q495" i="17"/>
  <c r="Q262" i="17"/>
  <c r="Q340" i="17"/>
  <c r="Q491" i="17"/>
  <c r="Q310" i="17"/>
  <c r="Q408" i="17"/>
  <c r="Q72" i="17"/>
  <c r="Q335" i="17"/>
  <c r="Q352" i="17"/>
  <c r="Q449" i="17"/>
  <c r="Q479" i="17"/>
  <c r="Q603" i="17"/>
  <c r="Q534" i="17"/>
  <c r="Q95" i="17"/>
  <c r="Q172" i="17"/>
  <c r="Q148" i="17"/>
  <c r="Q260" i="17"/>
  <c r="Q516" i="17"/>
  <c r="Q503" i="17"/>
  <c r="Q247" i="17"/>
  <c r="Q478" i="17"/>
  <c r="Q222" i="17"/>
  <c r="Q425" i="17"/>
  <c r="Q149" i="17"/>
  <c r="Q47" i="17"/>
  <c r="Q338" i="17"/>
  <c r="Q285" i="17"/>
  <c r="Q500" i="17"/>
  <c r="Q605" i="17"/>
  <c r="Q563" i="17"/>
  <c r="Q307" i="17"/>
  <c r="Q538" i="17"/>
  <c r="Q282" i="17"/>
  <c r="Q485" i="17"/>
  <c r="Q229" i="17"/>
  <c r="Q139" i="17"/>
  <c r="Q87" i="17"/>
  <c r="Q163" i="17"/>
  <c r="Q74" i="17"/>
  <c r="Q548" i="17"/>
  <c r="Q396" i="17"/>
  <c r="Q431" i="17"/>
  <c r="Q165" i="17"/>
  <c r="Q593" i="17"/>
  <c r="Q104" i="17"/>
  <c r="Q424" i="17"/>
  <c r="Q508" i="17"/>
  <c r="Q427" i="17"/>
  <c r="Q157" i="17"/>
  <c r="Q180" i="17"/>
  <c r="Q24" i="17"/>
  <c r="Q292" i="17"/>
  <c r="Q460" i="17"/>
  <c r="Q447" i="17"/>
  <c r="Q319" i="17"/>
  <c r="Q191" i="17"/>
  <c r="Q550" i="17"/>
  <c r="Q294" i="17"/>
  <c r="Q497" i="17"/>
  <c r="Q241" i="17"/>
  <c r="Q127" i="17"/>
  <c r="Q356" i="17"/>
  <c r="Q264" i="17"/>
  <c r="Q527" i="17"/>
  <c r="Q271" i="17"/>
  <c r="Q454" i="17"/>
  <c r="Q401" i="17"/>
  <c r="Q102" i="17"/>
  <c r="Q536" i="17"/>
  <c r="Q523" i="17"/>
  <c r="Q267" i="17"/>
  <c r="Q374" i="17"/>
  <c r="Q385" i="17"/>
  <c r="Q31" i="17"/>
  <c r="Q432" i="17"/>
  <c r="Q332" i="17"/>
  <c r="Q580" i="17"/>
  <c r="Q232" i="17"/>
  <c r="Q113" i="17"/>
  <c r="Q444" i="17"/>
  <c r="Q571" i="17"/>
  <c r="Q443" i="17"/>
  <c r="Q315" i="17"/>
  <c r="Q187" i="17"/>
  <c r="Q470" i="17"/>
  <c r="Q214" i="17"/>
  <c r="Q417" i="17"/>
  <c r="Q117" i="17"/>
  <c r="Q134" i="17"/>
  <c r="Q514" i="17"/>
  <c r="Q386" i="17"/>
  <c r="Q258" i="17"/>
  <c r="Q57" i="17"/>
  <c r="Q461" i="17"/>
  <c r="Q333" i="17"/>
  <c r="Q205" i="17"/>
  <c r="Q116" i="17"/>
  <c r="Q155" i="17"/>
  <c r="Q66" i="17"/>
  <c r="Q452" i="17"/>
  <c r="Q196" i="17"/>
  <c r="Q601" i="17"/>
  <c r="Q336" i="17"/>
  <c r="Q488" i="17"/>
  <c r="Q608" i="17"/>
  <c r="Q364" i="17"/>
  <c r="Q551" i="17"/>
  <c r="Q487" i="17"/>
  <c r="Q423" i="17"/>
  <c r="Q359" i="17"/>
  <c r="Q295" i="17"/>
  <c r="Q231" i="17"/>
  <c r="Q141" i="17"/>
  <c r="Q590" i="17"/>
  <c r="Q526" i="17"/>
  <c r="Q462" i="17"/>
  <c r="Q398" i="17"/>
  <c r="Q334" i="17"/>
  <c r="Q270" i="17"/>
  <c r="Q206" i="17"/>
  <c r="Q41" i="17"/>
  <c r="Q537" i="17"/>
  <c r="Q473" i="17"/>
  <c r="Q409" i="17"/>
  <c r="Q345" i="17"/>
  <c r="Q281" i="17"/>
  <c r="Q217" i="17"/>
  <c r="Q85" i="17"/>
  <c r="Q112" i="17"/>
  <c r="Q48" i="17"/>
  <c r="Q143" i="17"/>
  <c r="Q15" i="17"/>
  <c r="Q86" i="17"/>
  <c r="Q562" i="17"/>
  <c r="Q434" i="17"/>
  <c r="Q290" i="17"/>
  <c r="Q121" i="17"/>
  <c r="Q493" i="17"/>
  <c r="Q381" i="17"/>
  <c r="Q253" i="17"/>
  <c r="Q132" i="17"/>
  <c r="Q123" i="17"/>
  <c r="Q34" i="17"/>
  <c r="Q436" i="17"/>
  <c r="Q176" i="17"/>
  <c r="Q576" i="17"/>
  <c r="Q320" i="17"/>
  <c r="Q440" i="17"/>
  <c r="Q600" i="17"/>
  <c r="Q348" i="17"/>
  <c r="Q611" i="17"/>
  <c r="Q547" i="17"/>
  <c r="Q483" i="17"/>
  <c r="Q419" i="17"/>
  <c r="Q355" i="17"/>
  <c r="Q291" i="17"/>
  <c r="Q227" i="17"/>
  <c r="Q125" i="17"/>
  <c r="Q586" i="17"/>
  <c r="Q522" i="17"/>
  <c r="Q458" i="17"/>
  <c r="Q394" i="17"/>
  <c r="Q330" i="17"/>
  <c r="Q266" i="17"/>
  <c r="Q202" i="17"/>
  <c r="Q25" i="17"/>
  <c r="Q533" i="17"/>
  <c r="Q469" i="17"/>
  <c r="Q405" i="17"/>
  <c r="Q341" i="17"/>
  <c r="Q277" i="17"/>
  <c r="Q213" i="17"/>
  <c r="Q69" i="17"/>
  <c r="Q108" i="17"/>
  <c r="Q44" i="17"/>
  <c r="Q107" i="17"/>
  <c r="Q146" i="17"/>
  <c r="Q18" i="17"/>
  <c r="Q135" i="17"/>
  <c r="Q71" i="17"/>
  <c r="Q174" i="17"/>
  <c r="Q110" i="17"/>
  <c r="Q46" i="17"/>
  <c r="Q147" i="17"/>
  <c r="Q83" i="17"/>
  <c r="Q19" i="17"/>
  <c r="Q122" i="17"/>
  <c r="R18" i="17"/>
  <c r="R34" i="17"/>
  <c r="R50" i="17"/>
  <c r="R66" i="17"/>
  <c r="R82" i="17"/>
  <c r="R98" i="17"/>
  <c r="R114" i="17"/>
  <c r="R130" i="17"/>
  <c r="R146" i="17"/>
  <c r="R162" i="17"/>
  <c r="R178" i="17"/>
  <c r="R194" i="17"/>
  <c r="R210" i="17"/>
  <c r="R15" i="17"/>
  <c r="R31" i="17"/>
  <c r="R47" i="17"/>
  <c r="R63" i="17"/>
  <c r="R79" i="17"/>
  <c r="R95" i="17"/>
  <c r="R111" i="17"/>
  <c r="R127" i="17"/>
  <c r="R143" i="17"/>
  <c r="R159" i="17"/>
  <c r="R175" i="17"/>
  <c r="R191" i="17"/>
  <c r="R207" i="17"/>
  <c r="R223" i="17"/>
  <c r="R239" i="17"/>
  <c r="R255" i="17"/>
  <c r="R271" i="17"/>
  <c r="R287" i="17"/>
  <c r="R24" i="17"/>
  <c r="R40" i="17"/>
  <c r="R56" i="17"/>
  <c r="R72" i="17"/>
  <c r="R88" i="17"/>
  <c r="R104" i="17"/>
  <c r="R120" i="17"/>
  <c r="R136" i="17"/>
  <c r="R152" i="17"/>
  <c r="R168" i="17"/>
  <c r="R184" i="17"/>
  <c r="R200" i="17"/>
  <c r="R216" i="17"/>
  <c r="R232" i="17"/>
  <c r="R248" i="17"/>
  <c r="R264" i="17"/>
  <c r="R280" i="17"/>
  <c r="R65" i="17"/>
  <c r="R129" i="17"/>
  <c r="R193" i="17"/>
  <c r="R241" i="17"/>
  <c r="R273" i="17"/>
  <c r="R299" i="17"/>
  <c r="R315" i="17"/>
  <c r="R331" i="17"/>
  <c r="R347" i="17"/>
  <c r="R22" i="17"/>
  <c r="R38" i="17"/>
  <c r="R54" i="17"/>
  <c r="R70" i="17"/>
  <c r="R86" i="17"/>
  <c r="R102" i="17"/>
  <c r="R118" i="17"/>
  <c r="R134" i="17"/>
  <c r="R150" i="17"/>
  <c r="R166" i="17"/>
  <c r="R182" i="17"/>
  <c r="R198" i="17"/>
  <c r="R214" i="17"/>
  <c r="R19" i="17"/>
  <c r="R35" i="17"/>
  <c r="R51" i="17"/>
  <c r="R67" i="17"/>
  <c r="R83" i="17"/>
  <c r="R99" i="17"/>
  <c r="R115" i="17"/>
  <c r="R131" i="17"/>
  <c r="R147" i="17"/>
  <c r="R163" i="17"/>
  <c r="R179" i="17"/>
  <c r="R195" i="17"/>
  <c r="R211" i="17"/>
  <c r="R227" i="17"/>
  <c r="R243" i="17"/>
  <c r="R259" i="17"/>
  <c r="R275" i="17"/>
  <c r="R291" i="17"/>
  <c r="R28" i="17"/>
  <c r="R44" i="17"/>
  <c r="R60" i="17"/>
  <c r="R76" i="17"/>
  <c r="R92" i="17"/>
  <c r="R108" i="17"/>
  <c r="R124" i="17"/>
  <c r="R140" i="17"/>
  <c r="R156" i="17"/>
  <c r="R172" i="17"/>
  <c r="R188" i="17"/>
  <c r="R204" i="17"/>
  <c r="R220" i="17"/>
  <c r="R236" i="17"/>
  <c r="R252" i="17"/>
  <c r="R268" i="17"/>
  <c r="R284" i="17"/>
  <c r="R17" i="17"/>
  <c r="R81" i="17"/>
  <c r="R145" i="17"/>
  <c r="R209" i="17"/>
  <c r="R249" i="17"/>
  <c r="R281" i="17"/>
  <c r="R303" i="17"/>
  <c r="R319" i="17"/>
  <c r="R335" i="17"/>
  <c r="R351" i="17"/>
  <c r="R367" i="17"/>
  <c r="R383" i="17"/>
  <c r="R399" i="17"/>
  <c r="R415" i="17"/>
  <c r="R431" i="17"/>
  <c r="R447" i="17"/>
  <c r="R463" i="17"/>
  <c r="R479" i="17"/>
  <c r="R495" i="17"/>
  <c r="R511" i="17"/>
  <c r="R527" i="17"/>
  <c r="R543" i="17"/>
  <c r="R559" i="17"/>
  <c r="R575" i="17"/>
  <c r="R26" i="17"/>
  <c r="R58" i="17"/>
  <c r="R90" i="17"/>
  <c r="R122" i="17"/>
  <c r="R154" i="17"/>
  <c r="R186" i="17"/>
  <c r="R218" i="17"/>
  <c r="R23" i="17"/>
  <c r="R55" i="17"/>
  <c r="R87" i="17"/>
  <c r="R119" i="17"/>
  <c r="R151" i="17"/>
  <c r="R183" i="17"/>
  <c r="R215" i="17"/>
  <c r="R247" i="17"/>
  <c r="R279" i="17"/>
  <c r="R16" i="17"/>
  <c r="R48" i="17"/>
  <c r="R80" i="17"/>
  <c r="R112" i="17"/>
  <c r="R144" i="17"/>
  <c r="R176" i="17"/>
  <c r="R208" i="17"/>
  <c r="R240" i="17"/>
  <c r="R272" i="17"/>
  <c r="R33" i="17"/>
  <c r="R161" i="17"/>
  <c r="R257" i="17"/>
  <c r="R307" i="17"/>
  <c r="R339" i="17"/>
  <c r="R363" i="17"/>
  <c r="R387" i="17"/>
  <c r="R407" i="17"/>
  <c r="R427" i="17"/>
  <c r="R451" i="17"/>
  <c r="R471" i="17"/>
  <c r="R491" i="17"/>
  <c r="R515" i="17"/>
  <c r="R535" i="17"/>
  <c r="R555" i="17"/>
  <c r="R579" i="17"/>
  <c r="R595" i="17"/>
  <c r="R611" i="17"/>
  <c r="R69" i="17"/>
  <c r="R133" i="17"/>
  <c r="R197" i="17"/>
  <c r="R242" i="17"/>
  <c r="R274" i="17"/>
  <c r="R300" i="17"/>
  <c r="R316" i="17"/>
  <c r="R332" i="17"/>
  <c r="R348" i="17"/>
  <c r="R364" i="17"/>
  <c r="R380" i="17"/>
  <c r="R396" i="17"/>
  <c r="R412" i="17"/>
  <c r="R428" i="17"/>
  <c r="R444" i="17"/>
  <c r="R460" i="17"/>
  <c r="R476" i="17"/>
  <c r="R492" i="17"/>
  <c r="R508" i="17"/>
  <c r="R524" i="17"/>
  <c r="R540" i="17"/>
  <c r="R556" i="17"/>
  <c r="R572" i="17"/>
  <c r="R588" i="17"/>
  <c r="R604" i="17"/>
  <c r="R41" i="17"/>
  <c r="R105" i="17"/>
  <c r="R169" i="17"/>
  <c r="R229" i="17"/>
  <c r="R261" i="17"/>
  <c r="R293" i="17"/>
  <c r="R309" i="17"/>
  <c r="R325" i="17"/>
  <c r="R341" i="17"/>
  <c r="R357" i="17"/>
  <c r="R373" i="17"/>
  <c r="R389" i="17"/>
  <c r="R405" i="17"/>
  <c r="R421" i="17"/>
  <c r="R437" i="17"/>
  <c r="R453" i="17"/>
  <c r="R469" i="17"/>
  <c r="R485" i="17"/>
  <c r="R501" i="17"/>
  <c r="R517" i="17"/>
  <c r="R30" i="17"/>
  <c r="R62" i="17"/>
  <c r="R94" i="17"/>
  <c r="R126" i="17"/>
  <c r="R158" i="17"/>
  <c r="R190" i="17"/>
  <c r="R222" i="17"/>
  <c r="R27" i="17"/>
  <c r="R59" i="17"/>
  <c r="R91" i="17"/>
  <c r="R123" i="17"/>
  <c r="R155" i="17"/>
  <c r="R187" i="17"/>
  <c r="R219" i="17"/>
  <c r="R251" i="17"/>
  <c r="R283" i="17"/>
  <c r="R20" i="17"/>
  <c r="R52" i="17"/>
  <c r="R84" i="17"/>
  <c r="R116" i="17"/>
  <c r="R148" i="17"/>
  <c r="R180" i="17"/>
  <c r="R212" i="17"/>
  <c r="R244" i="17"/>
  <c r="R276" i="17"/>
  <c r="R49" i="17"/>
  <c r="R177" i="17"/>
  <c r="R265" i="17"/>
  <c r="R311" i="17"/>
  <c r="R343" i="17"/>
  <c r="R371" i="17"/>
  <c r="R391" i="17"/>
  <c r="R411" i="17"/>
  <c r="R435" i="17"/>
  <c r="R455" i="17"/>
  <c r="R475" i="17"/>
  <c r="R499" i="17"/>
  <c r="R519" i="17"/>
  <c r="R539" i="17"/>
  <c r="R563" i="17"/>
  <c r="R583" i="17"/>
  <c r="R599" i="17"/>
  <c r="R13" i="17"/>
  <c r="R21" i="17"/>
  <c r="R85" i="17"/>
  <c r="R149" i="17"/>
  <c r="R213" i="17"/>
  <c r="R250" i="17"/>
  <c r="R282" i="17"/>
  <c r="R304" i="17"/>
  <c r="R320" i="17"/>
  <c r="R336" i="17"/>
  <c r="R352" i="17"/>
  <c r="R368" i="17"/>
  <c r="R384" i="17"/>
  <c r="R400" i="17"/>
  <c r="R416" i="17"/>
  <c r="R432" i="17"/>
  <c r="R448" i="17"/>
  <c r="R464" i="17"/>
  <c r="R480" i="17"/>
  <c r="R496" i="17"/>
  <c r="R512" i="17"/>
  <c r="R528" i="17"/>
  <c r="R544" i="17"/>
  <c r="R560" i="17"/>
  <c r="R576" i="17"/>
  <c r="R592" i="17"/>
  <c r="R608" i="17"/>
  <c r="R57" i="17"/>
  <c r="R121" i="17"/>
  <c r="R185" i="17"/>
  <c r="R237" i="17"/>
  <c r="R269" i="17"/>
  <c r="R297" i="17"/>
  <c r="R313" i="17"/>
  <c r="R329" i="17"/>
  <c r="R345" i="17"/>
  <c r="R361" i="17"/>
  <c r="R377" i="17"/>
  <c r="R393" i="17"/>
  <c r="R409" i="17"/>
  <c r="R425" i="17"/>
  <c r="R441" i="17"/>
  <c r="R457" i="17"/>
  <c r="R473" i="17"/>
  <c r="R489" i="17"/>
  <c r="R505" i="17"/>
  <c r="R521" i="17"/>
  <c r="R74" i="17"/>
  <c r="R138" i="17"/>
  <c r="R202" i="17"/>
  <c r="R39" i="17"/>
  <c r="R103" i="17"/>
  <c r="R167" i="17"/>
  <c r="R231" i="17"/>
  <c r="R64" i="17"/>
  <c r="R128" i="17"/>
  <c r="R192" i="17"/>
  <c r="R256" i="17"/>
  <c r="R225" i="17"/>
  <c r="R323" i="17"/>
  <c r="R375" i="17"/>
  <c r="R419" i="17"/>
  <c r="R459" i="17"/>
  <c r="R503" i="17"/>
  <c r="R547" i="17"/>
  <c r="R587" i="17"/>
  <c r="R101" i="17"/>
  <c r="R226" i="17"/>
  <c r="R290" i="17"/>
  <c r="R324" i="17"/>
  <c r="R356" i="17"/>
  <c r="R388" i="17"/>
  <c r="R420" i="17"/>
  <c r="R452" i="17"/>
  <c r="R484" i="17"/>
  <c r="R516" i="17"/>
  <c r="R548" i="17"/>
  <c r="R580" i="17"/>
  <c r="R612" i="17"/>
  <c r="R73" i="17"/>
  <c r="R201" i="17"/>
  <c r="R277" i="17"/>
  <c r="R317" i="17"/>
  <c r="R349" i="17"/>
  <c r="R381" i="17"/>
  <c r="R413" i="17"/>
  <c r="R445" i="17"/>
  <c r="R477" i="17"/>
  <c r="R509" i="17"/>
  <c r="R533" i="17"/>
  <c r="R549" i="17"/>
  <c r="R565" i="17"/>
  <c r="R581" i="17"/>
  <c r="R597" i="17"/>
  <c r="R613" i="17"/>
  <c r="R77" i="17"/>
  <c r="R278" i="17"/>
  <c r="R350" i="17"/>
  <c r="R414" i="17"/>
  <c r="R478" i="17"/>
  <c r="R542" i="17"/>
  <c r="R606" i="17"/>
  <c r="R157" i="17"/>
  <c r="R306" i="17"/>
  <c r="R370" i="17"/>
  <c r="R434" i="17"/>
  <c r="R498" i="17"/>
  <c r="R562" i="17"/>
  <c r="R189" i="17"/>
  <c r="R394" i="17"/>
  <c r="R522" i="17"/>
  <c r="R45" i="17"/>
  <c r="R262" i="17"/>
  <c r="R342" i="17"/>
  <c r="R406" i="17"/>
  <c r="R470" i="17"/>
  <c r="R534" i="17"/>
  <c r="R598" i="17"/>
  <c r="R314" i="17"/>
  <c r="R442" i="17"/>
  <c r="R570" i="17"/>
  <c r="R106" i="17"/>
  <c r="R170" i="17"/>
  <c r="R71" i="17"/>
  <c r="R263" i="17"/>
  <c r="R96" i="17"/>
  <c r="R224" i="17"/>
  <c r="R288" i="17"/>
  <c r="R97" i="17"/>
  <c r="R289" i="17"/>
  <c r="R395" i="17"/>
  <c r="R483" i="17"/>
  <c r="R567" i="17"/>
  <c r="R37" i="17"/>
  <c r="R258" i="17"/>
  <c r="R340" i="17"/>
  <c r="R404" i="17"/>
  <c r="R468" i="17"/>
  <c r="R532" i="17"/>
  <c r="R596" i="17"/>
  <c r="R137" i="17"/>
  <c r="R301" i="17"/>
  <c r="R365" i="17"/>
  <c r="R429" i="17"/>
  <c r="R493" i="17"/>
  <c r="R541" i="17"/>
  <c r="R589" i="17"/>
  <c r="R205" i="17"/>
  <c r="R382" i="17"/>
  <c r="R446" i="17"/>
  <c r="R574" i="17"/>
  <c r="R29" i="17"/>
  <c r="R338" i="17"/>
  <c r="R466" i="17"/>
  <c r="R594" i="17"/>
  <c r="R458" i="17"/>
  <c r="R78" i="17"/>
  <c r="R142" i="17"/>
  <c r="R206" i="17"/>
  <c r="R43" i="17"/>
  <c r="R107" i="17"/>
  <c r="R171" i="17"/>
  <c r="R235" i="17"/>
  <c r="R68" i="17"/>
  <c r="R132" i="17"/>
  <c r="R196" i="17"/>
  <c r="R260" i="17"/>
  <c r="R233" i="17"/>
  <c r="R327" i="17"/>
  <c r="R379" i="17"/>
  <c r="R423" i="17"/>
  <c r="R467" i="17"/>
  <c r="R507" i="17"/>
  <c r="R551" i="17"/>
  <c r="R591" i="17"/>
  <c r="R117" i="17"/>
  <c r="R234" i="17"/>
  <c r="R296" i="17"/>
  <c r="R328" i="17"/>
  <c r="R360" i="17"/>
  <c r="R392" i="17"/>
  <c r="R424" i="17"/>
  <c r="R456" i="17"/>
  <c r="R488" i="17"/>
  <c r="R520" i="17"/>
  <c r="R552" i="17"/>
  <c r="R584" i="17"/>
  <c r="R89" i="17"/>
  <c r="R217" i="17"/>
  <c r="R285" i="17"/>
  <c r="R321" i="17"/>
  <c r="R353" i="17"/>
  <c r="R385" i="17"/>
  <c r="R417" i="17"/>
  <c r="R449" i="17"/>
  <c r="R481" i="17"/>
  <c r="R513" i="17"/>
  <c r="R537" i="17"/>
  <c r="R553" i="17"/>
  <c r="R569" i="17"/>
  <c r="R585" i="17"/>
  <c r="R601" i="17"/>
  <c r="R141" i="17"/>
  <c r="R302" i="17"/>
  <c r="R366" i="17"/>
  <c r="R430" i="17"/>
  <c r="R494" i="17"/>
  <c r="R558" i="17"/>
  <c r="R221" i="17"/>
  <c r="R322" i="17"/>
  <c r="R386" i="17"/>
  <c r="R450" i="17"/>
  <c r="R514" i="17"/>
  <c r="R578" i="17"/>
  <c r="R298" i="17"/>
  <c r="R426" i="17"/>
  <c r="R554" i="17"/>
  <c r="R109" i="17"/>
  <c r="R294" i="17"/>
  <c r="R358" i="17"/>
  <c r="R422" i="17"/>
  <c r="R486" i="17"/>
  <c r="R550" i="17"/>
  <c r="R14" i="17"/>
  <c r="R125" i="17"/>
  <c r="R346" i="17"/>
  <c r="R474" i="17"/>
  <c r="R602" i="17"/>
  <c r="R42" i="17"/>
  <c r="R135" i="17"/>
  <c r="R199" i="17"/>
  <c r="R32" i="17"/>
  <c r="R160" i="17"/>
  <c r="R355" i="17"/>
  <c r="R439" i="17"/>
  <c r="R523" i="17"/>
  <c r="R603" i="17"/>
  <c r="R165" i="17"/>
  <c r="R308" i="17"/>
  <c r="R372" i="17"/>
  <c r="R436" i="17"/>
  <c r="R500" i="17"/>
  <c r="R564" i="17"/>
  <c r="R245" i="17"/>
  <c r="R333" i="17"/>
  <c r="R397" i="17"/>
  <c r="R461" i="17"/>
  <c r="R525" i="17"/>
  <c r="R557" i="17"/>
  <c r="R573" i="17"/>
  <c r="R605" i="17"/>
  <c r="R318" i="17"/>
  <c r="R510" i="17"/>
  <c r="R254" i="17"/>
  <c r="R402" i="17"/>
  <c r="R530" i="17"/>
  <c r="R330" i="17"/>
  <c r="R586" i="17"/>
  <c r="R174" i="17"/>
  <c r="R75" i="17"/>
  <c r="R164" i="17"/>
  <c r="R113" i="17"/>
  <c r="R443" i="17"/>
  <c r="R607" i="17"/>
  <c r="R312" i="17"/>
  <c r="R440" i="17"/>
  <c r="R568" i="17"/>
  <c r="R253" i="17"/>
  <c r="R401" i="17"/>
  <c r="R529" i="17"/>
  <c r="R593" i="17"/>
  <c r="R462" i="17"/>
  <c r="R418" i="17"/>
  <c r="R490" i="17"/>
  <c r="R310" i="17"/>
  <c r="R438" i="17"/>
  <c r="R566" i="17"/>
  <c r="R238" i="17"/>
  <c r="R506" i="17"/>
  <c r="R538" i="17"/>
  <c r="R46" i="17"/>
  <c r="R292" i="17"/>
  <c r="R531" i="17"/>
  <c r="R376" i="17"/>
  <c r="R25" i="17"/>
  <c r="R561" i="17"/>
  <c r="R334" i="17"/>
  <c r="R546" i="17"/>
  <c r="R61" i="17"/>
  <c r="R173" i="17"/>
  <c r="R502" i="17"/>
  <c r="R378" i="17"/>
  <c r="R110" i="17"/>
  <c r="R267" i="17"/>
  <c r="R100" i="17"/>
  <c r="R403" i="17"/>
  <c r="R266" i="17"/>
  <c r="R536" i="17"/>
  <c r="R369" i="17"/>
  <c r="R497" i="17"/>
  <c r="R354" i="17"/>
  <c r="R390" i="17"/>
  <c r="R410" i="17"/>
  <c r="R139" i="17"/>
  <c r="R228" i="17"/>
  <c r="R295" i="17"/>
  <c r="R487" i="17"/>
  <c r="R53" i="17"/>
  <c r="R344" i="17"/>
  <c r="R472" i="17"/>
  <c r="R600" i="17"/>
  <c r="R305" i="17"/>
  <c r="R433" i="17"/>
  <c r="R545" i="17"/>
  <c r="R609" i="17"/>
  <c r="R246" i="17"/>
  <c r="R526" i="17"/>
  <c r="R93" i="17"/>
  <c r="R482" i="17"/>
  <c r="R326" i="17"/>
  <c r="R454" i="17"/>
  <c r="R582" i="17"/>
  <c r="R270" i="17"/>
  <c r="R203" i="17"/>
  <c r="R36" i="17"/>
  <c r="R359" i="17"/>
  <c r="R181" i="17"/>
  <c r="R504" i="17"/>
  <c r="R337" i="17"/>
  <c r="R465" i="17"/>
  <c r="R590" i="17"/>
  <c r="R286" i="17"/>
  <c r="R374" i="17"/>
  <c r="R571" i="17"/>
  <c r="R408" i="17"/>
  <c r="R153" i="17"/>
  <c r="R577" i="17"/>
  <c r="R398" i="17"/>
  <c r="R610" i="17"/>
  <c r="R362" i="17"/>
  <c r="R230" i="17"/>
  <c r="R518" i="17"/>
  <c r="Q368" i="17"/>
  <c r="Q65" i="17"/>
  <c r="Q367" i="17"/>
  <c r="Q518" i="17"/>
  <c r="Q465" i="17"/>
  <c r="Q63" i="17"/>
  <c r="Q480" i="17"/>
  <c r="Q252" i="17"/>
  <c r="Q363" i="17"/>
  <c r="Q566" i="17"/>
  <c r="Q513" i="17"/>
  <c r="Q159" i="17"/>
  <c r="Q560" i="17"/>
  <c r="Q204" i="17"/>
  <c r="Q415" i="17"/>
  <c r="Q287" i="17"/>
  <c r="Q109" i="17"/>
  <c r="Q486" i="17"/>
  <c r="Q230" i="17"/>
  <c r="Q433" i="17"/>
  <c r="Q169" i="17"/>
  <c r="Q166" i="17"/>
  <c r="Q472" i="17"/>
  <c r="Q524" i="17"/>
  <c r="Q463" i="17"/>
  <c r="Q207" i="17"/>
  <c r="Q326" i="17"/>
  <c r="Q273" i="17"/>
  <c r="Q468" i="17"/>
  <c r="Q380" i="17"/>
  <c r="Q459" i="17"/>
  <c r="Q203" i="17"/>
  <c r="Q246" i="17"/>
  <c r="Q257" i="17"/>
  <c r="Q420" i="17"/>
  <c r="Q168" i="17"/>
  <c r="Q607" i="17"/>
  <c r="Q404" i="17"/>
  <c r="Q544" i="17"/>
  <c r="Q360" i="17"/>
  <c r="Q316" i="17"/>
  <c r="Q539" i="17"/>
  <c r="Q411" i="17"/>
  <c r="Q283" i="17"/>
  <c r="Q93" i="17"/>
  <c r="Q406" i="17"/>
  <c r="Q73" i="17"/>
  <c r="Q353" i="17"/>
  <c r="Q120" i="17"/>
  <c r="Q610" i="17"/>
  <c r="Q482" i="17"/>
  <c r="Q354" i="17"/>
  <c r="Q242" i="17"/>
  <c r="Q573" i="17"/>
  <c r="Q429" i="17"/>
  <c r="Q301" i="17"/>
  <c r="Q161" i="17"/>
  <c r="Q84" i="17"/>
  <c r="Q91" i="17"/>
  <c r="Q584" i="17"/>
  <c r="Q388" i="17"/>
  <c r="Q552" i="17"/>
  <c r="Q528" i="17"/>
  <c r="Q272" i="17"/>
  <c r="Q344" i="17"/>
  <c r="Q556" i="17"/>
  <c r="Q300" i="17"/>
  <c r="Q599" i="17"/>
  <c r="Q535" i="17"/>
  <c r="Q471" i="17"/>
  <c r="Q407" i="17"/>
  <c r="Q343" i="17"/>
  <c r="Q279" i="17"/>
  <c r="Q215" i="17"/>
  <c r="Q77" i="17"/>
  <c r="Q574" i="17"/>
  <c r="Q510" i="17"/>
  <c r="Q446" i="17"/>
  <c r="Q382" i="17"/>
  <c r="Q318" i="17"/>
  <c r="Q254" i="17"/>
  <c r="Q190" i="17"/>
  <c r="Q585" i="17"/>
  <c r="Q521" i="17"/>
  <c r="Q457" i="17"/>
  <c r="Q393" i="17"/>
  <c r="Q329" i="17"/>
  <c r="Q265" i="17"/>
  <c r="Q201" i="17"/>
  <c r="Q21" i="17"/>
  <c r="Q96" i="17"/>
  <c r="Q32" i="17"/>
  <c r="Q111" i="17"/>
  <c r="Q182" i="17"/>
  <c r="Q54" i="17"/>
  <c r="Q530" i="17"/>
  <c r="Q402" i="17"/>
  <c r="Q274" i="17"/>
  <c r="Q589" i="17"/>
  <c r="Q477" i="17"/>
  <c r="Q349" i="17"/>
  <c r="Q221" i="17"/>
  <c r="Q100" i="17"/>
  <c r="Q59" i="17"/>
  <c r="Q520" i="17"/>
  <c r="Q372" i="17"/>
  <c r="Q504" i="17"/>
  <c r="Q512" i="17"/>
  <c r="Q256" i="17"/>
  <c r="Q296" i="17"/>
  <c r="Q540" i="17"/>
  <c r="Q284" i="17"/>
  <c r="Q595" i="17"/>
  <c r="Q531" i="17"/>
  <c r="Q467" i="17"/>
  <c r="Q403" i="17"/>
  <c r="Q339" i="17"/>
  <c r="Q275" i="17"/>
  <c r="Q211" i="17"/>
  <c r="Q61" i="17"/>
  <c r="Q570" i="17"/>
  <c r="Q506" i="17"/>
  <c r="Q442" i="17"/>
  <c r="Q378" i="17"/>
  <c r="Q314" i="17"/>
  <c r="Q250" i="17"/>
  <c r="Q186" i="17"/>
  <c r="Q581" i="17"/>
  <c r="Q517" i="17"/>
  <c r="Q453" i="17"/>
  <c r="Q389" i="17"/>
  <c r="Q325" i="17"/>
  <c r="Q261" i="17"/>
  <c r="Q197" i="17"/>
  <c r="Q156" i="17"/>
  <c r="Q92" i="17"/>
  <c r="Q28" i="17"/>
  <c r="Q75" i="17"/>
  <c r="Q114" i="17"/>
  <c r="Q183" i="17"/>
  <c r="Q119" i="17"/>
  <c r="Q55" i="17"/>
  <c r="Q158" i="17"/>
  <c r="Q94" i="17"/>
  <c r="Q30" i="17"/>
  <c r="Q131" i="17"/>
  <c r="Q67" i="17"/>
  <c r="Q170" i="17"/>
  <c r="Q106" i="17"/>
  <c r="Q42" i="17"/>
  <c r="Q70" i="17"/>
  <c r="Q304" i="17"/>
  <c r="Q575" i="17"/>
  <c r="Q383" i="17"/>
  <c r="Q255" i="17"/>
  <c r="Q17" i="17"/>
  <c r="Q422" i="17"/>
  <c r="Q137" i="17"/>
  <c r="Q369" i="17"/>
  <c r="Q136" i="17"/>
  <c r="Q38" i="17"/>
  <c r="Q496" i="17"/>
  <c r="Q268" i="17"/>
  <c r="Q399" i="17"/>
  <c r="Q45" i="17"/>
  <c r="Q198" i="17"/>
  <c r="Q53" i="17"/>
  <c r="Q212" i="17"/>
  <c r="Q33" i="17"/>
  <c r="Q395" i="17"/>
  <c r="Q29" i="17"/>
  <c r="Q577" i="17"/>
  <c r="Q193" i="17"/>
  <c r="Q129" i="17"/>
  <c r="Q596" i="17"/>
  <c r="Q543" i="17"/>
  <c r="Q276" i="17"/>
  <c r="Q416" i="17"/>
  <c r="Q564" i="17"/>
  <c r="Q188" i="17"/>
  <c r="Q507" i="17"/>
  <c r="Q379" i="17"/>
  <c r="Q251" i="17"/>
  <c r="Q598" i="17"/>
  <c r="Q342" i="17"/>
  <c r="Q545" i="17"/>
  <c r="Q289" i="17"/>
  <c r="Q56" i="17"/>
  <c r="Q578" i="17"/>
  <c r="Q450" i="17"/>
  <c r="Q322" i="17"/>
  <c r="Q210" i="17"/>
  <c r="Q541" i="17"/>
  <c r="Q397" i="17"/>
  <c r="Q269" i="17"/>
  <c r="Q37" i="17"/>
  <c r="Q52" i="17"/>
  <c r="Q27" i="17"/>
  <c r="Q312" i="17"/>
  <c r="Q324" i="17"/>
  <c r="Q376" i="17"/>
  <c r="Q464" i="17"/>
  <c r="Q208" i="17"/>
  <c r="Q184" i="17"/>
  <c r="Q492" i="17"/>
  <c r="Q236" i="17"/>
  <c r="Q583" i="17"/>
  <c r="Q519" i="17"/>
  <c r="Q455" i="17"/>
  <c r="Q391" i="17"/>
  <c r="Q327" i="17"/>
  <c r="Q263" i="17"/>
  <c r="Q199" i="17"/>
  <c r="Q81" i="17"/>
  <c r="Q558" i="17"/>
  <c r="Q494" i="17"/>
  <c r="Q430" i="17"/>
  <c r="Q366" i="17"/>
  <c r="Q302" i="17"/>
  <c r="Q238" i="17"/>
  <c r="Q164" i="17"/>
  <c r="Q569" i="17"/>
  <c r="Q505" i="17"/>
  <c r="Q441" i="17"/>
  <c r="Q377" i="17"/>
  <c r="Q313" i="17"/>
  <c r="Q249" i="17"/>
  <c r="Q185" i="17"/>
  <c r="Q144" i="17"/>
  <c r="Q80" i="17"/>
  <c r="Q16" i="17"/>
  <c r="Q79" i="17"/>
  <c r="Q150" i="17"/>
  <c r="Q22" i="17"/>
  <c r="Q498" i="17"/>
  <c r="Q370" i="17"/>
  <c r="Q226" i="17"/>
  <c r="Q557" i="17"/>
  <c r="Q445" i="17"/>
  <c r="Q317" i="17"/>
  <c r="Q189" i="17"/>
  <c r="Q68" i="17"/>
  <c r="Q162" i="17"/>
  <c r="Q248" i="17"/>
  <c r="Q308" i="17"/>
  <c r="Q328" i="17"/>
  <c r="Q448" i="17"/>
  <c r="Q192" i="17"/>
  <c r="Q612" i="17"/>
  <c r="Q476" i="17"/>
  <c r="Q220" i="17"/>
  <c r="Q579" i="17"/>
  <c r="Q515" i="17"/>
  <c r="Q451" i="17"/>
  <c r="Q387" i="17"/>
  <c r="Q323" i="17"/>
  <c r="Q259" i="17"/>
  <c r="Q195" i="17"/>
  <c r="Q49" i="17"/>
  <c r="Q554" i="17"/>
  <c r="Q490" i="17"/>
  <c r="Q426" i="17"/>
  <c r="Q362" i="17"/>
  <c r="Q298" i="17"/>
  <c r="Q234" i="17"/>
  <c r="Q153" i="17"/>
  <c r="Q565" i="17"/>
  <c r="Q501" i="17"/>
  <c r="Q437" i="17"/>
  <c r="Q373" i="17"/>
  <c r="Q309" i="17"/>
  <c r="Q245" i="17"/>
  <c r="Q177" i="17"/>
  <c r="Q140" i="17"/>
  <c r="Q76" i="17"/>
  <c r="Q171" i="17"/>
  <c r="Q43" i="17"/>
  <c r="Q82" i="17"/>
  <c r="Q167" i="17"/>
  <c r="Q103" i="17"/>
  <c r="Q39" i="17"/>
  <c r="Q142" i="17"/>
  <c r="Q78" i="17"/>
  <c r="Q179" i="17"/>
  <c r="Q115" i="17"/>
  <c r="Q51" i="17"/>
  <c r="Q154" i="17"/>
  <c r="Q90" i="17"/>
  <c r="Q26" i="17"/>
  <c r="E47" i="1"/>
  <c r="B282" i="2"/>
  <c r="E43" i="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1" i="1"/>
  <c r="F4" i="17"/>
  <c r="E22" i="1"/>
  <c r="E34" i="1"/>
  <c r="B125" i="2"/>
  <c r="L126" i="2" s="1"/>
  <c r="L127" i="2"/>
  <c r="K126" i="2"/>
  <c r="E45" i="1"/>
  <c r="B215" i="2"/>
  <c r="F7" i="17"/>
  <c r="B233" i="2"/>
  <c r="H120" i="2"/>
  <c r="C3" i="17" l="1"/>
  <c r="B241" i="2"/>
  <c r="F14" i="29"/>
  <c r="I14" i="29"/>
  <c r="E17" i="29"/>
  <c r="B284" i="2"/>
  <c r="B285" i="2" s="1"/>
  <c r="B292" i="2" s="1"/>
  <c r="G13" i="28"/>
  <c r="K241" i="2"/>
  <c r="N4" i="17"/>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F5" i="17"/>
  <c r="U10" i="21"/>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R16" i="8"/>
  <c r="E36" i="1"/>
  <c r="K4" i="17"/>
  <c r="G247" i="2" l="1"/>
  <c r="B243" i="2"/>
  <c r="B73" i="1" s="1"/>
  <c r="B242" i="2"/>
  <c r="K3" i="8"/>
  <c r="L3" i="8" s="1"/>
  <c r="B293" i="2"/>
  <c r="AT10" i="21"/>
  <c r="AV10" i="21" s="1"/>
  <c r="AZ10" i="21" s="1"/>
  <c r="BA10" i="21"/>
  <c r="B42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S16" i="8"/>
  <c r="B434" i="2" s="1"/>
  <c r="B295" i="2" l="1"/>
  <c r="B296" i="2"/>
  <c r="R26" i="8" s="1"/>
  <c r="S26" i="8" s="1"/>
  <c r="Q622" i="17"/>
  <c r="P622" i="17"/>
  <c r="O622" i="17"/>
  <c r="R622" i="17"/>
  <c r="M3" i="8"/>
  <c r="M159" i="8" s="1"/>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R24" i="8"/>
  <c r="B429" i="2"/>
  <c r="G622" i="17"/>
  <c r="H622" i="17"/>
  <c r="F622" i="17"/>
  <c r="E622" i="17"/>
  <c r="D622" i="17"/>
  <c r="C622" i="17"/>
  <c r="G4" i="8"/>
  <c r="S24" i="8" l="1"/>
  <c r="R25" i="8"/>
  <c r="N3" i="8"/>
  <c r="N159" i="8" s="1"/>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N4" i="8" s="1"/>
  <c r="J55" i="27" s="1"/>
  <c r="N55" i="27" s="1"/>
  <c r="S17" i="8"/>
  <c r="B175" i="2"/>
  <c r="C445" i="2" s="1"/>
  <c r="B435" i="2"/>
  <c r="J64" i="27" l="1"/>
  <c r="J62" i="27"/>
  <c r="J65" i="27"/>
  <c r="J60" i="27"/>
  <c r="J67" i="27"/>
  <c r="J58" i="27"/>
  <c r="J61" i="27"/>
  <c r="J63" i="27"/>
  <c r="J66" i="27"/>
  <c r="J57" i="27"/>
  <c r="J68" i="27"/>
  <c r="J59" i="27"/>
  <c r="O55" i="27"/>
  <c r="J53" i="27"/>
  <c r="N53" i="27" s="1"/>
  <c r="O53" i="27" s="1"/>
  <c r="J72" i="27"/>
  <c r="N72" i="27" s="1"/>
  <c r="J75" i="27"/>
  <c r="N75" i="27" s="1"/>
  <c r="J50" i="27"/>
  <c r="N50" i="27" s="1"/>
  <c r="J76" i="27"/>
  <c r="N76" i="27" s="1"/>
  <c r="J73" i="27"/>
  <c r="N73" i="27" s="1"/>
  <c r="J56" i="27"/>
  <c r="N56" i="27" s="1"/>
  <c r="J74" i="27"/>
  <c r="N74" i="27" s="1"/>
  <c r="J78" i="27"/>
  <c r="N78" i="27" s="1"/>
  <c r="J77" i="27"/>
  <c r="N77" i="27" s="1"/>
  <c r="J52" i="27"/>
  <c r="N52" i="27" s="1"/>
  <c r="J51" i="27"/>
  <c r="N51" i="27" s="1"/>
  <c r="J54" i="27"/>
  <c r="N54" i="27" s="1"/>
  <c r="J97" i="27"/>
  <c r="J88" i="27"/>
  <c r="J83" i="27"/>
  <c r="J25" i="27"/>
  <c r="J33" i="27"/>
  <c r="J92" i="27"/>
  <c r="J46" i="27"/>
  <c r="J43" i="27"/>
  <c r="S25" i="8"/>
  <c r="J42" i="27"/>
  <c r="J84" i="27"/>
  <c r="J89" i="27"/>
  <c r="J71" i="27"/>
  <c r="J17" i="27"/>
  <c r="J69" i="27"/>
  <c r="J87" i="27"/>
  <c r="J35" i="27"/>
  <c r="J20" i="27"/>
  <c r="J45" i="27"/>
  <c r="J93" i="27"/>
  <c r="J23" i="27"/>
  <c r="J30" i="27"/>
  <c r="J24" i="27"/>
  <c r="J13" i="27"/>
  <c r="J96" i="27"/>
  <c r="J28" i="27"/>
  <c r="J37" i="27"/>
  <c r="J22" i="27"/>
  <c r="J40" i="27"/>
  <c r="J70" i="27"/>
  <c r="J49" i="27"/>
  <c r="J79" i="27"/>
  <c r="J27" i="27"/>
  <c r="J34" i="27"/>
  <c r="J81" i="27"/>
  <c r="J47" i="27"/>
  <c r="J15" i="27"/>
  <c r="J18" i="27"/>
  <c r="J14" i="27"/>
  <c r="J26" i="27"/>
  <c r="J41" i="27"/>
  <c r="J44" i="27"/>
  <c r="J90" i="27"/>
  <c r="J80" i="27"/>
  <c r="J85" i="27"/>
  <c r="J32" i="27"/>
  <c r="J19" i="27"/>
  <c r="J21" i="27"/>
  <c r="J91" i="27"/>
  <c r="J39" i="27"/>
  <c r="J82" i="27"/>
  <c r="J94" i="27"/>
  <c r="J95" i="27"/>
  <c r="J29" i="27"/>
  <c r="J36" i="27"/>
  <c r="J48" i="27"/>
  <c r="J31" i="27"/>
  <c r="J86" i="27"/>
  <c r="J16" i="27"/>
  <c r="J38" i="27"/>
  <c r="B445" i="2"/>
  <c r="D445" i="2"/>
  <c r="B433" i="2"/>
  <c r="O72" i="27" l="1"/>
  <c r="N66" i="27"/>
  <c r="O66" i="27" s="1"/>
  <c r="O56" i="27"/>
  <c r="N59" i="27"/>
  <c r="O59" i="27" s="1"/>
  <c r="N61" i="27"/>
  <c r="O61" i="27" s="1"/>
  <c r="N65" i="27"/>
  <c r="O65" i="27" s="1"/>
  <c r="N57" i="27"/>
  <c r="O57" i="27" s="1"/>
  <c r="N63" i="27"/>
  <c r="O63" i="27" s="1"/>
  <c r="N58" i="27"/>
  <c r="O58" i="27" s="1"/>
  <c r="N67" i="27"/>
  <c r="O67" i="27" s="1"/>
  <c r="N62" i="27"/>
  <c r="O62" i="27" s="1"/>
  <c r="N68" i="27"/>
  <c r="O68" i="27" s="1"/>
  <c r="N60" i="27"/>
  <c r="O60" i="27" s="1"/>
  <c r="N64" i="27"/>
  <c r="O64" i="27" s="1"/>
  <c r="O75" i="27"/>
  <c r="O76" i="27"/>
  <c r="O51" i="27"/>
  <c r="O74" i="27"/>
  <c r="O50" i="27"/>
  <c r="O78" i="27"/>
  <c r="O77" i="27"/>
  <c r="O54" i="27"/>
  <c r="O52" i="27"/>
  <c r="O73" i="27"/>
  <c r="N39" i="27"/>
  <c r="O39" i="27" s="1"/>
  <c r="N41" i="27"/>
  <c r="O41" i="27" s="1"/>
  <c r="N15" i="27"/>
  <c r="O15" i="27" s="1"/>
  <c r="N34" i="27"/>
  <c r="O34" i="27" s="1"/>
  <c r="N96" i="27"/>
  <c r="O96" i="27" s="1"/>
  <c r="N13" i="27"/>
  <c r="O13" i="27" s="1"/>
  <c r="V13" i="27" s="1"/>
  <c r="N24" i="27"/>
  <c r="O24" i="27" s="1"/>
  <c r="N23" i="27"/>
  <c r="O23" i="27" s="1"/>
  <c r="N17" i="27"/>
  <c r="O17" i="27" s="1"/>
  <c r="N43" i="27"/>
  <c r="O43" i="27" s="1"/>
  <c r="N33" i="27"/>
  <c r="O33" i="27" s="1"/>
  <c r="N88" i="27"/>
  <c r="O88" i="27" s="1"/>
  <c r="N19" i="27"/>
  <c r="O19" i="27" s="1"/>
  <c r="N85" i="27"/>
  <c r="O85" i="27" s="1"/>
  <c r="N80" i="27"/>
  <c r="O80" i="27" s="1"/>
  <c r="N26" i="27"/>
  <c r="O26" i="27" s="1"/>
  <c r="N47" i="27"/>
  <c r="O47" i="27" s="1"/>
  <c r="N22" i="27"/>
  <c r="O22" i="27" s="1"/>
  <c r="N37" i="27"/>
  <c r="O37" i="27" s="1"/>
  <c r="N28" i="27"/>
  <c r="O28" i="27" s="1"/>
  <c r="N93" i="27"/>
  <c r="O93" i="27" s="1"/>
  <c r="N20" i="27"/>
  <c r="O20" i="27" s="1"/>
  <c r="N71" i="27"/>
  <c r="O71" i="27" s="1"/>
  <c r="N89" i="27"/>
  <c r="O89" i="27" s="1"/>
  <c r="N84" i="27"/>
  <c r="O84" i="27" s="1"/>
  <c r="N90" i="27"/>
  <c r="O90" i="27" s="1"/>
  <c r="N31" i="27"/>
  <c r="O31" i="27" s="1"/>
  <c r="N48" i="27"/>
  <c r="O48" i="27" s="1"/>
  <c r="N36" i="27"/>
  <c r="O36" i="27" s="1"/>
  <c r="N21" i="27"/>
  <c r="O21" i="27" s="1"/>
  <c r="N95" i="27"/>
  <c r="O95" i="27" s="1"/>
  <c r="N94" i="27"/>
  <c r="O94" i="27" s="1"/>
  <c r="N82" i="27"/>
  <c r="O82" i="27" s="1"/>
  <c r="N18" i="27"/>
  <c r="O18" i="27" s="1"/>
  <c r="N81" i="27"/>
  <c r="O81" i="27" s="1"/>
  <c r="N27" i="27"/>
  <c r="O27" i="27" s="1"/>
  <c r="N30" i="27"/>
  <c r="O30" i="27" s="1"/>
  <c r="N45" i="27"/>
  <c r="O45" i="27" s="1"/>
  <c r="N35" i="27"/>
  <c r="O35" i="27" s="1"/>
  <c r="N46" i="27"/>
  <c r="O46" i="27" s="1"/>
  <c r="N25" i="27"/>
  <c r="O25" i="27" s="1"/>
  <c r="N97" i="27"/>
  <c r="O97" i="27" s="1"/>
  <c r="N86" i="27"/>
  <c r="O86" i="27" s="1"/>
  <c r="N32" i="27"/>
  <c r="O32" i="27" s="1"/>
  <c r="N29" i="27"/>
  <c r="O29" i="27" s="1"/>
  <c r="N91" i="27"/>
  <c r="O91" i="27" s="1"/>
  <c r="N38" i="27"/>
  <c r="O38" i="27" s="1"/>
  <c r="N16" i="27"/>
  <c r="O16" i="27" s="1"/>
  <c r="N44" i="27"/>
  <c r="O44" i="27" s="1"/>
  <c r="N14" i="27"/>
  <c r="O14" i="27" s="1"/>
  <c r="N79" i="27"/>
  <c r="O79" i="27" s="1"/>
  <c r="N49" i="27"/>
  <c r="O49" i="27" s="1"/>
  <c r="N70" i="27"/>
  <c r="O70" i="27" s="1"/>
  <c r="N40" i="27"/>
  <c r="O40" i="27" s="1"/>
  <c r="N87" i="27"/>
  <c r="O87" i="27" s="1"/>
  <c r="N69" i="27"/>
  <c r="O69" i="27" s="1"/>
  <c r="N42" i="27"/>
  <c r="O42" i="27" s="1"/>
  <c r="N92" i="27"/>
  <c r="O92" i="27" s="1"/>
  <c r="N83" i="27"/>
  <c r="O83" i="27" s="1"/>
  <c r="A433" i="2"/>
  <c r="D54" i="16"/>
  <c r="D49" i="16" l="1"/>
  <c r="A628" i="17" l="1"/>
  <c r="S622" i="17"/>
  <c r="T623" i="17"/>
  <c r="T622" i="17"/>
  <c r="AF622" i="17" s="1"/>
  <c r="S626" i="17"/>
  <c r="S623" i="17"/>
  <c r="T626" i="17"/>
  <c r="T573" i="17"/>
  <c r="B71" i="1"/>
  <c r="R7" i="8"/>
  <c r="S7" i="8" s="1"/>
  <c r="O628" i="17" l="1"/>
  <c r="P628" i="17"/>
  <c r="Q628" i="17"/>
  <c r="R628" i="17"/>
  <c r="AF626" i="17"/>
  <c r="AE623" i="17"/>
  <c r="E633" i="17" s="1"/>
  <c r="AE626" i="17"/>
  <c r="E636" i="17" s="1"/>
  <c r="AF573" i="17"/>
  <c r="G628" i="17"/>
  <c r="H628" i="17"/>
  <c r="AE622" i="17"/>
  <c r="E632" i="17" s="1"/>
  <c r="AF623" i="17"/>
  <c r="D628" i="17"/>
  <c r="F628" i="17"/>
  <c r="T628" i="17"/>
  <c r="C628" i="17"/>
  <c r="E628" i="17"/>
  <c r="S628" i="17"/>
  <c r="R32" i="8"/>
  <c r="S32" i="8"/>
  <c r="C71" i="1" s="1"/>
  <c r="D71" i="1" s="1"/>
  <c r="S74" i="17"/>
  <c r="S121" i="17"/>
  <c r="S106" i="17"/>
  <c r="S90" i="17"/>
  <c r="S17" i="17"/>
  <c r="S81" i="17"/>
  <c r="S101" i="17"/>
  <c r="S58" i="17"/>
  <c r="S42" i="17"/>
  <c r="S26" i="17"/>
  <c r="S49" i="17"/>
  <c r="S69" i="17"/>
  <c r="S236" i="17"/>
  <c r="S300" i="17"/>
  <c r="S217" i="17"/>
  <c r="S281" i="17"/>
  <c r="S140" i="17"/>
  <c r="S70" i="17"/>
  <c r="S41" i="17"/>
  <c r="S105" i="17"/>
  <c r="S45" i="17"/>
  <c r="S77" i="17"/>
  <c r="S173" i="17"/>
  <c r="S237" i="17"/>
  <c r="S301" i="17"/>
  <c r="S160" i="17"/>
  <c r="S338" i="17"/>
  <c r="S370" i="17"/>
  <c r="S402" i="17"/>
  <c r="S172" i="17"/>
  <c r="S204" i="17"/>
  <c r="S153" i="17"/>
  <c r="S38" i="17"/>
  <c r="S73" i="17"/>
  <c r="S141" i="17"/>
  <c r="S269" i="17"/>
  <c r="S319" i="17"/>
  <c r="S383" i="17"/>
  <c r="S180" i="17"/>
  <c r="S244" i="17"/>
  <c r="S308" i="17"/>
  <c r="S339" i="17"/>
  <c r="S403" i="17"/>
  <c r="S366" i="17"/>
  <c r="S169" i="17"/>
  <c r="S233" i="17"/>
  <c r="S132" i="17"/>
  <c r="S62" i="17"/>
  <c r="S232" i="17"/>
  <c r="S296" i="17"/>
  <c r="S322" i="17"/>
  <c r="S386" i="17"/>
  <c r="S438" i="17"/>
  <c r="S65" i="17"/>
  <c r="S85" i="17"/>
  <c r="S117" i="17"/>
  <c r="S149" i="17"/>
  <c r="S181" i="17"/>
  <c r="S213" i="17"/>
  <c r="S245" i="17"/>
  <c r="S277" i="17"/>
  <c r="S309" i="17"/>
  <c r="S136" i="17"/>
  <c r="S168" i="17"/>
  <c r="S184" i="17"/>
  <c r="S248" i="17"/>
  <c r="S312" i="17"/>
  <c r="S327" i="17"/>
  <c r="S359" i="17"/>
  <c r="S391" i="17"/>
  <c r="S407" i="17"/>
  <c r="S378" i="17"/>
  <c r="S188" i="17"/>
  <c r="S252" i="17"/>
  <c r="S331" i="17"/>
  <c r="S363" i="17"/>
  <c r="S395" i="17"/>
  <c r="S411" i="17"/>
  <c r="S326" i="17"/>
  <c r="S358" i="17"/>
  <c r="S390" i="17"/>
  <c r="S454" i="17"/>
  <c r="S249" i="17"/>
  <c r="S297" i="17"/>
  <c r="S22" i="17"/>
  <c r="S86" i="17"/>
  <c r="S192" i="17"/>
  <c r="S256" i="17"/>
  <c r="S415" i="17"/>
  <c r="S462" i="17"/>
  <c r="S57" i="17"/>
  <c r="S289" i="17"/>
  <c r="S14" i="17"/>
  <c r="S78" i="17"/>
  <c r="S93" i="17"/>
  <c r="S125" i="17"/>
  <c r="S189" i="17"/>
  <c r="S253" i="17"/>
  <c r="S112" i="17"/>
  <c r="S176" i="17"/>
  <c r="S208" i="17"/>
  <c r="S272" i="17"/>
  <c r="S367" i="17"/>
  <c r="S330" i="17"/>
  <c r="S394" i="17"/>
  <c r="S228" i="17"/>
  <c r="S292" i="17"/>
  <c r="S323" i="17"/>
  <c r="S387" i="17"/>
  <c r="S350" i="17"/>
  <c r="S414" i="17"/>
  <c r="S446" i="17"/>
  <c r="S423" i="17"/>
  <c r="S487" i="17"/>
  <c r="S519" i="17"/>
  <c r="S528" i="17"/>
  <c r="S560" i="17"/>
  <c r="S606" i="17"/>
  <c r="T17" i="17"/>
  <c r="T81" i="17"/>
  <c r="T16" i="17"/>
  <c r="T80" i="17"/>
  <c r="S32" i="17"/>
  <c r="S96" i="17"/>
  <c r="S31" i="17"/>
  <c r="S95" i="17"/>
  <c r="S127" i="17"/>
  <c r="S191" i="17"/>
  <c r="S255" i="17"/>
  <c r="S114" i="17"/>
  <c r="S178" i="17"/>
  <c r="S210" i="17"/>
  <c r="S274" i="17"/>
  <c r="S369" i="17"/>
  <c r="S332" i="17"/>
  <c r="S396" i="17"/>
  <c r="S428" i="17"/>
  <c r="S492" i="17"/>
  <c r="S453" i="17"/>
  <c r="S517" i="17"/>
  <c r="S558" i="17"/>
  <c r="S571" i="17"/>
  <c r="S268" i="17"/>
  <c r="S313" i="17"/>
  <c r="S102" i="17"/>
  <c r="S109" i="17"/>
  <c r="S205" i="17"/>
  <c r="S128" i="17"/>
  <c r="S351" i="17"/>
  <c r="S212" i="17"/>
  <c r="S276" i="17"/>
  <c r="S371" i="17"/>
  <c r="S334" i="17"/>
  <c r="S398" i="17"/>
  <c r="S137" i="17"/>
  <c r="S201" i="17"/>
  <c r="S265" i="17"/>
  <c r="S305" i="17"/>
  <c r="S30" i="17"/>
  <c r="S94" i="17"/>
  <c r="S200" i="17"/>
  <c r="S264" i="17"/>
  <c r="S354" i="17"/>
  <c r="S156" i="17"/>
  <c r="S470" i="17"/>
  <c r="S33" i="17"/>
  <c r="S97" i="17"/>
  <c r="S29" i="17"/>
  <c r="S53" i="17"/>
  <c r="S133" i="17"/>
  <c r="S165" i="17"/>
  <c r="S197" i="17"/>
  <c r="S229" i="17"/>
  <c r="S261" i="17"/>
  <c r="S293" i="17"/>
  <c r="S120" i="17"/>
  <c r="S152" i="17"/>
  <c r="S216" i="17"/>
  <c r="S280" i="17"/>
  <c r="S343" i="17"/>
  <c r="S375" i="17"/>
  <c r="S346" i="17"/>
  <c r="S148" i="17"/>
  <c r="S220" i="17"/>
  <c r="S284" i="17"/>
  <c r="S315" i="17"/>
  <c r="S347" i="17"/>
  <c r="S379" i="17"/>
  <c r="S342" i="17"/>
  <c r="S374" i="17"/>
  <c r="S406" i="17"/>
  <c r="S422" i="17"/>
  <c r="S185" i="17"/>
  <c r="S124" i="17"/>
  <c r="S54" i="17"/>
  <c r="S224" i="17"/>
  <c r="S288" i="17"/>
  <c r="S430" i="17"/>
  <c r="S25" i="17"/>
  <c r="S89" i="17"/>
  <c r="S116" i="17"/>
  <c r="S46" i="17"/>
  <c r="S61" i="17"/>
  <c r="S157" i="17"/>
  <c r="S221" i="17"/>
  <c r="S285" i="17"/>
  <c r="S144" i="17"/>
  <c r="S240" i="17"/>
  <c r="S304" i="17"/>
  <c r="S335" i="17"/>
  <c r="S399" i="17"/>
  <c r="S362" i="17"/>
  <c r="S164" i="17"/>
  <c r="S196" i="17"/>
  <c r="S260" i="17"/>
  <c r="S355" i="17"/>
  <c r="S318" i="17"/>
  <c r="S382" i="17"/>
  <c r="S478" i="17"/>
  <c r="S494" i="17"/>
  <c r="S455" i="17"/>
  <c r="S592" i="17"/>
  <c r="S573" i="17"/>
  <c r="T49" i="17"/>
  <c r="T48" i="17"/>
  <c r="S64" i="17"/>
  <c r="S63" i="17"/>
  <c r="S159" i="17"/>
  <c r="S223" i="17"/>
  <c r="S287" i="17"/>
  <c r="S146" i="17"/>
  <c r="S242" i="17"/>
  <c r="S306" i="17"/>
  <c r="S337" i="17"/>
  <c r="S401" i="17"/>
  <c r="S364" i="17"/>
  <c r="S460" i="17"/>
  <c r="S421" i="17"/>
  <c r="S485" i="17"/>
  <c r="S526" i="17"/>
  <c r="S590" i="17"/>
  <c r="S604" i="17"/>
  <c r="T15" i="17"/>
  <c r="T79" i="17"/>
  <c r="T14" i="17"/>
  <c r="T78" i="17"/>
  <c r="S450" i="17"/>
  <c r="S514" i="17"/>
  <c r="S475" i="17"/>
  <c r="S76" i="17"/>
  <c r="S43" i="17"/>
  <c r="S75" i="17"/>
  <c r="S107" i="17"/>
  <c r="S139" i="17"/>
  <c r="S203" i="17"/>
  <c r="S267" i="17"/>
  <c r="S158" i="17"/>
  <c r="S440" i="17"/>
  <c r="S472" i="17"/>
  <c r="S504" i="17"/>
  <c r="S433" i="17"/>
  <c r="S465" i="17"/>
  <c r="S497" i="17"/>
  <c r="S597" i="17"/>
  <c r="T59" i="17"/>
  <c r="S431" i="17"/>
  <c r="S495" i="17"/>
  <c r="S527" i="17"/>
  <c r="S536" i="17"/>
  <c r="S568" i="17"/>
  <c r="S549" i="17"/>
  <c r="S595" i="17"/>
  <c r="T25" i="17"/>
  <c r="T89" i="17"/>
  <c r="T24" i="17"/>
  <c r="T88" i="17"/>
  <c r="S40" i="17"/>
  <c r="S104" i="17"/>
  <c r="S39" i="17"/>
  <c r="S103" i="17"/>
  <c r="S135" i="17"/>
  <c r="S199" i="17"/>
  <c r="S263" i="17"/>
  <c r="S122" i="17"/>
  <c r="S218" i="17"/>
  <c r="S282" i="17"/>
  <c r="S314" i="17"/>
  <c r="S377" i="17"/>
  <c r="S409" i="17"/>
  <c r="S340" i="17"/>
  <c r="S404" i="17"/>
  <c r="S436" i="17"/>
  <c r="S500" i="17"/>
  <c r="S461" i="17"/>
  <c r="S566" i="17"/>
  <c r="S579" i="17"/>
  <c r="T55" i="17"/>
  <c r="T54" i="17"/>
  <c r="S426" i="17"/>
  <c r="S490" i="17"/>
  <c r="S451" i="17"/>
  <c r="S588" i="17"/>
  <c r="T45" i="17"/>
  <c r="T109" i="17"/>
  <c r="S50" i="17"/>
  <c r="S177" i="17"/>
  <c r="S37" i="17"/>
  <c r="S84" i="17"/>
  <c r="S147" i="17"/>
  <c r="S211" i="17"/>
  <c r="S275" i="17"/>
  <c r="S134" i="17"/>
  <c r="S230" i="17"/>
  <c r="S294" i="17"/>
  <c r="T35" i="17"/>
  <c r="T99" i="17"/>
  <c r="T34" i="17"/>
  <c r="T100" i="17"/>
  <c r="S507" i="17"/>
  <c r="S561" i="17"/>
  <c r="T36" i="17"/>
  <c r="S52" i="17"/>
  <c r="S27" i="17"/>
  <c r="S91" i="17"/>
  <c r="S333" i="17"/>
  <c r="S397" i="17"/>
  <c r="S360" i="17"/>
  <c r="S456" i="17"/>
  <c r="S481" i="17"/>
  <c r="S522" i="17"/>
  <c r="S586" i="17"/>
  <c r="S600" i="17"/>
  <c r="S439" i="17"/>
  <c r="S503" i="17"/>
  <c r="S535" i="17"/>
  <c r="S576" i="17"/>
  <c r="S557" i="17"/>
  <c r="T33" i="17"/>
  <c r="T97" i="17"/>
  <c r="T32" i="17"/>
  <c r="S48" i="17"/>
  <c r="S47" i="17"/>
  <c r="S143" i="17"/>
  <c r="S207" i="17"/>
  <c r="S271" i="17"/>
  <c r="S130" i="17"/>
  <c r="S226" i="17"/>
  <c r="S290" i="17"/>
  <c r="S321" i="17"/>
  <c r="S385" i="17"/>
  <c r="S348" i="17"/>
  <c r="S412" i="17"/>
  <c r="S444" i="17"/>
  <c r="S508" i="17"/>
  <c r="S469" i="17"/>
  <c r="S574" i="17"/>
  <c r="S587" i="17"/>
  <c r="S601" i="17"/>
  <c r="T63" i="17"/>
  <c r="T62" i="17"/>
  <c r="S434" i="17"/>
  <c r="S498" i="17"/>
  <c r="S459" i="17"/>
  <c r="S564" i="17"/>
  <c r="T47" i="17"/>
  <c r="T46" i="17"/>
  <c r="S418" i="17"/>
  <c r="S482" i="17"/>
  <c r="S443" i="17"/>
  <c r="S532" i="17"/>
  <c r="S36" i="17"/>
  <c r="S108" i="17"/>
  <c r="S171" i="17"/>
  <c r="S235" i="17"/>
  <c r="S299" i="17"/>
  <c r="S126" i="17"/>
  <c r="S538" i="17"/>
  <c r="S570" i="17"/>
  <c r="S551" i="17"/>
  <c r="S583" i="17"/>
  <c r="T27" i="17"/>
  <c r="T91" i="17"/>
  <c r="S502" i="17"/>
  <c r="S463" i="17"/>
  <c r="S581" i="17"/>
  <c r="T57" i="17"/>
  <c r="T56" i="17"/>
  <c r="S72" i="17"/>
  <c r="S71" i="17"/>
  <c r="S167" i="17"/>
  <c r="S231" i="17"/>
  <c r="S295" i="17"/>
  <c r="S154" i="17"/>
  <c r="S186" i="17"/>
  <c r="S250" i="17"/>
  <c r="S345" i="17"/>
  <c r="S372" i="17"/>
  <c r="S468" i="17"/>
  <c r="S429" i="17"/>
  <c r="S493" i="17"/>
  <c r="S525" i="17"/>
  <c r="S534" i="17"/>
  <c r="S547" i="17"/>
  <c r="S612" i="17"/>
  <c r="T23" i="17"/>
  <c r="T87" i="17"/>
  <c r="T22" i="17"/>
  <c r="T86" i="17"/>
  <c r="S458" i="17"/>
  <c r="S419" i="17"/>
  <c r="S524" i="17"/>
  <c r="S556" i="17"/>
  <c r="T13" i="17"/>
  <c r="T77" i="17"/>
  <c r="S113" i="17"/>
  <c r="S241" i="17"/>
  <c r="S115" i="17"/>
  <c r="S179" i="17"/>
  <c r="S243" i="17"/>
  <c r="S307" i="17"/>
  <c r="S166" i="17"/>
  <c r="S198" i="17"/>
  <c r="S262" i="17"/>
  <c r="S605" i="17"/>
  <c r="T67" i="17"/>
  <c r="T66" i="17"/>
  <c r="T132" i="17"/>
  <c r="S593" i="17"/>
  <c r="T68" i="17"/>
  <c r="S20" i="17"/>
  <c r="S59" i="17"/>
  <c r="S365" i="17"/>
  <c r="S328" i="17"/>
  <c r="S392" i="17"/>
  <c r="S424" i="17"/>
  <c r="S488" i="17"/>
  <c r="S417" i="17"/>
  <c r="S449" i="17"/>
  <c r="S513" i="17"/>
  <c r="S554" i="17"/>
  <c r="S567" i="17"/>
  <c r="S510" i="17"/>
  <c r="S471" i="17"/>
  <c r="S544" i="17"/>
  <c r="S589" i="17"/>
  <c r="S603" i="17"/>
  <c r="T65" i="17"/>
  <c r="T64" i="17"/>
  <c r="S16" i="17"/>
  <c r="S80" i="17"/>
  <c r="S15" i="17"/>
  <c r="S79" i="17"/>
  <c r="S111" i="17"/>
  <c r="S175" i="17"/>
  <c r="S239" i="17"/>
  <c r="S303" i="17"/>
  <c r="S162" i="17"/>
  <c r="S194" i="17"/>
  <c r="S258" i="17"/>
  <c r="S353" i="17"/>
  <c r="S316" i="17"/>
  <c r="S380" i="17"/>
  <c r="S476" i="17"/>
  <c r="S437" i="17"/>
  <c r="S501" i="17"/>
  <c r="S533" i="17"/>
  <c r="S542" i="17"/>
  <c r="S555" i="17"/>
  <c r="T31" i="17"/>
  <c r="T95" i="17"/>
  <c r="T30" i="17"/>
  <c r="T96" i="17"/>
  <c r="S466" i="17"/>
  <c r="S427" i="17"/>
  <c r="S491" i="17"/>
  <c r="S523" i="17"/>
  <c r="S539" i="17"/>
  <c r="S548" i="17"/>
  <c r="S580" i="17"/>
  <c r="S545" i="17"/>
  <c r="S610" i="17"/>
  <c r="S607" i="17"/>
  <c r="T37" i="17"/>
  <c r="T69" i="17"/>
  <c r="T101" i="17"/>
  <c r="T20" i="17"/>
  <c r="T84" i="17"/>
  <c r="S34" i="17"/>
  <c r="S98" i="17"/>
  <c r="S161" i="17"/>
  <c r="S225" i="17"/>
  <c r="S21" i="17"/>
  <c r="S60" i="17"/>
  <c r="S19" i="17"/>
  <c r="S83" i="17"/>
  <c r="S155" i="17"/>
  <c r="S219" i="17"/>
  <c r="S283" i="17"/>
  <c r="S110" i="17"/>
  <c r="S142" i="17"/>
  <c r="S206" i="17"/>
  <c r="S238" i="17"/>
  <c r="S270" i="17"/>
  <c r="S302" i="17"/>
  <c r="S317" i="17"/>
  <c r="S381" i="17"/>
  <c r="S413" i="17"/>
  <c r="S344" i="17"/>
  <c r="S408" i="17"/>
  <c r="S480" i="17"/>
  <c r="S441" i="17"/>
  <c r="S505" i="17"/>
  <c r="S546" i="17"/>
  <c r="S559" i="17"/>
  <c r="S613" i="17"/>
  <c r="T75" i="17"/>
  <c r="T42" i="17"/>
  <c r="T74" i="17"/>
  <c r="T108" i="17"/>
  <c r="S483" i="17"/>
  <c r="S602" i="17"/>
  <c r="T76" i="17"/>
  <c r="S325" i="17"/>
  <c r="S389" i="17"/>
  <c r="S352" i="17"/>
  <c r="S416" i="17"/>
  <c r="S479" i="17"/>
  <c r="S543" i="17"/>
  <c r="S552" i="17"/>
  <c r="S598" i="17"/>
  <c r="S611" i="17"/>
  <c r="T73" i="17"/>
  <c r="T72" i="17"/>
  <c r="S24" i="17"/>
  <c r="S88" i="17"/>
  <c r="S23" i="17"/>
  <c r="S87" i="17"/>
  <c r="S119" i="17"/>
  <c r="S183" i="17"/>
  <c r="S247" i="17"/>
  <c r="S311" i="17"/>
  <c r="S170" i="17"/>
  <c r="S202" i="17"/>
  <c r="S266" i="17"/>
  <c r="S361" i="17"/>
  <c r="S324" i="17"/>
  <c r="S388" i="17"/>
  <c r="S420" i="17"/>
  <c r="S484" i="17"/>
  <c r="S445" i="17"/>
  <c r="S509" i="17"/>
  <c r="S550" i="17"/>
  <c r="S563" i="17"/>
  <c r="T39" i="17"/>
  <c r="T103" i="17"/>
  <c r="T38" i="17"/>
  <c r="S474" i="17"/>
  <c r="S435" i="17"/>
  <c r="S499" i="17"/>
  <c r="S531" i="17"/>
  <c r="S540" i="17"/>
  <c r="S572" i="17"/>
  <c r="S553" i="17"/>
  <c r="T29" i="17"/>
  <c r="T93" i="17"/>
  <c r="T28" i="17"/>
  <c r="T92" i="17"/>
  <c r="S44" i="17"/>
  <c r="S82" i="17"/>
  <c r="S209" i="17"/>
  <c r="S100" i="17"/>
  <c r="S35" i="17"/>
  <c r="S99" i="17"/>
  <c r="S131" i="17"/>
  <c r="S195" i="17"/>
  <c r="S259" i="17"/>
  <c r="S118" i="17"/>
  <c r="S214" i="17"/>
  <c r="S278" i="17"/>
  <c r="S373" i="17"/>
  <c r="S336" i="17"/>
  <c r="S400" i="17"/>
  <c r="S432" i="17"/>
  <c r="S496" i="17"/>
  <c r="S457" i="17"/>
  <c r="S562" i="17"/>
  <c r="S575" i="17"/>
  <c r="T51" i="17"/>
  <c r="T50" i="17"/>
  <c r="T116" i="17"/>
  <c r="T180" i="17"/>
  <c r="T160" i="17"/>
  <c r="T224" i="17"/>
  <c r="T288" i="17"/>
  <c r="T147" i="17"/>
  <c r="T211" i="17"/>
  <c r="T275" i="17"/>
  <c r="T372" i="17"/>
  <c r="T365" i="17"/>
  <c r="T461" i="17"/>
  <c r="T424" i="17"/>
  <c r="T488" i="17"/>
  <c r="T583" i="17"/>
  <c r="T541" i="17"/>
  <c r="T603" i="17"/>
  <c r="T94" i="17"/>
  <c r="T158" i="17"/>
  <c r="T222" i="17"/>
  <c r="T286" i="17"/>
  <c r="T145" i="17"/>
  <c r="T209" i="17"/>
  <c r="T273" i="17"/>
  <c r="T370" i="17"/>
  <c r="T363" i="17"/>
  <c r="T459" i="17"/>
  <c r="T422" i="17"/>
  <c r="T486" i="17"/>
  <c r="T549" i="17"/>
  <c r="T539" i="17"/>
  <c r="T601" i="17"/>
  <c r="S518" i="17"/>
  <c r="S577" i="17"/>
  <c r="T21" i="17"/>
  <c r="T53" i="17"/>
  <c r="T85" i="17"/>
  <c r="T52" i="17"/>
  <c r="S28" i="17"/>
  <c r="S66" i="17"/>
  <c r="S129" i="17"/>
  <c r="S193" i="17"/>
  <c r="S257" i="17"/>
  <c r="S92" i="17"/>
  <c r="S51" i="17"/>
  <c r="S123" i="17"/>
  <c r="S187" i="17"/>
  <c r="S251" i="17"/>
  <c r="S174" i="17"/>
  <c r="S190" i="17"/>
  <c r="S222" i="17"/>
  <c r="S254" i="17"/>
  <c r="S286" i="17"/>
  <c r="S349" i="17"/>
  <c r="S376" i="17"/>
  <c r="S448" i="17"/>
  <c r="S512" i="17"/>
  <c r="S473" i="17"/>
  <c r="S529" i="17"/>
  <c r="S578" i="17"/>
  <c r="S591" i="17"/>
  <c r="T43" i="17"/>
  <c r="T107" i="17"/>
  <c r="T26" i="17"/>
  <c r="T58" i="17"/>
  <c r="T90" i="17"/>
  <c r="T124" i="17"/>
  <c r="S515" i="17"/>
  <c r="S569" i="17"/>
  <c r="T44" i="17"/>
  <c r="S357" i="17"/>
  <c r="S320" i="17"/>
  <c r="S384" i="17"/>
  <c r="S537" i="17"/>
  <c r="S486" i="17"/>
  <c r="S520" i="17"/>
  <c r="S447" i="17"/>
  <c r="S511" i="17"/>
  <c r="S584" i="17"/>
  <c r="S565" i="17"/>
  <c r="T41" i="17"/>
  <c r="T105" i="17"/>
  <c r="T40" i="17"/>
  <c r="S56" i="17"/>
  <c r="S55" i="17"/>
  <c r="S151" i="17"/>
  <c r="S215" i="17"/>
  <c r="S279" i="17"/>
  <c r="S138" i="17"/>
  <c r="S234" i="17"/>
  <c r="S298" i="17"/>
  <c r="S329" i="17"/>
  <c r="S393" i="17"/>
  <c r="S356" i="17"/>
  <c r="S452" i="17"/>
  <c r="S516" i="17"/>
  <c r="S477" i="17"/>
  <c r="S541" i="17"/>
  <c r="S582" i="17"/>
  <c r="S596" i="17"/>
  <c r="S609" i="17"/>
  <c r="T71" i="17"/>
  <c r="T70" i="17"/>
  <c r="S410" i="17"/>
  <c r="S442" i="17"/>
  <c r="S506" i="17"/>
  <c r="S467" i="17"/>
  <c r="S585" i="17"/>
  <c r="S599" i="17"/>
  <c r="T61" i="17"/>
  <c r="T60" i="17"/>
  <c r="S18" i="17"/>
  <c r="S145" i="17"/>
  <c r="S273" i="17"/>
  <c r="S68" i="17"/>
  <c r="S67" i="17"/>
  <c r="S163" i="17"/>
  <c r="S227" i="17"/>
  <c r="S291" i="17"/>
  <c r="S150" i="17"/>
  <c r="S182" i="17"/>
  <c r="S246" i="17"/>
  <c r="S310" i="17"/>
  <c r="S341" i="17"/>
  <c r="S405" i="17"/>
  <c r="S368" i="17"/>
  <c r="S464" i="17"/>
  <c r="S425" i="17"/>
  <c r="S489" i="17"/>
  <c r="S521" i="17"/>
  <c r="S530" i="17"/>
  <c r="S594" i="17"/>
  <c r="S608" i="17"/>
  <c r="T19" i="17"/>
  <c r="T83" i="17"/>
  <c r="T18" i="17"/>
  <c r="T82" i="17"/>
  <c r="T148" i="17"/>
  <c r="T128" i="17"/>
  <c r="T192" i="17"/>
  <c r="T256" i="17"/>
  <c r="T115" i="17"/>
  <c r="T179" i="17"/>
  <c r="T243" i="17"/>
  <c r="T307" i="17"/>
  <c r="T340" i="17"/>
  <c r="T404" i="17"/>
  <c r="T333" i="17"/>
  <c r="T397" i="17"/>
  <c r="T429" i="17"/>
  <c r="T493" i="17"/>
  <c r="T456" i="17"/>
  <c r="T518" i="17"/>
  <c r="T551" i="17"/>
  <c r="T572" i="17"/>
  <c r="T126" i="17"/>
  <c r="T190" i="17"/>
  <c r="T254" i="17"/>
  <c r="T113" i="17"/>
  <c r="T177" i="17"/>
  <c r="T241" i="17"/>
  <c r="T305" i="17"/>
  <c r="T338" i="17"/>
  <c r="T402" i="17"/>
  <c r="T331" i="17"/>
  <c r="T395" i="17"/>
  <c r="T427" i="17"/>
  <c r="T491" i="17"/>
  <c r="T454" i="17"/>
  <c r="T519" i="17"/>
  <c r="T581" i="17"/>
  <c r="T570" i="17"/>
  <c r="T212" i="17"/>
  <c r="T172" i="17"/>
  <c r="T152" i="17"/>
  <c r="T216" i="17"/>
  <c r="T280" i="17"/>
  <c r="T139" i="17"/>
  <c r="T203" i="17"/>
  <c r="T267" i="17"/>
  <c r="T364" i="17"/>
  <c r="T357" i="17"/>
  <c r="T453" i="17"/>
  <c r="T517" i="17"/>
  <c r="T480" i="17"/>
  <c r="T542" i="17"/>
  <c r="T575" i="17"/>
  <c r="T533" i="17"/>
  <c r="T595" i="17"/>
  <c r="T608" i="17"/>
  <c r="T150" i="17"/>
  <c r="T214" i="17"/>
  <c r="T278" i="17"/>
  <c r="T137" i="17"/>
  <c r="T201" i="17"/>
  <c r="T265" i="17"/>
  <c r="T362" i="17"/>
  <c r="T355" i="17"/>
  <c r="T451" i="17"/>
  <c r="T515" i="17"/>
  <c r="T478" i="17"/>
  <c r="T540" i="17"/>
  <c r="T531" i="17"/>
  <c r="T594" i="17"/>
  <c r="T606" i="17"/>
  <c r="T252" i="17"/>
  <c r="T164" i="17"/>
  <c r="T144" i="17"/>
  <c r="T208" i="17"/>
  <c r="T272" i="17"/>
  <c r="T131" i="17"/>
  <c r="T195" i="17"/>
  <c r="T259" i="17"/>
  <c r="T356" i="17"/>
  <c r="T349" i="17"/>
  <c r="T413" i="17"/>
  <c r="T445" i="17"/>
  <c r="T509" i="17"/>
  <c r="T472" i="17"/>
  <c r="T534" i="17"/>
  <c r="T567" i="17"/>
  <c r="T525" i="17"/>
  <c r="T588" i="17"/>
  <c r="T600" i="17"/>
  <c r="T142" i="17"/>
  <c r="T206" i="17"/>
  <c r="T270" i="17"/>
  <c r="T129" i="17"/>
  <c r="T193" i="17"/>
  <c r="T257" i="17"/>
  <c r="T354" i="17"/>
  <c r="T347" i="17"/>
  <c r="T411" i="17"/>
  <c r="T443" i="17"/>
  <c r="T507" i="17"/>
  <c r="T470" i="17"/>
  <c r="T532" i="17"/>
  <c r="T523" i="17"/>
  <c r="T586" i="17"/>
  <c r="T598" i="17"/>
  <c r="T228" i="17"/>
  <c r="T104" i="17"/>
  <c r="T168" i="17"/>
  <c r="T232" i="17"/>
  <c r="T296" i="17"/>
  <c r="T155" i="17"/>
  <c r="T219" i="17"/>
  <c r="T283" i="17"/>
  <c r="T316" i="17"/>
  <c r="T380" i="17"/>
  <c r="T373" i="17"/>
  <c r="T469" i="17"/>
  <c r="T432" i="17"/>
  <c r="T496" i="17"/>
  <c r="T591" i="17"/>
  <c r="T548" i="17"/>
  <c r="T611" i="17"/>
  <c r="T102" i="17"/>
  <c r="T166" i="17"/>
  <c r="T230" i="17"/>
  <c r="T294" i="17"/>
  <c r="T153" i="17"/>
  <c r="T217" i="17"/>
  <c r="T281" i="17"/>
  <c r="T378" i="17"/>
  <c r="T371" i="17"/>
  <c r="T467" i="17"/>
  <c r="T430" i="17"/>
  <c r="T494" i="17"/>
  <c r="T557" i="17"/>
  <c r="T546" i="17"/>
  <c r="T609" i="17"/>
  <c r="T188" i="17"/>
  <c r="T268" i="17"/>
  <c r="T127" i="17"/>
  <c r="T191" i="17"/>
  <c r="T255" i="17"/>
  <c r="T352" i="17"/>
  <c r="T416" i="17"/>
  <c r="T345" i="17"/>
  <c r="T409" i="17"/>
  <c r="T441" i="17"/>
  <c r="T505" i="17"/>
  <c r="T436" i="17"/>
  <c r="T500" i="17"/>
  <c r="T552" i="17"/>
  <c r="T106" i="17"/>
  <c r="T170" i="17"/>
  <c r="T234" i="17"/>
  <c r="T298" i="17"/>
  <c r="T157" i="17"/>
  <c r="T221" i="17"/>
  <c r="T285" i="17"/>
  <c r="T318" i="17"/>
  <c r="T382" i="17"/>
  <c r="T375" i="17"/>
  <c r="T471" i="17"/>
  <c r="T434" i="17"/>
  <c r="T498" i="17"/>
  <c r="T561" i="17"/>
  <c r="T550" i="17"/>
  <c r="T613" i="17"/>
  <c r="T207" i="17"/>
  <c r="T368" i="17"/>
  <c r="T457" i="17"/>
  <c r="T516" i="17"/>
  <c r="T547" i="17"/>
  <c r="T122" i="17"/>
  <c r="T186" i="17"/>
  <c r="T250" i="17"/>
  <c r="T314" i="17"/>
  <c r="T173" i="17"/>
  <c r="T237" i="17"/>
  <c r="T301" i="17"/>
  <c r="T334" i="17"/>
  <c r="T359" i="17"/>
  <c r="T487" i="17"/>
  <c r="T514" i="17"/>
  <c r="T566" i="17"/>
  <c r="T610" i="17"/>
  <c r="T244" i="17"/>
  <c r="T140" i="17"/>
  <c r="T120" i="17"/>
  <c r="T184" i="17"/>
  <c r="T248" i="17"/>
  <c r="T312" i="17"/>
  <c r="T171" i="17"/>
  <c r="T235" i="17"/>
  <c r="T299" i="17"/>
  <c r="T332" i="17"/>
  <c r="T396" i="17"/>
  <c r="T325" i="17"/>
  <c r="T389" i="17"/>
  <c r="T421" i="17"/>
  <c r="T485" i="17"/>
  <c r="T448" i="17"/>
  <c r="T512" i="17"/>
  <c r="T564" i="17"/>
  <c r="T118" i="17"/>
  <c r="T182" i="17"/>
  <c r="T246" i="17"/>
  <c r="T310" i="17"/>
  <c r="T169" i="17"/>
  <c r="T233" i="17"/>
  <c r="T297" i="17"/>
  <c r="T330" i="17"/>
  <c r="T394" i="17"/>
  <c r="T323" i="17"/>
  <c r="T387" i="17"/>
  <c r="T419" i="17"/>
  <c r="T483" i="17"/>
  <c r="T446" i="17"/>
  <c r="T510" i="17"/>
  <c r="T562" i="17"/>
  <c r="T204" i="17"/>
  <c r="T284" i="17"/>
  <c r="T112" i="17"/>
  <c r="T176" i="17"/>
  <c r="T240" i="17"/>
  <c r="T304" i="17"/>
  <c r="T163" i="17"/>
  <c r="T227" i="17"/>
  <c r="T291" i="17"/>
  <c r="T324" i="17"/>
  <c r="T388" i="17"/>
  <c r="T317" i="17"/>
  <c r="T381" i="17"/>
  <c r="T477" i="17"/>
  <c r="T440" i="17"/>
  <c r="T504" i="17"/>
  <c r="T556" i="17"/>
  <c r="T110" i="17"/>
  <c r="T174" i="17"/>
  <c r="T238" i="17"/>
  <c r="T302" i="17"/>
  <c r="T161" i="17"/>
  <c r="T225" i="17"/>
  <c r="T289" i="17"/>
  <c r="T322" i="17"/>
  <c r="T386" i="17"/>
  <c r="T315" i="17"/>
  <c r="T379" i="17"/>
  <c r="T475" i="17"/>
  <c r="T438" i="17"/>
  <c r="T502" i="17"/>
  <c r="T565" i="17"/>
  <c r="T554" i="17"/>
  <c r="T196" i="17"/>
  <c r="T260" i="17"/>
  <c r="T156" i="17"/>
  <c r="T136" i="17"/>
  <c r="T200" i="17"/>
  <c r="T264" i="17"/>
  <c r="T123" i="17"/>
  <c r="T187" i="17"/>
  <c r="T251" i="17"/>
  <c r="T348" i="17"/>
  <c r="T412" i="17"/>
  <c r="T341" i="17"/>
  <c r="T405" i="17"/>
  <c r="T437" i="17"/>
  <c r="T501" i="17"/>
  <c r="T464" i="17"/>
  <c r="T526" i="17"/>
  <c r="T559" i="17"/>
  <c r="T580" i="17"/>
  <c r="T134" i="17"/>
  <c r="T198" i="17"/>
  <c r="T262" i="17"/>
  <c r="T121" i="17"/>
  <c r="T185" i="17"/>
  <c r="T249" i="17"/>
  <c r="T313" i="17"/>
  <c r="T346" i="17"/>
  <c r="T410" i="17"/>
  <c r="T339" i="17"/>
  <c r="T403" i="17"/>
  <c r="T435" i="17"/>
  <c r="T499" i="17"/>
  <c r="T462" i="17"/>
  <c r="T524" i="17"/>
  <c r="T589" i="17"/>
  <c r="T578" i="17"/>
  <c r="T220" i="17"/>
  <c r="T300" i="17"/>
  <c r="T159" i="17"/>
  <c r="T223" i="17"/>
  <c r="T287" i="17"/>
  <c r="T320" i="17"/>
  <c r="T384" i="17"/>
  <c r="T377" i="17"/>
  <c r="T473" i="17"/>
  <c r="T468" i="17"/>
  <c r="T530" i="17"/>
  <c r="T563" i="17"/>
  <c r="T521" i="17"/>
  <c r="T584" i="17"/>
  <c r="T596" i="17"/>
  <c r="T138" i="17"/>
  <c r="T202" i="17"/>
  <c r="T266" i="17"/>
  <c r="T125" i="17"/>
  <c r="T189" i="17"/>
  <c r="T253" i="17"/>
  <c r="T350" i="17"/>
  <c r="T414" i="17"/>
  <c r="T343" i="17"/>
  <c r="T407" i="17"/>
  <c r="T439" i="17"/>
  <c r="T503" i="17"/>
  <c r="T466" i="17"/>
  <c r="T528" i="17"/>
  <c r="T593" i="17"/>
  <c r="T582" i="17"/>
  <c r="T143" i="17"/>
  <c r="T271" i="17"/>
  <c r="T336" i="17"/>
  <c r="T400" i="17"/>
  <c r="T361" i="17"/>
  <c r="T425" i="17"/>
  <c r="T489" i="17"/>
  <c r="T452" i="17"/>
  <c r="T579" i="17"/>
  <c r="T568" i="17"/>
  <c r="T612" i="17"/>
  <c r="T154" i="17"/>
  <c r="T218" i="17"/>
  <c r="T282" i="17"/>
  <c r="T141" i="17"/>
  <c r="T205" i="17"/>
  <c r="T269" i="17"/>
  <c r="T398" i="17"/>
  <c r="T327" i="17"/>
  <c r="T391" i="17"/>
  <c r="T423" i="17"/>
  <c r="T450" i="17"/>
  <c r="T577" i="17"/>
  <c r="T276" i="17"/>
  <c r="T135" i="17"/>
  <c r="T199" i="17"/>
  <c r="T263" i="17"/>
  <c r="T360" i="17"/>
  <c r="T111" i="17"/>
  <c r="T239" i="17"/>
  <c r="T329" i="17"/>
  <c r="T420" i="17"/>
  <c r="T537" i="17"/>
  <c r="T366" i="17"/>
  <c r="T418" i="17"/>
  <c r="T545" i="17"/>
  <c r="T597" i="17"/>
  <c r="T292" i="17"/>
  <c r="T151" i="17"/>
  <c r="T215" i="17"/>
  <c r="T279" i="17"/>
  <c r="T376" i="17"/>
  <c r="T369" i="17"/>
  <c r="T465" i="17"/>
  <c r="T460" i="17"/>
  <c r="T353" i="17"/>
  <c r="T417" i="17"/>
  <c r="T481" i="17"/>
  <c r="T508" i="17"/>
  <c r="T560" i="17"/>
  <c r="T114" i="17"/>
  <c r="T178" i="17"/>
  <c r="T242" i="17"/>
  <c r="T306" i="17"/>
  <c r="T165" i="17"/>
  <c r="T229" i="17"/>
  <c r="T293" i="17"/>
  <c r="T326" i="17"/>
  <c r="T390" i="17"/>
  <c r="T319" i="17"/>
  <c r="T383" i="17"/>
  <c r="T479" i="17"/>
  <c r="T442" i="17"/>
  <c r="T506" i="17"/>
  <c r="T569" i="17"/>
  <c r="T558" i="17"/>
  <c r="T308" i="17"/>
  <c r="T167" i="17"/>
  <c r="T231" i="17"/>
  <c r="T295" i="17"/>
  <c r="T328" i="17"/>
  <c r="T392" i="17"/>
  <c r="T321" i="17"/>
  <c r="T175" i="17"/>
  <c r="T303" i="17"/>
  <c r="T393" i="17"/>
  <c r="T484" i="17"/>
  <c r="T599" i="17"/>
  <c r="T455" i="17"/>
  <c r="T482" i="17"/>
  <c r="T535" i="17"/>
  <c r="T236" i="17"/>
  <c r="T119" i="17"/>
  <c r="T183" i="17"/>
  <c r="T247" i="17"/>
  <c r="T311" i="17"/>
  <c r="T344" i="17"/>
  <c r="T408" i="17"/>
  <c r="T337" i="17"/>
  <c r="T401" i="17"/>
  <c r="T433" i="17"/>
  <c r="T497" i="17"/>
  <c r="T428" i="17"/>
  <c r="T492" i="17"/>
  <c r="T449" i="17"/>
  <c r="T513" i="17"/>
  <c r="T444" i="17"/>
  <c r="T538" i="17"/>
  <c r="T571" i="17"/>
  <c r="T529" i="17"/>
  <c r="T592" i="17"/>
  <c r="T604" i="17"/>
  <c r="T146" i="17"/>
  <c r="T210" i="17"/>
  <c r="T274" i="17"/>
  <c r="T133" i="17"/>
  <c r="T197" i="17"/>
  <c r="T261" i="17"/>
  <c r="T358" i="17"/>
  <c r="T351" i="17"/>
  <c r="T415" i="17"/>
  <c r="T447" i="17"/>
  <c r="T511" i="17"/>
  <c r="T474" i="17"/>
  <c r="T536" i="17"/>
  <c r="T527" i="17"/>
  <c r="T590" i="17"/>
  <c r="T602" i="17"/>
  <c r="T476" i="17"/>
  <c r="T587" i="17"/>
  <c r="T544" i="17"/>
  <c r="T607" i="17"/>
  <c r="T98" i="17"/>
  <c r="T162" i="17"/>
  <c r="T226" i="17"/>
  <c r="T290" i="17"/>
  <c r="T149" i="17"/>
  <c r="T213" i="17"/>
  <c r="T277" i="17"/>
  <c r="T374" i="17"/>
  <c r="T367" i="17"/>
  <c r="T463" i="17"/>
  <c r="T426" i="17"/>
  <c r="T490" i="17"/>
  <c r="T553" i="17"/>
  <c r="T543" i="17"/>
  <c r="T605" i="17"/>
  <c r="T385" i="17"/>
  <c r="T522" i="17"/>
  <c r="T555" i="17"/>
  <c r="T576" i="17"/>
  <c r="T130" i="17"/>
  <c r="T194" i="17"/>
  <c r="T258" i="17"/>
  <c r="T117" i="17"/>
  <c r="T181" i="17"/>
  <c r="T245" i="17"/>
  <c r="T309" i="17"/>
  <c r="T342" i="17"/>
  <c r="T406" i="17"/>
  <c r="T335" i="17"/>
  <c r="T399" i="17"/>
  <c r="T431" i="17"/>
  <c r="T495" i="17"/>
  <c r="T458" i="17"/>
  <c r="T520" i="17"/>
  <c r="T585" i="17"/>
  <c r="T574" i="17"/>
  <c r="S13" i="17"/>
  <c r="B376" i="2" l="1"/>
  <c r="AF309" i="17"/>
  <c r="AF555" i="17"/>
  <c r="AF463" i="17"/>
  <c r="AF587" i="17"/>
  <c r="AE13" i="17"/>
  <c r="AF458" i="17"/>
  <c r="AF335" i="17"/>
  <c r="AF245" i="17"/>
  <c r="AF194" i="17"/>
  <c r="AF522" i="17"/>
  <c r="AF553" i="17"/>
  <c r="AF367" i="17"/>
  <c r="AF149" i="17"/>
  <c r="AF98" i="17"/>
  <c r="AF476" i="17"/>
  <c r="AF536" i="17"/>
  <c r="AF415" i="17"/>
  <c r="AF197" i="17"/>
  <c r="AF146" i="17"/>
  <c r="AF571" i="17"/>
  <c r="AF449" i="17"/>
  <c r="AF433" i="17"/>
  <c r="AF344" i="17"/>
  <c r="AF119" i="17"/>
  <c r="AF455" i="17"/>
  <c r="AF303" i="17"/>
  <c r="AF328" i="17"/>
  <c r="AF308" i="17"/>
  <c r="AF442" i="17"/>
  <c r="AF390" i="17"/>
  <c r="AF165" i="17"/>
  <c r="AF114" i="17"/>
  <c r="AF417" i="17"/>
  <c r="AF369" i="17"/>
  <c r="AF151" i="17"/>
  <c r="AF418" i="17"/>
  <c r="AF329" i="17"/>
  <c r="AF263" i="17"/>
  <c r="AF577" i="17"/>
  <c r="AF327" i="17"/>
  <c r="AF141" i="17"/>
  <c r="AF612" i="17"/>
  <c r="AF489" i="17"/>
  <c r="AF336" i="17"/>
  <c r="AF593" i="17"/>
  <c r="AF439" i="17"/>
  <c r="AF350" i="17"/>
  <c r="AF266" i="17"/>
  <c r="AF584" i="17"/>
  <c r="AF468" i="17"/>
  <c r="AF320" i="17"/>
  <c r="AF300" i="17"/>
  <c r="AF524" i="17"/>
  <c r="AF403" i="17"/>
  <c r="AF313" i="17"/>
  <c r="AF262" i="17"/>
  <c r="AF559" i="17"/>
  <c r="AF437" i="17"/>
  <c r="AF348" i="17"/>
  <c r="AF264" i="17"/>
  <c r="AF260" i="17"/>
  <c r="AF502" i="17"/>
  <c r="AF315" i="17"/>
  <c r="AF225" i="17"/>
  <c r="AF174" i="17"/>
  <c r="AF440" i="17"/>
  <c r="AF388" i="17"/>
  <c r="AF163" i="17"/>
  <c r="AF112" i="17"/>
  <c r="AF510" i="17"/>
  <c r="AF387" i="17"/>
  <c r="AF297" i="17"/>
  <c r="AF246" i="17"/>
  <c r="AF512" i="17"/>
  <c r="AF389" i="17"/>
  <c r="AF299" i="17"/>
  <c r="AF248" i="17"/>
  <c r="AF244" i="17"/>
  <c r="AF487" i="17"/>
  <c r="AF237" i="17"/>
  <c r="AF186" i="17"/>
  <c r="AF457" i="17"/>
  <c r="AF550" i="17"/>
  <c r="AF471" i="17"/>
  <c r="AF285" i="17"/>
  <c r="AF234" i="17"/>
  <c r="AF500" i="17"/>
  <c r="AF409" i="17"/>
  <c r="AF255" i="17"/>
  <c r="AF188" i="17"/>
  <c r="AF494" i="17"/>
  <c r="AF378" i="17"/>
  <c r="AF294" i="17"/>
  <c r="AF611" i="17"/>
  <c r="AF432" i="17"/>
  <c r="AF316" i="17"/>
  <c r="AF296" i="17"/>
  <c r="AF228" i="17"/>
  <c r="AF532" i="17"/>
  <c r="AF411" i="17"/>
  <c r="AF193" i="17"/>
  <c r="AF142" i="17"/>
  <c r="AF567" i="17"/>
  <c r="AF445" i="17"/>
  <c r="AF259" i="17"/>
  <c r="AF208" i="17"/>
  <c r="AF606" i="17"/>
  <c r="AF478" i="17"/>
  <c r="AF362" i="17"/>
  <c r="AF278" i="17"/>
  <c r="AF595" i="17"/>
  <c r="AF480" i="17"/>
  <c r="AF364" i="17"/>
  <c r="AF280" i="17"/>
  <c r="AF212" i="17"/>
  <c r="AF454" i="17"/>
  <c r="AF331" i="17"/>
  <c r="AF241" i="17"/>
  <c r="AF190" i="17"/>
  <c r="AF518" i="17"/>
  <c r="AF397" i="17"/>
  <c r="AF307" i="17"/>
  <c r="AF256" i="17"/>
  <c r="AF82" i="17"/>
  <c r="AE608" i="17"/>
  <c r="AE489" i="17"/>
  <c r="AE405" i="17"/>
  <c r="AE182" i="17"/>
  <c r="AE163" i="17"/>
  <c r="AE145" i="17"/>
  <c r="AE599" i="17"/>
  <c r="AE442" i="17"/>
  <c r="AE609" i="17"/>
  <c r="AE477" i="17"/>
  <c r="AE393" i="17"/>
  <c r="AE138" i="17"/>
  <c r="AE55" i="17"/>
  <c r="AF41" i="17"/>
  <c r="AE447" i="17"/>
  <c r="AE384" i="17"/>
  <c r="AE569" i="17"/>
  <c r="AF58" i="17"/>
  <c r="AE591" i="17"/>
  <c r="AE512" i="17"/>
  <c r="AE286" i="17"/>
  <c r="AE174" i="17"/>
  <c r="AE51" i="17"/>
  <c r="AE129" i="17"/>
  <c r="AF85" i="17"/>
  <c r="AE518" i="17"/>
  <c r="AF486" i="17"/>
  <c r="AF370" i="17"/>
  <c r="AF286" i="17"/>
  <c r="AF603" i="17"/>
  <c r="AF424" i="17"/>
  <c r="AF275" i="17"/>
  <c r="AF224" i="17"/>
  <c r="AF50" i="17"/>
  <c r="AE457" i="17"/>
  <c r="AE336" i="17"/>
  <c r="AE118" i="17"/>
  <c r="AE99" i="17"/>
  <c r="AE82" i="17"/>
  <c r="AF93" i="17"/>
  <c r="AE540" i="17"/>
  <c r="AE474" i="17"/>
  <c r="AE563" i="17"/>
  <c r="AE484" i="17"/>
  <c r="AE361" i="17"/>
  <c r="AE311" i="17"/>
  <c r="AE87" i="17"/>
  <c r="AF72" i="17"/>
  <c r="AE552" i="17"/>
  <c r="AE352" i="17"/>
  <c r="AE602" i="17"/>
  <c r="AF42" i="17"/>
  <c r="AE546" i="17"/>
  <c r="AE408" i="17"/>
  <c r="AE317" i="17"/>
  <c r="AE206" i="17"/>
  <c r="AE219" i="17"/>
  <c r="AE60" i="17"/>
  <c r="AE98" i="17"/>
  <c r="AF101" i="17"/>
  <c r="AE610" i="17"/>
  <c r="AE539" i="17"/>
  <c r="AE466" i="17"/>
  <c r="AF31" i="17"/>
  <c r="AE501" i="17"/>
  <c r="AE316" i="17"/>
  <c r="AE162" i="17"/>
  <c r="AE111" i="17"/>
  <c r="AE16" i="17"/>
  <c r="AE589" i="17"/>
  <c r="AE567" i="17"/>
  <c r="AE417" i="17"/>
  <c r="AE328" i="17"/>
  <c r="AF68" i="17"/>
  <c r="AF67" i="17"/>
  <c r="AE166" i="17"/>
  <c r="AE115" i="17"/>
  <c r="AF13" i="17"/>
  <c r="AE458" i="17"/>
  <c r="AF23" i="17"/>
  <c r="AE525" i="17"/>
  <c r="AE372" i="17"/>
  <c r="AE154" i="17"/>
  <c r="AE71" i="17"/>
  <c r="AE581" i="17"/>
  <c r="AF27" i="17"/>
  <c r="AE538" i="17"/>
  <c r="AE171" i="17"/>
  <c r="AE443" i="17"/>
  <c r="AF47" i="17"/>
  <c r="AE434" i="17"/>
  <c r="AE587" i="17"/>
  <c r="AE444" i="17"/>
  <c r="AE321" i="17"/>
  <c r="AE271" i="17"/>
  <c r="AE48" i="17"/>
  <c r="AE557" i="17"/>
  <c r="AE439" i="17"/>
  <c r="AE481" i="17"/>
  <c r="AE333" i="17"/>
  <c r="AF36" i="17"/>
  <c r="AF34" i="17"/>
  <c r="AE230" i="17"/>
  <c r="AE147" i="17"/>
  <c r="AE50" i="17"/>
  <c r="AE451" i="17"/>
  <c r="AF55" i="17"/>
  <c r="AE500" i="17"/>
  <c r="AE409" i="17"/>
  <c r="AE218" i="17"/>
  <c r="AE135" i="17"/>
  <c r="AE40" i="17"/>
  <c r="AF25" i="17"/>
  <c r="AE536" i="17"/>
  <c r="AF59" i="17"/>
  <c r="AE433" i="17"/>
  <c r="AE158" i="17"/>
  <c r="AE107" i="17"/>
  <c r="AE475" i="17"/>
  <c r="AF14" i="17"/>
  <c r="AE590" i="17"/>
  <c r="AE460" i="17"/>
  <c r="AE306" i="17"/>
  <c r="AE223" i="17"/>
  <c r="AF48" i="17"/>
  <c r="AE455" i="17"/>
  <c r="AE318" i="17"/>
  <c r="AE164" i="17"/>
  <c r="AE304" i="17"/>
  <c r="AE221" i="17"/>
  <c r="AE116" i="17"/>
  <c r="AE288" i="17"/>
  <c r="AE185" i="17"/>
  <c r="AE342" i="17"/>
  <c r="AE284" i="17"/>
  <c r="AE375" i="17"/>
  <c r="AE152" i="17"/>
  <c r="AE229" i="17"/>
  <c r="AE53" i="17"/>
  <c r="AE470" i="17"/>
  <c r="AE200" i="17"/>
  <c r="AE265" i="17"/>
  <c r="AE334" i="17"/>
  <c r="AE351" i="17"/>
  <c r="AE102" i="17"/>
  <c r="AE558" i="17"/>
  <c r="AE428" i="17"/>
  <c r="AE274" i="17"/>
  <c r="AE255" i="17"/>
  <c r="AE31" i="17"/>
  <c r="AF16" i="17"/>
  <c r="AE560" i="17"/>
  <c r="AE423" i="17"/>
  <c r="AE387" i="17"/>
  <c r="AE394" i="17"/>
  <c r="AE208" i="17"/>
  <c r="AE189" i="17"/>
  <c r="AE14" i="17"/>
  <c r="AE415" i="17"/>
  <c r="AE22" i="17"/>
  <c r="AE390" i="17"/>
  <c r="AE395" i="17"/>
  <c r="AE188" i="17"/>
  <c r="AE359" i="17"/>
  <c r="AE184" i="17"/>
  <c r="AE277" i="17"/>
  <c r="AE149" i="17"/>
  <c r="AE438" i="17"/>
  <c r="AE232" i="17"/>
  <c r="AE169" i="17"/>
  <c r="AE308" i="17"/>
  <c r="AE319" i="17"/>
  <c r="AE38" i="17"/>
  <c r="AE402" i="17"/>
  <c r="AE301" i="17"/>
  <c r="AE45" i="17"/>
  <c r="AE140" i="17"/>
  <c r="AE236" i="17"/>
  <c r="AE42" i="17"/>
  <c r="AE17" i="17"/>
  <c r="AE74" i="17"/>
  <c r="AF574" i="17"/>
  <c r="AF406" i="17"/>
  <c r="AF130" i="17"/>
  <c r="AF490" i="17"/>
  <c r="AF290" i="17"/>
  <c r="AF607" i="17"/>
  <c r="AF602" i="17"/>
  <c r="AF474" i="17"/>
  <c r="AF351" i="17"/>
  <c r="AF133" i="17"/>
  <c r="AF604" i="17"/>
  <c r="AF538" i="17"/>
  <c r="AF492" i="17"/>
  <c r="AF401" i="17"/>
  <c r="AF311" i="17"/>
  <c r="AF236" i="17"/>
  <c r="AF599" i="17"/>
  <c r="AF175" i="17"/>
  <c r="AF295" i="17"/>
  <c r="AF558" i="17"/>
  <c r="AF479" i="17"/>
  <c r="AF326" i="17"/>
  <c r="AF306" i="17"/>
  <c r="AF560" i="17"/>
  <c r="AF353" i="17"/>
  <c r="AF376" i="17"/>
  <c r="AF292" i="17"/>
  <c r="AF366" i="17"/>
  <c r="AF239" i="17"/>
  <c r="AF199" i="17"/>
  <c r="AF450" i="17"/>
  <c r="AF398" i="17"/>
  <c r="AF282" i="17"/>
  <c r="AF568" i="17"/>
  <c r="AF425" i="17"/>
  <c r="AF271" i="17"/>
  <c r="AF528" i="17"/>
  <c r="AF407" i="17"/>
  <c r="AF253" i="17"/>
  <c r="AF202" i="17"/>
  <c r="AF521" i="17"/>
  <c r="AF473" i="17"/>
  <c r="AF287" i="17"/>
  <c r="AF220" i="17"/>
  <c r="AF462" i="17"/>
  <c r="AF339" i="17"/>
  <c r="AF249" i="17"/>
  <c r="AF198" i="17"/>
  <c r="AF526" i="17"/>
  <c r="AF405" i="17"/>
  <c r="AF251" i="17"/>
  <c r="AF200" i="17"/>
  <c r="AF196" i="17"/>
  <c r="AF438" i="17"/>
  <c r="AF386" i="17"/>
  <c r="AF161" i="17"/>
  <c r="AF110" i="17"/>
  <c r="AF477" i="17"/>
  <c r="AF324" i="17"/>
  <c r="AF304" i="17"/>
  <c r="AF284" i="17"/>
  <c r="AF446" i="17"/>
  <c r="AF323" i="17"/>
  <c r="AF233" i="17"/>
  <c r="AF182" i="17"/>
  <c r="AF448" i="17"/>
  <c r="AF325" i="17"/>
  <c r="AF235" i="17"/>
  <c r="AF184" i="17"/>
  <c r="AF610" i="17"/>
  <c r="AF359" i="17"/>
  <c r="AF173" i="17"/>
  <c r="AF122" i="17"/>
  <c r="AF368" i="17"/>
  <c r="AF561" i="17"/>
  <c r="AF375" i="17"/>
  <c r="AF221" i="17"/>
  <c r="AF170" i="17"/>
  <c r="AF436" i="17"/>
  <c r="AF345" i="17"/>
  <c r="AF191" i="17"/>
  <c r="AF609" i="17"/>
  <c r="AF430" i="17"/>
  <c r="AF281" i="17"/>
  <c r="AF230" i="17"/>
  <c r="AF548" i="17"/>
  <c r="AF469" i="17"/>
  <c r="AF283" i="17"/>
  <c r="AF232" i="17"/>
  <c r="AF598" i="17"/>
  <c r="AF470" i="17"/>
  <c r="AF347" i="17"/>
  <c r="AF129" i="17"/>
  <c r="AF600" i="17"/>
  <c r="AF534" i="17"/>
  <c r="AF413" i="17"/>
  <c r="AF195" i="17"/>
  <c r="AF144" i="17"/>
  <c r="AF594" i="17"/>
  <c r="AF515" i="17"/>
  <c r="AF265" i="17"/>
  <c r="AF214" i="17"/>
  <c r="AF533" i="17"/>
  <c r="AF517" i="17"/>
  <c r="AF267" i="17"/>
  <c r="AF216" i="17"/>
  <c r="AF570" i="17"/>
  <c r="AF491" i="17"/>
  <c r="AF402" i="17"/>
  <c r="AF177" i="17"/>
  <c r="AF126" i="17"/>
  <c r="AF456" i="17"/>
  <c r="AF333" i="17"/>
  <c r="AF243" i="17"/>
  <c r="AF192" i="17"/>
  <c r="AF18" i="17"/>
  <c r="AE594" i="17"/>
  <c r="AE425" i="17"/>
  <c r="AE341" i="17"/>
  <c r="AE150" i="17"/>
  <c r="AE67" i="17"/>
  <c r="AE18" i="17"/>
  <c r="AE585" i="17"/>
  <c r="AE410" i="17"/>
  <c r="AE596" i="17"/>
  <c r="AE516" i="17"/>
  <c r="AE329" i="17"/>
  <c r="AE279" i="17"/>
  <c r="AE56" i="17"/>
  <c r="AE565" i="17"/>
  <c r="AE520" i="17"/>
  <c r="AE320" i="17"/>
  <c r="AE515" i="17"/>
  <c r="AF26" i="17"/>
  <c r="AE578" i="17"/>
  <c r="AE448" i="17"/>
  <c r="AE254" i="17"/>
  <c r="AE251" i="17"/>
  <c r="AE92" i="17"/>
  <c r="AE66" i="17"/>
  <c r="AF53" i="17"/>
  <c r="AF601" i="17"/>
  <c r="AF422" i="17"/>
  <c r="AF273" i="17"/>
  <c r="AF222" i="17"/>
  <c r="AF541" i="17"/>
  <c r="AF461" i="17"/>
  <c r="AF211" i="17"/>
  <c r="AF160" i="17"/>
  <c r="AF51" i="17"/>
  <c r="AE496" i="17"/>
  <c r="AE373" i="17"/>
  <c r="AE259" i="17"/>
  <c r="AE35" i="17"/>
  <c r="AE44" i="17"/>
  <c r="AF29" i="17"/>
  <c r="AE531" i="17"/>
  <c r="AF38" i="17"/>
  <c r="AE550" i="17"/>
  <c r="AE420" i="17"/>
  <c r="AE266" i="17"/>
  <c r="AE247" i="17"/>
  <c r="AE23" i="17"/>
  <c r="AF73" i="17"/>
  <c r="AE543" i="17"/>
  <c r="AE389" i="17"/>
  <c r="AE483" i="17"/>
  <c r="AF75" i="17"/>
  <c r="AE505" i="17"/>
  <c r="AE344" i="17"/>
  <c r="AE302" i="17"/>
  <c r="AE142" i="17"/>
  <c r="AE155" i="17"/>
  <c r="AE21" i="17"/>
  <c r="AE34" i="17"/>
  <c r="AF69" i="17"/>
  <c r="AE545" i="17"/>
  <c r="AE523" i="17"/>
  <c r="AF96" i="17"/>
  <c r="AE555" i="17"/>
  <c r="AE437" i="17"/>
  <c r="AE353" i="17"/>
  <c r="AE303" i="17"/>
  <c r="AE79" i="17"/>
  <c r="AF64" i="17"/>
  <c r="AE544" i="17"/>
  <c r="AE554" i="17"/>
  <c r="AE488" i="17"/>
  <c r="AE365" i="17"/>
  <c r="AE593" i="17"/>
  <c r="AE605" i="17"/>
  <c r="AE307" i="17"/>
  <c r="AE241" i="17"/>
  <c r="AE556" i="17"/>
  <c r="AF86" i="17"/>
  <c r="AE612" i="17"/>
  <c r="AE493" i="17"/>
  <c r="AE345" i="17"/>
  <c r="AE295" i="17"/>
  <c r="AE72" i="17"/>
  <c r="AE463" i="17"/>
  <c r="AE583" i="17"/>
  <c r="AE126" i="17"/>
  <c r="AE108" i="17"/>
  <c r="AE482" i="17"/>
  <c r="AE564" i="17"/>
  <c r="AF62" i="17"/>
  <c r="AE574" i="17"/>
  <c r="AE412" i="17"/>
  <c r="AE290" i="17"/>
  <c r="AE207" i="17"/>
  <c r="AF32" i="17"/>
  <c r="AE576" i="17"/>
  <c r="AE600" i="17"/>
  <c r="AE456" i="17"/>
  <c r="AE91" i="17"/>
  <c r="AE561" i="17"/>
  <c r="AF99" i="17"/>
  <c r="AE134" i="17"/>
  <c r="AE84" i="17"/>
  <c r="AF109" i="17"/>
  <c r="AE490" i="17"/>
  <c r="AE579" i="17"/>
  <c r="AE436" i="17"/>
  <c r="AE377" i="17"/>
  <c r="AE122" i="17"/>
  <c r="AE103" i="17"/>
  <c r="AF88" i="17"/>
  <c r="AE595" i="17"/>
  <c r="AE527" i="17"/>
  <c r="AE597" i="17"/>
  <c r="AE504" i="17"/>
  <c r="AE267" i="17"/>
  <c r="AE75" i="17"/>
  <c r="AE514" i="17"/>
  <c r="AF79" i="17"/>
  <c r="AE526" i="17"/>
  <c r="AE364" i="17"/>
  <c r="AE242" i="17"/>
  <c r="AE159" i="17"/>
  <c r="AF49" i="17"/>
  <c r="AE494" i="17"/>
  <c r="AE355" i="17"/>
  <c r="AE362" i="17"/>
  <c r="AE240" i="17"/>
  <c r="AE157" i="17"/>
  <c r="AE89" i="17"/>
  <c r="AE224" i="17"/>
  <c r="AE422" i="17"/>
  <c r="AE379" i="17"/>
  <c r="AE220" i="17"/>
  <c r="AE343" i="17"/>
  <c r="AE120" i="17"/>
  <c r="AE197" i="17"/>
  <c r="AE29" i="17"/>
  <c r="AE156" i="17"/>
  <c r="AE94" i="17"/>
  <c r="AE201" i="17"/>
  <c r="AE371" i="17"/>
  <c r="AE128" i="17"/>
  <c r="AE313" i="17"/>
  <c r="AE517" i="17"/>
  <c r="AE396" i="17"/>
  <c r="AE210" i="17"/>
  <c r="AE191" i="17"/>
  <c r="AE96" i="17"/>
  <c r="AF81" i="17"/>
  <c r="AE528" i="17"/>
  <c r="AE446" i="17"/>
  <c r="AE323" i="17"/>
  <c r="AE330" i="17"/>
  <c r="AE176" i="17"/>
  <c r="AE125" i="17"/>
  <c r="AE289" i="17"/>
  <c r="AE256" i="17"/>
  <c r="AE297" i="17"/>
  <c r="AE358" i="17"/>
  <c r="AE363" i="17"/>
  <c r="AE378" i="17"/>
  <c r="AE327" i="17"/>
  <c r="AE168" i="17"/>
  <c r="AE245" i="17"/>
  <c r="AE117" i="17"/>
  <c r="AE386" i="17"/>
  <c r="AE62" i="17"/>
  <c r="AE366" i="17"/>
  <c r="AE244" i="17"/>
  <c r="AE269" i="17"/>
  <c r="AE153" i="17"/>
  <c r="AE370" i="17"/>
  <c r="AE237" i="17"/>
  <c r="AE105" i="17"/>
  <c r="AE281" i="17"/>
  <c r="AE69" i="17"/>
  <c r="AE58" i="17"/>
  <c r="AE90" i="17"/>
  <c r="AF520" i="17"/>
  <c r="AF495" i="17"/>
  <c r="AF181" i="17"/>
  <c r="AF385" i="17"/>
  <c r="AF374" i="17"/>
  <c r="AF585" i="17"/>
  <c r="AF431" i="17"/>
  <c r="AF342" i="17"/>
  <c r="AF117" i="17"/>
  <c r="AF576" i="17"/>
  <c r="AF605" i="17"/>
  <c r="AF426" i="17"/>
  <c r="AF277" i="17"/>
  <c r="AF226" i="17"/>
  <c r="AF544" i="17"/>
  <c r="AF590" i="17"/>
  <c r="AF511" i="17"/>
  <c r="AF358" i="17"/>
  <c r="AF274" i="17"/>
  <c r="AF592" i="17"/>
  <c r="AF444" i="17"/>
  <c r="AF428" i="17"/>
  <c r="AF337" i="17"/>
  <c r="AF247" i="17"/>
  <c r="AF535" i="17"/>
  <c r="AF484" i="17"/>
  <c r="AF321" i="17"/>
  <c r="AF231" i="17"/>
  <c r="AF569" i="17"/>
  <c r="AF383" i="17"/>
  <c r="AF293" i="17"/>
  <c r="AF242" i="17"/>
  <c r="AF508" i="17"/>
  <c r="AF460" i="17"/>
  <c r="AF279" i="17"/>
  <c r="AF597" i="17"/>
  <c r="AF537" i="17"/>
  <c r="AF111" i="17"/>
  <c r="AF135" i="17"/>
  <c r="AF423" i="17"/>
  <c r="AF269" i="17"/>
  <c r="AF218" i="17"/>
  <c r="AF579" i="17"/>
  <c r="AF361" i="17"/>
  <c r="AF143" i="17"/>
  <c r="AF466" i="17"/>
  <c r="AF343" i="17"/>
  <c r="AF189" i="17"/>
  <c r="AF138" i="17"/>
  <c r="AF563" i="17"/>
  <c r="AF377" i="17"/>
  <c r="AF223" i="17"/>
  <c r="AF578" i="17"/>
  <c r="AF499" i="17"/>
  <c r="AF410" i="17"/>
  <c r="AF185" i="17"/>
  <c r="AF134" i="17"/>
  <c r="AF464" i="17"/>
  <c r="AF341" i="17"/>
  <c r="AF187" i="17"/>
  <c r="AF136" i="17"/>
  <c r="AF554" i="17"/>
  <c r="AF475" i="17"/>
  <c r="AF322" i="17"/>
  <c r="AF302" i="17"/>
  <c r="AF556" i="17"/>
  <c r="AF381" i="17"/>
  <c r="AF291" i="17"/>
  <c r="AF240" i="17"/>
  <c r="AF204" i="17"/>
  <c r="AF483" i="17"/>
  <c r="AF394" i="17"/>
  <c r="AF169" i="17"/>
  <c r="AF118" i="17"/>
  <c r="AF485" i="17"/>
  <c r="AF396" i="17"/>
  <c r="AF171" i="17"/>
  <c r="AF120" i="17"/>
  <c r="AF566" i="17"/>
  <c r="AF334" i="17"/>
  <c r="AF314" i="17"/>
  <c r="AF547" i="17"/>
  <c r="AF207" i="17"/>
  <c r="AF498" i="17"/>
  <c r="AF382" i="17"/>
  <c r="AF157" i="17"/>
  <c r="AF106" i="17"/>
  <c r="AF505" i="17"/>
  <c r="AF416" i="17"/>
  <c r="AF127" i="17"/>
  <c r="AF546" i="17"/>
  <c r="AF467" i="17"/>
  <c r="AF217" i="17"/>
  <c r="AF166" i="17"/>
  <c r="AF591" i="17"/>
  <c r="AF373" i="17"/>
  <c r="AF219" i="17"/>
  <c r="AF168" i="17"/>
  <c r="AF586" i="17"/>
  <c r="AF507" i="17"/>
  <c r="AF354" i="17"/>
  <c r="AF270" i="17"/>
  <c r="AF588" i="17"/>
  <c r="AF472" i="17"/>
  <c r="AF349" i="17"/>
  <c r="AF131" i="17"/>
  <c r="AF164" i="17"/>
  <c r="AF531" i="17"/>
  <c r="AF451" i="17"/>
  <c r="AF201" i="17"/>
  <c r="AF150" i="17"/>
  <c r="AF575" i="17"/>
  <c r="AF453" i="17"/>
  <c r="AF203" i="17"/>
  <c r="AF152" i="17"/>
  <c r="AF581" i="17"/>
  <c r="AF427" i="17"/>
  <c r="AF338" i="17"/>
  <c r="AF113" i="17"/>
  <c r="AF572" i="17"/>
  <c r="AF493" i="17"/>
  <c r="AF404" i="17"/>
  <c r="AF179" i="17"/>
  <c r="AF128" i="17"/>
  <c r="AF83" i="17"/>
  <c r="AE530" i="17"/>
  <c r="AE464" i="17"/>
  <c r="AE310" i="17"/>
  <c r="AE291" i="17"/>
  <c r="AE68" i="17"/>
  <c r="AF60" i="17"/>
  <c r="AE467" i="17"/>
  <c r="AF70" i="17"/>
  <c r="AE582" i="17"/>
  <c r="AE452" i="17"/>
  <c r="AE298" i="17"/>
  <c r="AE215" i="17"/>
  <c r="AF40" i="17"/>
  <c r="AE584" i="17"/>
  <c r="AE486" i="17"/>
  <c r="AE357" i="17"/>
  <c r="AF124" i="17"/>
  <c r="AF107" i="17"/>
  <c r="AE529" i="17"/>
  <c r="AE376" i="17"/>
  <c r="AE222" i="17"/>
  <c r="AE187" i="17"/>
  <c r="AE257" i="17"/>
  <c r="AE28" i="17"/>
  <c r="AF21" i="17"/>
  <c r="AF539" i="17"/>
  <c r="AF459" i="17"/>
  <c r="AF209" i="17"/>
  <c r="AF158" i="17"/>
  <c r="AF583" i="17"/>
  <c r="AF365" i="17"/>
  <c r="AF147" i="17"/>
  <c r="AF180" i="17"/>
  <c r="AE575" i="17"/>
  <c r="AE432" i="17"/>
  <c r="AE278" i="17"/>
  <c r="AE195" i="17"/>
  <c r="AE100" i="17"/>
  <c r="AF92" i="17"/>
  <c r="AE553" i="17"/>
  <c r="AE499" i="17"/>
  <c r="AF103" i="17"/>
  <c r="AE509" i="17"/>
  <c r="AE388" i="17"/>
  <c r="AE202" i="17"/>
  <c r="AE183" i="17"/>
  <c r="AE88" i="17"/>
  <c r="AE611" i="17"/>
  <c r="AE479" i="17"/>
  <c r="AE325" i="17"/>
  <c r="AF108" i="17"/>
  <c r="AE613" i="17"/>
  <c r="AE441" i="17"/>
  <c r="AE413" i="17"/>
  <c r="AE270" i="17"/>
  <c r="AE110" i="17"/>
  <c r="AE83" i="17"/>
  <c r="AE225" i="17"/>
  <c r="AF84" i="17"/>
  <c r="AF37" i="17"/>
  <c r="AE580" i="17"/>
  <c r="AE491" i="17"/>
  <c r="AF30" i="17"/>
  <c r="AE542" i="17"/>
  <c r="AE476" i="17"/>
  <c r="AE258" i="17"/>
  <c r="AE239" i="17"/>
  <c r="AE15" i="17"/>
  <c r="AF65" i="17"/>
  <c r="AE471" i="17"/>
  <c r="AE513" i="17"/>
  <c r="AE424" i="17"/>
  <c r="AE59" i="17"/>
  <c r="AF132" i="17"/>
  <c r="AE262" i="17"/>
  <c r="AE243" i="17"/>
  <c r="AE113" i="17"/>
  <c r="AE524" i="17"/>
  <c r="AF22" i="17"/>
  <c r="AE547" i="17"/>
  <c r="AE429" i="17"/>
  <c r="AE250" i="17"/>
  <c r="AE231" i="17"/>
  <c r="AF56" i="17"/>
  <c r="AE502" i="17"/>
  <c r="AE551" i="17"/>
  <c r="AE299" i="17"/>
  <c r="AE36" i="17"/>
  <c r="AE418" i="17"/>
  <c r="AE459" i="17"/>
  <c r="AF63" i="17"/>
  <c r="AE469" i="17"/>
  <c r="AE348" i="17"/>
  <c r="AE226" i="17"/>
  <c r="AE143" i="17"/>
  <c r="AF97" i="17"/>
  <c r="AE535" i="17"/>
  <c r="AE586" i="17"/>
  <c r="AE360" i="17"/>
  <c r="AE27" i="17"/>
  <c r="AE507" i="17"/>
  <c r="AF35" i="17"/>
  <c r="AE275" i="17"/>
  <c r="AE37" i="17"/>
  <c r="AF45" i="17"/>
  <c r="AE426" i="17"/>
  <c r="AE566" i="17"/>
  <c r="AE404" i="17"/>
  <c r="AE314" i="17"/>
  <c r="AE263" i="17"/>
  <c r="AE39" i="17"/>
  <c r="AF24" i="17"/>
  <c r="AE549" i="17"/>
  <c r="AE495" i="17"/>
  <c r="AE497" i="17"/>
  <c r="AE472" i="17"/>
  <c r="AE203" i="17"/>
  <c r="AE43" i="17"/>
  <c r="AE450" i="17"/>
  <c r="AF15" i="17"/>
  <c r="AE485" i="17"/>
  <c r="AE401" i="17"/>
  <c r="AE146" i="17"/>
  <c r="AE63" i="17"/>
  <c r="AE573" i="17"/>
  <c r="AE478" i="17"/>
  <c r="AE260" i="17"/>
  <c r="AE399" i="17"/>
  <c r="AE144" i="17"/>
  <c r="AE61" i="17"/>
  <c r="AE25" i="17"/>
  <c r="AE54" i="17"/>
  <c r="AE406" i="17"/>
  <c r="AE347" i="17"/>
  <c r="AE148" i="17"/>
  <c r="AE280" i="17"/>
  <c r="AE293" i="17"/>
  <c r="AE165" i="17"/>
  <c r="AE97" i="17"/>
  <c r="AE354" i="17"/>
  <c r="AE30" i="17"/>
  <c r="AE137" i="17"/>
  <c r="AE276" i="17"/>
  <c r="AE205" i="17"/>
  <c r="AE268" i="17"/>
  <c r="AE453" i="17"/>
  <c r="AE332" i="17"/>
  <c r="AE178" i="17"/>
  <c r="AE127" i="17"/>
  <c r="AE32" i="17"/>
  <c r="AF17" i="17"/>
  <c r="AE519" i="17"/>
  <c r="AE414" i="17"/>
  <c r="AE292" i="17"/>
  <c r="AE367" i="17"/>
  <c r="AE112" i="17"/>
  <c r="AE93" i="17"/>
  <c r="AE57" i="17"/>
  <c r="AE192" i="17"/>
  <c r="AE249" i="17"/>
  <c r="AE326" i="17"/>
  <c r="AE331" i="17"/>
  <c r="AE407" i="17"/>
  <c r="AE312" i="17"/>
  <c r="AE136" i="17"/>
  <c r="AE213" i="17"/>
  <c r="AE85" i="17"/>
  <c r="AE322" i="17"/>
  <c r="AE132" i="17"/>
  <c r="AE403" i="17"/>
  <c r="AE180" i="17"/>
  <c r="AE141" i="17"/>
  <c r="AE204" i="17"/>
  <c r="AE338" i="17"/>
  <c r="AE173" i="17"/>
  <c r="AE41" i="17"/>
  <c r="AE217" i="17"/>
  <c r="AE49" i="17"/>
  <c r="AE101" i="17"/>
  <c r="AE106" i="17"/>
  <c r="AF399" i="17"/>
  <c r="AF258" i="17"/>
  <c r="AF543" i="17"/>
  <c r="AF213" i="17"/>
  <c r="AF162" i="17"/>
  <c r="AF527" i="17"/>
  <c r="AF447" i="17"/>
  <c r="AF261" i="17"/>
  <c r="AF210" i="17"/>
  <c r="AF529" i="17"/>
  <c r="AF513" i="17"/>
  <c r="AF497" i="17"/>
  <c r="AF408" i="17"/>
  <c r="AF183" i="17"/>
  <c r="AF482" i="17"/>
  <c r="AF393" i="17"/>
  <c r="AF392" i="17"/>
  <c r="AF167" i="17"/>
  <c r="AF506" i="17"/>
  <c r="AF319" i="17"/>
  <c r="AF229" i="17"/>
  <c r="AF178" i="17"/>
  <c r="AF481" i="17"/>
  <c r="AF465" i="17"/>
  <c r="AF215" i="17"/>
  <c r="AF545" i="17"/>
  <c r="AF420" i="17"/>
  <c r="AF360" i="17"/>
  <c r="AF276" i="17"/>
  <c r="AF391" i="17"/>
  <c r="AF205" i="17"/>
  <c r="AF154" i="17"/>
  <c r="AF452" i="17"/>
  <c r="AF400" i="17"/>
  <c r="AF582" i="17"/>
  <c r="AF503" i="17"/>
  <c r="AF414" i="17"/>
  <c r="AF125" i="17"/>
  <c r="AF596" i="17"/>
  <c r="AF530" i="17"/>
  <c r="AF384" i="17"/>
  <c r="AF159" i="17"/>
  <c r="AF589" i="17"/>
  <c r="AF435" i="17"/>
  <c r="AF346" i="17"/>
  <c r="AF121" i="17"/>
  <c r="AF580" i="17"/>
  <c r="AF501" i="17"/>
  <c r="AF412" i="17"/>
  <c r="AF123" i="17"/>
  <c r="AF156" i="17"/>
  <c r="AF565" i="17"/>
  <c r="AF379" i="17"/>
  <c r="AF289" i="17"/>
  <c r="AF238" i="17"/>
  <c r="AF504" i="17"/>
  <c r="AF317" i="17"/>
  <c r="AF227" i="17"/>
  <c r="AF176" i="17"/>
  <c r="AF562" i="17"/>
  <c r="AF419" i="17"/>
  <c r="AF330" i="17"/>
  <c r="AF310" i="17"/>
  <c r="AF564" i="17"/>
  <c r="AF421" i="17"/>
  <c r="AF332" i="17"/>
  <c r="AF312" i="17"/>
  <c r="AF140" i="17"/>
  <c r="AF514" i="17"/>
  <c r="AF301" i="17"/>
  <c r="AF250" i="17"/>
  <c r="AF516" i="17"/>
  <c r="AF613" i="17"/>
  <c r="AF434" i="17"/>
  <c r="AF318" i="17"/>
  <c r="AF298" i="17"/>
  <c r="AF552" i="17"/>
  <c r="AF441" i="17"/>
  <c r="AF352" i="17"/>
  <c r="AF268" i="17"/>
  <c r="AF557" i="17"/>
  <c r="AF371" i="17"/>
  <c r="AF153" i="17"/>
  <c r="AF102" i="17"/>
  <c r="AF496" i="17"/>
  <c r="AF380" i="17"/>
  <c r="AF155" i="17"/>
  <c r="AF104" i="17"/>
  <c r="AF523" i="17"/>
  <c r="AF443" i="17"/>
  <c r="AF257" i="17"/>
  <c r="AF206" i="17"/>
  <c r="AF525" i="17"/>
  <c r="AF509" i="17"/>
  <c r="AF356" i="17"/>
  <c r="AF272" i="17"/>
  <c r="AF252" i="17"/>
  <c r="AF540" i="17"/>
  <c r="AF355" i="17"/>
  <c r="AF137" i="17"/>
  <c r="AF608" i="17"/>
  <c r="AF542" i="17"/>
  <c r="AF357" i="17"/>
  <c r="AF139" i="17"/>
  <c r="AF172" i="17"/>
  <c r="AF519" i="17"/>
  <c r="AF395" i="17"/>
  <c r="AF305" i="17"/>
  <c r="AF254" i="17"/>
  <c r="AF551" i="17"/>
  <c r="AF429" i="17"/>
  <c r="AF340" i="17"/>
  <c r="AF115" i="17"/>
  <c r="AF148" i="17"/>
  <c r="AF19" i="17"/>
  <c r="AE521" i="17"/>
  <c r="AE368" i="17"/>
  <c r="AE246" i="17"/>
  <c r="AE227" i="17"/>
  <c r="AE273" i="17"/>
  <c r="AF61" i="17"/>
  <c r="AE506" i="17"/>
  <c r="AF71" i="17"/>
  <c r="AE541" i="17"/>
  <c r="AE356" i="17"/>
  <c r="AE234" i="17"/>
  <c r="AE151" i="17"/>
  <c r="AF105" i="17"/>
  <c r="AE511" i="17"/>
  <c r="AE537" i="17"/>
  <c r="AF44" i="17"/>
  <c r="AF90" i="17"/>
  <c r="AF43" i="17"/>
  <c r="AE473" i="17"/>
  <c r="AE349" i="17"/>
  <c r="AE190" i="17"/>
  <c r="AE123" i="17"/>
  <c r="AE193" i="17"/>
  <c r="AF52" i="17"/>
  <c r="AE577" i="17"/>
  <c r="AF549" i="17"/>
  <c r="AF363" i="17"/>
  <c r="AF145" i="17"/>
  <c r="AF94" i="17"/>
  <c r="AF488" i="17"/>
  <c r="AF372" i="17"/>
  <c r="AF288" i="17"/>
  <c r="AF116" i="17"/>
  <c r="AE562" i="17"/>
  <c r="AE400" i="17"/>
  <c r="AE214" i="17"/>
  <c r="AE131" i="17"/>
  <c r="AE209" i="17"/>
  <c r="AF28" i="17"/>
  <c r="AE572" i="17"/>
  <c r="AE435" i="17"/>
  <c r="AF39" i="17"/>
  <c r="AE445" i="17"/>
  <c r="AE324" i="17"/>
  <c r="AE170" i="17"/>
  <c r="AE119" i="17"/>
  <c r="AE24" i="17"/>
  <c r="AE598" i="17"/>
  <c r="AE416" i="17"/>
  <c r="AF76" i="17"/>
  <c r="AF74" i="17"/>
  <c r="AE559" i="17"/>
  <c r="AE480" i="17"/>
  <c r="AE381" i="17"/>
  <c r="AE238" i="17"/>
  <c r="AE283" i="17"/>
  <c r="AE19" i="17"/>
  <c r="AE161" i="17"/>
  <c r="AF20" i="17"/>
  <c r="AE607" i="17"/>
  <c r="AE548" i="17"/>
  <c r="AE427" i="17"/>
  <c r="AF95" i="17"/>
  <c r="AE533" i="17"/>
  <c r="AE380" i="17"/>
  <c r="AE194" i="17"/>
  <c r="AE175" i="17"/>
  <c r="AE80" i="17"/>
  <c r="AE603" i="17"/>
  <c r="AE510" i="17"/>
  <c r="AE449" i="17"/>
  <c r="AE392" i="17"/>
  <c r="AE20" i="17"/>
  <c r="AF66" i="17"/>
  <c r="AE198" i="17"/>
  <c r="AE179" i="17"/>
  <c r="AF77" i="17"/>
  <c r="AE419" i="17"/>
  <c r="AF87" i="17"/>
  <c r="AE534" i="17"/>
  <c r="AE468" i="17"/>
  <c r="AE186" i="17"/>
  <c r="AE167" i="17"/>
  <c r="AF57" i="17"/>
  <c r="AF91" i="17"/>
  <c r="AE570" i="17"/>
  <c r="AE235" i="17"/>
  <c r="AE532" i="17"/>
  <c r="AF46" i="17"/>
  <c r="AE498" i="17"/>
  <c r="AE601" i="17"/>
  <c r="AE508" i="17"/>
  <c r="AE385" i="17"/>
  <c r="AE130" i="17"/>
  <c r="AE47" i="17"/>
  <c r="AF33" i="17"/>
  <c r="AE503" i="17"/>
  <c r="AE522" i="17"/>
  <c r="AE397" i="17"/>
  <c r="AE52" i="17"/>
  <c r="AF100" i="17"/>
  <c r="AE294" i="17"/>
  <c r="AE211" i="17"/>
  <c r="AE177" i="17"/>
  <c r="AE588" i="17"/>
  <c r="AF54" i="17"/>
  <c r="AE461" i="17"/>
  <c r="AE340" i="17"/>
  <c r="AE282" i="17"/>
  <c r="AE199" i="17"/>
  <c r="AE104" i="17"/>
  <c r="AF89" i="17"/>
  <c r="AE568" i="17"/>
  <c r="AE431" i="17"/>
  <c r="AE465" i="17"/>
  <c r="AE440" i="17"/>
  <c r="AE139" i="17"/>
  <c r="AE76" i="17"/>
  <c r="AF78" i="17"/>
  <c r="AE604" i="17"/>
  <c r="AE421" i="17"/>
  <c r="AE337" i="17"/>
  <c r="AE287" i="17"/>
  <c r="AE64" i="17"/>
  <c r="AE592" i="17"/>
  <c r="AE382" i="17"/>
  <c r="AE196" i="17"/>
  <c r="AE335" i="17"/>
  <c r="AE285" i="17"/>
  <c r="AE46" i="17"/>
  <c r="AE430" i="17"/>
  <c r="AE124" i="17"/>
  <c r="AE374" i="17"/>
  <c r="AE315" i="17"/>
  <c r="AE346" i="17"/>
  <c r="AE216" i="17"/>
  <c r="AE261" i="17"/>
  <c r="AE133" i="17"/>
  <c r="AE33" i="17"/>
  <c r="AE264" i="17"/>
  <c r="AE305" i="17"/>
  <c r="AE398" i="17"/>
  <c r="AE212" i="17"/>
  <c r="AE109" i="17"/>
  <c r="AE571" i="17"/>
  <c r="AE492" i="17"/>
  <c r="AE369" i="17"/>
  <c r="AE114" i="17"/>
  <c r="AE95" i="17"/>
  <c r="AF80" i="17"/>
  <c r="AE606" i="17"/>
  <c r="AE487" i="17"/>
  <c r="AE350" i="17"/>
  <c r="AE228" i="17"/>
  <c r="AE272" i="17"/>
  <c r="AE253" i="17"/>
  <c r="AE78" i="17"/>
  <c r="AE462" i="17"/>
  <c r="AE86" i="17"/>
  <c r="AE454" i="17"/>
  <c r="AE411" i="17"/>
  <c r="AE252" i="17"/>
  <c r="AE391" i="17"/>
  <c r="AE248" i="17"/>
  <c r="AE309" i="17"/>
  <c r="AE181" i="17"/>
  <c r="AE65" i="17"/>
  <c r="AE296" i="17"/>
  <c r="AE233" i="17"/>
  <c r="AE339" i="17"/>
  <c r="AE383" i="17"/>
  <c r="AE73" i="17"/>
  <c r="AE172" i="17"/>
  <c r="AE160" i="17"/>
  <c r="AE77" i="17"/>
  <c r="AE70" i="17"/>
  <c r="AE300" i="17"/>
  <c r="AE26" i="17"/>
  <c r="AE81" i="17"/>
  <c r="AE121" i="17"/>
  <c r="AF628" i="17"/>
  <c r="C48" i="16" l="1"/>
  <c r="D48" i="16" s="1"/>
  <c r="A376" i="2"/>
  <c r="B247" i="2"/>
  <c r="B72" i="1"/>
  <c r="AE628" i="17"/>
  <c r="D407" i="2" l="1"/>
  <c r="B407" i="2"/>
  <c r="A407" i="2"/>
  <c r="C3" i="8"/>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33" i="8" s="1"/>
  <c r="C72" i="1" s="1"/>
  <c r="D72" i="1" s="1"/>
  <c r="S34" i="8"/>
  <c r="C73" i="1" s="1"/>
  <c r="D73" i="1" s="1"/>
  <c r="R34" i="8"/>
  <c r="B249" i="2" l="1"/>
  <c r="B409" i="2" s="1"/>
  <c r="C40" i="16"/>
  <c r="D40" i="16" s="1"/>
  <c r="R33" i="8"/>
  <c r="B248" i="2" l="1"/>
  <c r="B408" i="2"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R28" i="8" s="1"/>
  <c r="S28" i="8" s="1"/>
  <c r="C41" i="16"/>
  <c r="D41" i="16" s="1"/>
  <c r="C10" i="28" l="1"/>
  <c r="A408" i="2"/>
  <c r="B252" i="2"/>
  <c r="F72" i="1" s="1"/>
  <c r="B235" i="2"/>
  <c r="F71" i="1" s="1"/>
  <c r="R27" i="8"/>
  <c r="S27" i="8" s="1"/>
  <c r="K12" i="29" s="1"/>
  <c r="R23" i="8"/>
  <c r="S23" i="8" s="1"/>
  <c r="A409" i="2"/>
  <c r="B236" i="2"/>
  <c r="B253" i="2"/>
  <c r="C9" i="28" l="1"/>
  <c r="C4" i="17"/>
  <c r="K190" i="17" s="1"/>
  <c r="E64" i="1"/>
  <c r="C5" i="17"/>
  <c r="J594" i="17" s="1"/>
  <c r="T16" i="27"/>
  <c r="C11" i="28"/>
  <c r="T48" i="27"/>
  <c r="T37" i="27"/>
  <c r="T36" i="27"/>
  <c r="T80" i="27"/>
  <c r="T20" i="27"/>
  <c r="T95" i="27"/>
  <c r="T19" i="27"/>
  <c r="T40" i="27"/>
  <c r="T89" i="27"/>
  <c r="T25" i="27"/>
  <c r="T94" i="27"/>
  <c r="T44" i="27"/>
  <c r="T83" i="27"/>
  <c r="T35" i="27"/>
  <c r="T86" i="27"/>
  <c r="T34" i="27"/>
  <c r="T18" i="27"/>
  <c r="T24" i="27"/>
  <c r="T85" i="27"/>
  <c r="T49" i="27"/>
  <c r="T47" i="27"/>
  <c r="T46" i="27"/>
  <c r="T81" i="27"/>
  <c r="T43" i="27"/>
  <c r="T23" i="27"/>
  <c r="T26" i="27"/>
  <c r="T21" i="27"/>
  <c r="T41" i="27"/>
  <c r="T90" i="27"/>
  <c r="T31" i="27"/>
  <c r="T84" i="27"/>
  <c r="T32" i="27"/>
  <c r="T91" i="27"/>
  <c r="C7" i="17"/>
  <c r="F73" i="1"/>
  <c r="A629" i="17"/>
  <c r="A627" i="17"/>
  <c r="L403" i="17" l="1"/>
  <c r="K386" i="17"/>
  <c r="L173" i="17"/>
  <c r="K129" i="17"/>
  <c r="L265" i="17"/>
  <c r="K180" i="17"/>
  <c r="L538" i="17"/>
  <c r="L79" i="17"/>
  <c r="L484" i="17"/>
  <c r="L123" i="17"/>
  <c r="K272" i="17"/>
  <c r="K400" i="17"/>
  <c r="L122" i="17"/>
  <c r="L389" i="17"/>
  <c r="K470" i="17"/>
  <c r="V18" i="27"/>
  <c r="W18" i="27" s="1"/>
  <c r="Z18" i="27"/>
  <c r="V83" i="27"/>
  <c r="X83" i="27" s="1"/>
  <c r="Z83" i="27"/>
  <c r="V89" i="27"/>
  <c r="X89" i="27" s="1"/>
  <c r="Z89" i="27"/>
  <c r="V20" i="27"/>
  <c r="W20" i="27" s="1"/>
  <c r="Z20" i="27"/>
  <c r="V48" i="27"/>
  <c r="X48" i="27" s="1"/>
  <c r="Z48" i="27"/>
  <c r="V91" i="27"/>
  <c r="X91" i="27" s="1"/>
  <c r="Z91" i="27"/>
  <c r="V47" i="27"/>
  <c r="W47" i="27" s="1"/>
  <c r="Z47" i="27"/>
  <c r="V41" i="27"/>
  <c r="W41" i="27" s="1"/>
  <c r="Z41" i="27"/>
  <c r="V43" i="27"/>
  <c r="X43" i="27" s="1"/>
  <c r="Z43" i="27"/>
  <c r="V49" i="27"/>
  <c r="X49" i="27" s="1"/>
  <c r="Z49" i="27"/>
  <c r="V34" i="27"/>
  <c r="X34" i="27" s="1"/>
  <c r="Z34" i="27"/>
  <c r="V44" i="27"/>
  <c r="X44" i="27" s="1"/>
  <c r="Z44" i="27"/>
  <c r="V40" i="27"/>
  <c r="X40" i="27" s="1"/>
  <c r="Z40" i="27"/>
  <c r="V80" i="27"/>
  <c r="X80" i="27" s="1"/>
  <c r="Z80" i="27"/>
  <c r="V23" i="27"/>
  <c r="W23" i="27" s="1"/>
  <c r="Z23" i="27"/>
  <c r="V84" i="27"/>
  <c r="X84" i="27" s="1"/>
  <c r="Z84" i="27"/>
  <c r="V21" i="27"/>
  <c r="W21" i="27" s="1"/>
  <c r="Z21" i="27"/>
  <c r="V81" i="27"/>
  <c r="W81" i="27" s="1"/>
  <c r="Z81" i="27"/>
  <c r="V85" i="27"/>
  <c r="W85" i="27" s="1"/>
  <c r="Z85" i="27"/>
  <c r="V86" i="27"/>
  <c r="W86" i="27" s="1"/>
  <c r="Z86" i="27"/>
  <c r="V94" i="27"/>
  <c r="W94" i="27" s="1"/>
  <c r="Z94" i="27"/>
  <c r="V19" i="27"/>
  <c r="W19" i="27" s="1"/>
  <c r="Z19" i="27"/>
  <c r="V36" i="27"/>
  <c r="W36" i="27" s="1"/>
  <c r="Z36" i="27"/>
  <c r="V16" i="27"/>
  <c r="X16" i="27" s="1"/>
  <c r="Z16" i="27"/>
  <c r="V90" i="27"/>
  <c r="W90" i="27" s="1"/>
  <c r="Z90" i="27"/>
  <c r="V32" i="27"/>
  <c r="W32" i="27" s="1"/>
  <c r="Z32" i="27"/>
  <c r="V31" i="27"/>
  <c r="W31" i="27" s="1"/>
  <c r="Z31" i="27"/>
  <c r="V26" i="27"/>
  <c r="W26" i="27" s="1"/>
  <c r="Z26" i="27"/>
  <c r="V46" i="27"/>
  <c r="W46" i="27" s="1"/>
  <c r="Z46" i="27"/>
  <c r="V24" i="27"/>
  <c r="W24" i="27" s="1"/>
  <c r="Z24" i="27"/>
  <c r="V35" i="27"/>
  <c r="W35" i="27" s="1"/>
  <c r="Z35" i="27"/>
  <c r="V25" i="27"/>
  <c r="X25" i="27" s="1"/>
  <c r="Z25" i="27"/>
  <c r="V95" i="27"/>
  <c r="W95" i="27" s="1"/>
  <c r="Z95" i="27"/>
  <c r="V37" i="27"/>
  <c r="X37" i="27" s="1"/>
  <c r="Z37" i="27"/>
  <c r="L561" i="17"/>
  <c r="K257" i="17"/>
  <c r="L250" i="17"/>
  <c r="L80" i="17"/>
  <c r="L592" i="17"/>
  <c r="K481" i="17"/>
  <c r="K65" i="17"/>
  <c r="L567" i="17"/>
  <c r="K308" i="17"/>
  <c r="L301" i="17"/>
  <c r="K109" i="17"/>
  <c r="K514" i="17"/>
  <c r="L430" i="17"/>
  <c r="K221" i="17"/>
  <c r="L473" i="17"/>
  <c r="L236" i="17"/>
  <c r="L609" i="17"/>
  <c r="K606" i="17"/>
  <c r="L372" i="17"/>
  <c r="K116" i="17"/>
  <c r="K365" i="17"/>
  <c r="L314" i="17"/>
  <c r="K45" i="17"/>
  <c r="L16" i="17"/>
  <c r="K450" i="17"/>
  <c r="K564" i="17"/>
  <c r="L453" i="17"/>
  <c r="L331" i="17"/>
  <c r="K144" i="17"/>
  <c r="L294" i="17"/>
  <c r="L548" i="17"/>
  <c r="L463" i="17"/>
  <c r="L428" i="17"/>
  <c r="K425" i="17"/>
  <c r="K244" i="17"/>
  <c r="K193" i="17"/>
  <c r="L237" i="17"/>
  <c r="L186" i="17"/>
  <c r="L47" i="17"/>
  <c r="L410" i="17"/>
  <c r="K475" i="17"/>
  <c r="L325" i="17"/>
  <c r="L571" i="17"/>
  <c r="K320" i="17"/>
  <c r="K393" i="17"/>
  <c r="L36" i="17"/>
  <c r="K527" i="17"/>
  <c r="K545" i="17"/>
  <c r="L467" i="17"/>
  <c r="K592" i="17"/>
  <c r="K464" i="17"/>
  <c r="L340" i="17"/>
  <c r="K212" i="17"/>
  <c r="K289" i="17"/>
  <c r="K161" i="17"/>
  <c r="K333" i="17"/>
  <c r="L205" i="17"/>
  <c r="L282" i="17"/>
  <c r="L154" i="17"/>
  <c r="K77" i="17"/>
  <c r="L63" i="17"/>
  <c r="L48" i="17"/>
  <c r="K354" i="17"/>
  <c r="K482" i="17"/>
  <c r="K507" i="17"/>
  <c r="L560" i="17"/>
  <c r="L357" i="17"/>
  <c r="L485" i="17"/>
  <c r="K582" i="17"/>
  <c r="K576" i="17"/>
  <c r="L336" i="17"/>
  <c r="K285" i="17"/>
  <c r="K329" i="17"/>
  <c r="L166" i="17"/>
  <c r="K342" i="17"/>
  <c r="L345" i="17"/>
  <c r="K243" i="17"/>
  <c r="L541" i="17"/>
  <c r="L492" i="17"/>
  <c r="L339" i="17"/>
  <c r="K489" i="17"/>
  <c r="K336" i="17"/>
  <c r="K276" i="17"/>
  <c r="K148" i="17"/>
  <c r="K225" i="17"/>
  <c r="K397" i="17"/>
  <c r="L269" i="17"/>
  <c r="L141" i="17"/>
  <c r="L218" i="17"/>
  <c r="K13" i="17"/>
  <c r="L31" i="17"/>
  <c r="L95" i="17"/>
  <c r="K622" i="17"/>
  <c r="K418" i="17"/>
  <c r="K443" i="17"/>
  <c r="K522" i="17"/>
  <c r="K605" i="17"/>
  <c r="L421" i="17"/>
  <c r="L494" i="17"/>
  <c r="L459" i="17"/>
  <c r="K456" i="17"/>
  <c r="K208" i="17"/>
  <c r="K157" i="17"/>
  <c r="L201" i="17"/>
  <c r="L57" i="17"/>
  <c r="K495" i="17"/>
  <c r="L506" i="17"/>
  <c r="K412" i="17"/>
  <c r="L539" i="17"/>
  <c r="L460" i="17"/>
  <c r="L435" i="17"/>
  <c r="K409" i="17"/>
  <c r="K536" i="17"/>
  <c r="K457" i="17"/>
  <c r="K432" i="17"/>
  <c r="L390" i="17"/>
  <c r="L324" i="17"/>
  <c r="K260" i="17"/>
  <c r="K196" i="17"/>
  <c r="K132" i="17"/>
  <c r="K273" i="17"/>
  <c r="K209" i="17"/>
  <c r="K145" i="17"/>
  <c r="K381" i="17"/>
  <c r="K317" i="17"/>
  <c r="L253" i="17"/>
  <c r="L189" i="17"/>
  <c r="L125" i="17"/>
  <c r="L266" i="17"/>
  <c r="L202" i="17"/>
  <c r="L138" i="17"/>
  <c r="K29" i="17"/>
  <c r="K93" i="17"/>
  <c r="L39" i="17"/>
  <c r="L71" i="17"/>
  <c r="L103" i="17"/>
  <c r="L64" i="17"/>
  <c r="L392" i="17"/>
  <c r="K370" i="17"/>
  <c r="K434" i="17"/>
  <c r="K498" i="17"/>
  <c r="K459" i="17"/>
  <c r="L522" i="17"/>
  <c r="K538" i="17"/>
  <c r="L576" i="17"/>
  <c r="K411" i="17"/>
  <c r="L373" i="17"/>
  <c r="L437" i="17"/>
  <c r="L509" i="17"/>
  <c r="K525" i="17"/>
  <c r="L551" i="17"/>
  <c r="L395" i="17"/>
  <c r="L545" i="17"/>
  <c r="K392" i="17"/>
  <c r="K304" i="17"/>
  <c r="K176" i="17"/>
  <c r="K253" i="17"/>
  <c r="K125" i="17"/>
  <c r="L297" i="17"/>
  <c r="L153" i="17"/>
  <c r="L114" i="17"/>
  <c r="L89" i="17"/>
  <c r="K406" i="17"/>
  <c r="L573" i="17"/>
  <c r="L409" i="17"/>
  <c r="K551" i="17"/>
  <c r="L287" i="17"/>
  <c r="K135" i="17"/>
  <c r="K74" i="17"/>
  <c r="K577" i="17"/>
  <c r="K523" i="17"/>
  <c r="L499" i="17"/>
  <c r="L371" i="17"/>
  <c r="L574" i="17"/>
  <c r="L520" i="17"/>
  <c r="K496" i="17"/>
  <c r="K368" i="17"/>
  <c r="L356" i="17"/>
  <c r="K292" i="17"/>
  <c r="K228" i="17"/>
  <c r="K164" i="17"/>
  <c r="K305" i="17"/>
  <c r="K241" i="17"/>
  <c r="K177" i="17"/>
  <c r="K318" i="17"/>
  <c r="K349" i="17"/>
  <c r="L285" i="17"/>
  <c r="L221" i="17"/>
  <c r="L157" i="17"/>
  <c r="L298" i="17"/>
  <c r="L234" i="17"/>
  <c r="L170" i="17"/>
  <c r="K121" i="17"/>
  <c r="K61" i="17"/>
  <c r="L23" i="17"/>
  <c r="L55" i="17"/>
  <c r="L87" i="17"/>
  <c r="L32" i="17"/>
  <c r="L96" i="17"/>
  <c r="K338" i="17"/>
  <c r="K402" i="17"/>
  <c r="K466" i="17"/>
  <c r="K427" i="17"/>
  <c r="K491" i="17"/>
  <c r="L565" i="17"/>
  <c r="L544" i="17"/>
  <c r="K608" i="17"/>
  <c r="L341" i="17"/>
  <c r="L405" i="17"/>
  <c r="L469" i="17"/>
  <c r="L462" i="17"/>
  <c r="L601" i="17"/>
  <c r="L420" i="17"/>
  <c r="K598" i="17"/>
  <c r="K417" i="17"/>
  <c r="L368" i="17"/>
  <c r="K240" i="17"/>
  <c r="K112" i="17"/>
  <c r="K189" i="17"/>
  <c r="K361" i="17"/>
  <c r="L233" i="17"/>
  <c r="L230" i="17"/>
  <c r="L25" i="17"/>
  <c r="L100" i="17"/>
  <c r="K431" i="17"/>
  <c r="K612" i="17"/>
  <c r="L434" i="17"/>
  <c r="L524" i="17"/>
  <c r="L94" i="17"/>
  <c r="L50" i="17"/>
  <c r="K52" i="17"/>
  <c r="K294" i="17"/>
  <c r="K22" i="17"/>
  <c r="L128" i="17"/>
  <c r="L610" i="17"/>
  <c r="K492" i="17"/>
  <c r="L559" i="17"/>
  <c r="K183" i="17"/>
  <c r="L70" i="17"/>
  <c r="L260" i="17"/>
  <c r="K267" i="17"/>
  <c r="K524" i="17"/>
  <c r="K547" i="17"/>
  <c r="K143" i="17"/>
  <c r="K517" i="17"/>
  <c r="K331" i="17"/>
  <c r="K584" i="17"/>
  <c r="K108" i="17"/>
  <c r="K39" i="17"/>
  <c r="L115" i="17"/>
  <c r="K371" i="17"/>
  <c r="K122" i="17"/>
  <c r="L378" i="17"/>
  <c r="K599" i="17"/>
  <c r="L602" i="17"/>
  <c r="K102" i="17"/>
  <c r="K38" i="17"/>
  <c r="K27" i="17"/>
  <c r="L204" i="17"/>
  <c r="L127" i="17"/>
  <c r="L255" i="17"/>
  <c r="K383" i="17"/>
  <c r="K211" i="17"/>
  <c r="K134" i="17"/>
  <c r="K262" i="17"/>
  <c r="L394" i="17"/>
  <c r="K461" i="17"/>
  <c r="K413" i="17"/>
  <c r="L464" i="17"/>
  <c r="L612" i="17"/>
  <c r="K567" i="17"/>
  <c r="L529" i="17"/>
  <c r="K521" i="17"/>
  <c r="L474" i="17"/>
  <c r="L442" i="17"/>
  <c r="L513" i="17"/>
  <c r="L481" i="17"/>
  <c r="L449" i="17"/>
  <c r="L417" i="17"/>
  <c r="L385" i="17"/>
  <c r="L353" i="17"/>
  <c r="L321" i="17"/>
  <c r="K601" i="17"/>
  <c r="L588" i="17"/>
  <c r="L556" i="17"/>
  <c r="K556" i="17"/>
  <c r="L589" i="17"/>
  <c r="L534" i="17"/>
  <c r="K503" i="17"/>
  <c r="K471" i="17"/>
  <c r="K439" i="17"/>
  <c r="K510" i="17"/>
  <c r="K478" i="17"/>
  <c r="K446" i="17"/>
  <c r="K414" i="17"/>
  <c r="K382" i="17"/>
  <c r="K350" i="17"/>
  <c r="L404" i="17"/>
  <c r="L108" i="17"/>
  <c r="L76" i="17"/>
  <c r="L44" i="17"/>
  <c r="L109" i="17"/>
  <c r="L93" i="17"/>
  <c r="L77" i="17"/>
  <c r="L61" i="17"/>
  <c r="L45" i="17"/>
  <c r="L29" i="17"/>
  <c r="K105" i="17"/>
  <c r="K73" i="17"/>
  <c r="K41" i="17"/>
  <c r="K16" i="17"/>
  <c r="L126" i="17"/>
  <c r="L158" i="17"/>
  <c r="L190" i="17"/>
  <c r="L222" i="17"/>
  <c r="L254" i="17"/>
  <c r="L286" i="17"/>
  <c r="L113" i="17"/>
  <c r="L145" i="17"/>
  <c r="L177" i="17"/>
  <c r="K315" i="17"/>
  <c r="L299" i="17"/>
  <c r="L176" i="17"/>
  <c r="K508" i="17"/>
  <c r="K99" i="17"/>
  <c r="L311" i="17"/>
  <c r="L318" i="17"/>
  <c r="L527" i="17"/>
  <c r="K130" i="17"/>
  <c r="L232" i="17"/>
  <c r="K79" i="17"/>
  <c r="L338" i="17"/>
  <c r="K590" i="17"/>
  <c r="K44" i="17"/>
  <c r="L192" i="17"/>
  <c r="L243" i="17"/>
  <c r="K199" i="17"/>
  <c r="K250" i="17"/>
  <c r="K437" i="17"/>
  <c r="L440" i="17"/>
  <c r="L62" i="17"/>
  <c r="K70" i="17"/>
  <c r="K91" i="17"/>
  <c r="L140" i="17"/>
  <c r="L268" i="17"/>
  <c r="L191" i="17"/>
  <c r="K319" i="17"/>
  <c r="K147" i="17"/>
  <c r="K275" i="17"/>
  <c r="K198" i="17"/>
  <c r="L326" i="17"/>
  <c r="K436" i="17"/>
  <c r="K540" i="17"/>
  <c r="L439" i="17"/>
  <c r="L543" i="17"/>
  <c r="L599" i="17"/>
  <c r="K578" i="17"/>
  <c r="L563" i="17"/>
  <c r="L490" i="17"/>
  <c r="L458" i="17"/>
  <c r="L426" i="17"/>
  <c r="L497" i="17"/>
  <c r="L465" i="17"/>
  <c r="L433" i="17"/>
  <c r="L401" i="17"/>
  <c r="L369" i="17"/>
  <c r="L337" i="17"/>
  <c r="K407" i="17"/>
  <c r="K604" i="17"/>
  <c r="L572" i="17"/>
  <c r="K588" i="17"/>
  <c r="K534" i="17"/>
  <c r="L557" i="17"/>
  <c r="L518" i="17"/>
  <c r="K487" i="17"/>
  <c r="K455" i="17"/>
  <c r="K423" i="17"/>
  <c r="K494" i="17"/>
  <c r="K462" i="17"/>
  <c r="K430" i="17"/>
  <c r="K398" i="17"/>
  <c r="K366" i="17"/>
  <c r="K332" i="17"/>
  <c r="L388" i="17"/>
  <c r="L92" i="17"/>
  <c r="L60" i="17"/>
  <c r="L28" i="17"/>
  <c r="L101" i="17"/>
  <c r="L85" i="17"/>
  <c r="L69" i="17"/>
  <c r="L53" i="17"/>
  <c r="L37" i="17"/>
  <c r="L21" i="17"/>
  <c r="K89" i="17"/>
  <c r="K57" i="17"/>
  <c r="K25" i="17"/>
  <c r="K113" i="17"/>
  <c r="L142" i="17"/>
  <c r="L174" i="17"/>
  <c r="L206" i="17"/>
  <c r="L238" i="17"/>
  <c r="L270" i="17"/>
  <c r="L302" i="17"/>
  <c r="L129" i="17"/>
  <c r="L161" i="17"/>
  <c r="K306" i="17"/>
  <c r="L511" i="17"/>
  <c r="K139" i="17"/>
  <c r="L603" i="17"/>
  <c r="K239" i="17"/>
  <c r="K460" i="17"/>
  <c r="K103" i="17"/>
  <c r="L307" i="17"/>
  <c r="K314" i="17"/>
  <c r="L591" i="17"/>
  <c r="K54" i="17"/>
  <c r="L172" i="17"/>
  <c r="L223" i="17"/>
  <c r="K179" i="17"/>
  <c r="K230" i="17"/>
  <c r="K500" i="17"/>
  <c r="L503" i="17"/>
  <c r="K583" i="17"/>
  <c r="K537" i="17"/>
  <c r="L450" i="17"/>
  <c r="L489" i="17"/>
  <c r="L425" i="17"/>
  <c r="L361" i="17"/>
  <c r="K609" i="17"/>
  <c r="L564" i="17"/>
  <c r="K526" i="17"/>
  <c r="K511" i="17"/>
  <c r="K447" i="17"/>
  <c r="K486" i="17"/>
  <c r="K422" i="17"/>
  <c r="K358" i="17"/>
  <c r="L626" i="17"/>
  <c r="L52" i="17"/>
  <c r="L97" i="17"/>
  <c r="L65" i="17"/>
  <c r="L33" i="17"/>
  <c r="K81" i="17"/>
  <c r="K17" i="17"/>
  <c r="L150" i="17"/>
  <c r="L214" i="17"/>
  <c r="L278" i="17"/>
  <c r="L137" i="17"/>
  <c r="L193" i="17"/>
  <c r="L225" i="17"/>
  <c r="L257" i="17"/>
  <c r="L289" i="17"/>
  <c r="K321" i="17"/>
  <c r="K353" i="17"/>
  <c r="K385" i="17"/>
  <c r="K326" i="17"/>
  <c r="K149" i="17"/>
  <c r="K181" i="17"/>
  <c r="K213" i="17"/>
  <c r="K245" i="17"/>
  <c r="K277" i="17"/>
  <c r="K309" i="17"/>
  <c r="K136" i="17"/>
  <c r="K168" i="17"/>
  <c r="K200" i="17"/>
  <c r="K232" i="17"/>
  <c r="K264" i="17"/>
  <c r="K296" i="17"/>
  <c r="L328" i="17"/>
  <c r="L360" i="17"/>
  <c r="L398" i="17"/>
  <c r="K376" i="17"/>
  <c r="K440" i="17"/>
  <c r="K504" i="17"/>
  <c r="K465" i="17"/>
  <c r="L528" i="17"/>
  <c r="K544" i="17"/>
  <c r="L582" i="17"/>
  <c r="L315" i="17"/>
  <c r="L379" i="17"/>
  <c r="L443" i="17"/>
  <c r="L507" i="17"/>
  <c r="L468" i="17"/>
  <c r="K531" i="17"/>
  <c r="K550" i="17"/>
  <c r="K585" i="17"/>
  <c r="L587" i="17"/>
  <c r="K533" i="17"/>
  <c r="L502" i="17"/>
  <c r="L470" i="17"/>
  <c r="L438" i="17"/>
  <c r="L168" i="17"/>
  <c r="L227" i="17"/>
  <c r="L132" i="17"/>
  <c r="K420" i="17"/>
  <c r="L456" i="17"/>
  <c r="L280" i="17"/>
  <c r="L74" i="17"/>
  <c r="L256" i="17"/>
  <c r="K263" i="17"/>
  <c r="L585" i="17"/>
  <c r="L30" i="17"/>
  <c r="K59" i="17"/>
  <c r="L300" i="17"/>
  <c r="K351" i="17"/>
  <c r="K307" i="17"/>
  <c r="L358" i="17"/>
  <c r="L578" i="17"/>
  <c r="K581" i="17"/>
  <c r="K546" i="17"/>
  <c r="L482" i="17"/>
  <c r="L418" i="17"/>
  <c r="L457" i="17"/>
  <c r="L393" i="17"/>
  <c r="L329" i="17"/>
  <c r="K596" i="17"/>
  <c r="K572" i="17"/>
  <c r="L542" i="17"/>
  <c r="K479" i="17"/>
  <c r="K518" i="17"/>
  <c r="K454" i="17"/>
  <c r="K390" i="17"/>
  <c r="K316" i="17"/>
  <c r="L84" i="17"/>
  <c r="L20" i="17"/>
  <c r="L81" i="17"/>
  <c r="L49" i="17"/>
  <c r="L15" i="17"/>
  <c r="K49" i="17"/>
  <c r="L118" i="17"/>
  <c r="L182" i="17"/>
  <c r="L246" i="17"/>
  <c r="L310" i="17"/>
  <c r="L169" i="17"/>
  <c r="L209" i="17"/>
  <c r="L241" i="17"/>
  <c r="L273" i="17"/>
  <c r="L305" i="17"/>
  <c r="K337" i="17"/>
  <c r="K369" i="17"/>
  <c r="K401" i="17"/>
  <c r="K133" i="17"/>
  <c r="K165" i="17"/>
  <c r="K197" i="17"/>
  <c r="K229" i="17"/>
  <c r="K261" i="17"/>
  <c r="K293" i="17"/>
  <c r="K120" i="17"/>
  <c r="K152" i="17"/>
  <c r="K184" i="17"/>
  <c r="K216" i="17"/>
  <c r="K248" i="17"/>
  <c r="K280" i="17"/>
  <c r="K312" i="17"/>
  <c r="L344" i="17"/>
  <c r="L376" i="17"/>
  <c r="K344" i="17"/>
  <c r="K408" i="17"/>
  <c r="K472" i="17"/>
  <c r="K433" i="17"/>
  <c r="K497" i="17"/>
  <c r="L577" i="17"/>
  <c r="L550" i="17"/>
  <c r="K595" i="17"/>
  <c r="L347" i="17"/>
  <c r="L411" i="17"/>
  <c r="L475" i="17"/>
  <c r="L436" i="17"/>
  <c r="L500" i="17"/>
  <c r="L583" i="17"/>
  <c r="K553" i="17"/>
  <c r="L598" i="17"/>
  <c r="L555" i="17"/>
  <c r="L519" i="17"/>
  <c r="L486" i="17"/>
  <c r="L454" i="17"/>
  <c r="L422" i="17"/>
  <c r="L493" i="17"/>
  <c r="K593" i="17"/>
  <c r="K566" i="17"/>
  <c r="K539" i="17"/>
  <c r="L476" i="17"/>
  <c r="L515" i="17"/>
  <c r="L451" i="17"/>
  <c r="L387" i="17"/>
  <c r="L323" i="17"/>
  <c r="L590" i="17"/>
  <c r="K560" i="17"/>
  <c r="L536" i="17"/>
  <c r="K473" i="17"/>
  <c r="K512" i="17"/>
  <c r="K448" i="17"/>
  <c r="K384" i="17"/>
  <c r="L406" i="17"/>
  <c r="L364" i="17"/>
  <c r="L332" i="17"/>
  <c r="K300" i="17"/>
  <c r="K268" i="17"/>
  <c r="K236" i="17"/>
  <c r="K204" i="17"/>
  <c r="K172" i="17"/>
  <c r="K140" i="17"/>
  <c r="K313" i="17"/>
  <c r="K281" i="17"/>
  <c r="K249" i="17"/>
  <c r="K217" i="17"/>
  <c r="K185" i="17"/>
  <c r="K153" i="17"/>
  <c r="K334" i="17"/>
  <c r="K389" i="17"/>
  <c r="K357" i="17"/>
  <c r="K325" i="17"/>
  <c r="L293" i="17"/>
  <c r="L261" i="17"/>
  <c r="L229" i="17"/>
  <c r="L197" i="17"/>
  <c r="L165" i="17"/>
  <c r="L133" i="17"/>
  <c r="L306" i="17"/>
  <c r="L274" i="17"/>
  <c r="L242" i="17"/>
  <c r="L210" i="17"/>
  <c r="L178" i="17"/>
  <c r="L146" i="17"/>
  <c r="K119" i="17"/>
  <c r="K21" i="17"/>
  <c r="K53" i="17"/>
  <c r="K85" i="17"/>
  <c r="L19" i="17"/>
  <c r="L35" i="17"/>
  <c r="L51" i="17"/>
  <c r="L67" i="17"/>
  <c r="L83" i="17"/>
  <c r="L99" i="17"/>
  <c r="L24" i="17"/>
  <c r="L56" i="17"/>
  <c r="L88" i="17"/>
  <c r="L623" i="17"/>
  <c r="K324" i="17"/>
  <c r="K362" i="17"/>
  <c r="K394" i="17"/>
  <c r="K426" i="17"/>
  <c r="K458" i="17"/>
  <c r="K490" i="17"/>
  <c r="K419" i="17"/>
  <c r="K451" i="17"/>
  <c r="K483" i="17"/>
  <c r="K515" i="17"/>
  <c r="L549" i="17"/>
  <c r="K530" i="17"/>
  <c r="K580" i="17"/>
  <c r="L568" i="17"/>
  <c r="K600" i="17"/>
  <c r="K613" i="17"/>
  <c r="L333" i="17"/>
  <c r="L365" i="17"/>
  <c r="L397" i="17"/>
  <c r="L429" i="17"/>
  <c r="L461" i="17"/>
  <c r="L501" i="17"/>
  <c r="L446" i="17"/>
  <c r="L510" i="17"/>
  <c r="A625" i="17"/>
  <c r="P625" i="17" s="1"/>
  <c r="L531" i="17"/>
  <c r="L452" i="17"/>
  <c r="L427" i="17"/>
  <c r="K611" i="17"/>
  <c r="K528" i="17"/>
  <c r="K449" i="17"/>
  <c r="K424" i="17"/>
  <c r="L384" i="17"/>
  <c r="L320" i="17"/>
  <c r="K256" i="17"/>
  <c r="K192" i="17"/>
  <c r="K128" i="17"/>
  <c r="K269" i="17"/>
  <c r="K205" i="17"/>
  <c r="K141" i="17"/>
  <c r="K377" i="17"/>
  <c r="L313" i="17"/>
  <c r="L249" i="17"/>
  <c r="L185" i="17"/>
  <c r="L262" i="17"/>
  <c r="L134" i="17"/>
  <c r="K97" i="17"/>
  <c r="L73" i="17"/>
  <c r="L68" i="17"/>
  <c r="K374" i="17"/>
  <c r="K502" i="17"/>
  <c r="L526" i="17"/>
  <c r="L580" i="17"/>
  <c r="L377" i="17"/>
  <c r="L505" i="17"/>
  <c r="L525" i="17"/>
  <c r="L375" i="17"/>
  <c r="K166" i="17"/>
  <c r="L159" i="17"/>
  <c r="K86" i="17"/>
  <c r="K186" i="17"/>
  <c r="K76" i="17"/>
  <c r="L98" i="17"/>
  <c r="L183" i="17"/>
  <c r="L13" i="17"/>
  <c r="L606" i="17"/>
  <c r="K561" i="17"/>
  <c r="L523" i="17"/>
  <c r="L508" i="17"/>
  <c r="L444" i="17"/>
  <c r="L483" i="17"/>
  <c r="L419" i="17"/>
  <c r="L355" i="17"/>
  <c r="K603" i="17"/>
  <c r="L558" i="17"/>
  <c r="L593" i="17"/>
  <c r="K505" i="17"/>
  <c r="K441" i="17"/>
  <c r="K480" i="17"/>
  <c r="K416" i="17"/>
  <c r="K352" i="17"/>
  <c r="L380" i="17"/>
  <c r="L348" i="17"/>
  <c r="L316" i="17"/>
  <c r="K284" i="17"/>
  <c r="K252" i="17"/>
  <c r="K220" i="17"/>
  <c r="K188" i="17"/>
  <c r="K156" i="17"/>
  <c r="K124" i="17"/>
  <c r="K297" i="17"/>
  <c r="K265" i="17"/>
  <c r="K233" i="17"/>
  <c r="K201" i="17"/>
  <c r="K169" i="17"/>
  <c r="K137" i="17"/>
  <c r="K405" i="17"/>
  <c r="K373" i="17"/>
  <c r="K341" i="17"/>
  <c r="L309" i="17"/>
  <c r="L277" i="17"/>
  <c r="L245" i="17"/>
  <c r="L213" i="17"/>
  <c r="L181" i="17"/>
  <c r="L149" i="17"/>
  <c r="L117" i="17"/>
  <c r="L290" i="17"/>
  <c r="L258" i="17"/>
  <c r="L226" i="17"/>
  <c r="L194" i="17"/>
  <c r="L162" i="17"/>
  <c r="L130" i="17"/>
  <c r="L110" i="17"/>
  <c r="K37" i="17"/>
  <c r="K69" i="17"/>
  <c r="K101" i="17"/>
  <c r="L27" i="17"/>
  <c r="L43" i="17"/>
  <c r="L59" i="17"/>
  <c r="L75" i="17"/>
  <c r="L91" i="17"/>
  <c r="L107" i="17"/>
  <c r="L40" i="17"/>
  <c r="L72" i="17"/>
  <c r="L104" i="17"/>
  <c r="L400" i="17"/>
  <c r="K346" i="17"/>
  <c r="K378" i="17"/>
  <c r="K410" i="17"/>
  <c r="K442" i="17"/>
  <c r="K474" i="17"/>
  <c r="K506" i="17"/>
  <c r="K435" i="17"/>
  <c r="K467" i="17"/>
  <c r="K499" i="17"/>
  <c r="L530" i="17"/>
  <c r="L581" i="17"/>
  <c r="K548" i="17"/>
  <c r="L552" i="17"/>
  <c r="L584" i="17"/>
  <c r="K597" i="17"/>
  <c r="L317" i="17"/>
  <c r="L349" i="17"/>
  <c r="L381" i="17"/>
  <c r="L413" i="17"/>
  <c r="L445" i="17"/>
  <c r="L477" i="17"/>
  <c r="L517" i="17"/>
  <c r="L478" i="17"/>
  <c r="K541" i="17"/>
  <c r="K569" i="17"/>
  <c r="L516" i="17"/>
  <c r="L491" i="17"/>
  <c r="L363" i="17"/>
  <c r="L566" i="17"/>
  <c r="K513" i="17"/>
  <c r="K488" i="17"/>
  <c r="K360" i="17"/>
  <c r="L352" i="17"/>
  <c r="K288" i="17"/>
  <c r="K224" i="17"/>
  <c r="K160" i="17"/>
  <c r="K301" i="17"/>
  <c r="K237" i="17"/>
  <c r="K173" i="17"/>
  <c r="L412" i="17"/>
  <c r="K345" i="17"/>
  <c r="L281" i="17"/>
  <c r="L217" i="17"/>
  <c r="L121" i="17"/>
  <c r="L198" i="17"/>
  <c r="K33" i="17"/>
  <c r="L41" i="17"/>
  <c r="L105" i="17"/>
  <c r="L396" i="17"/>
  <c r="K438" i="17"/>
  <c r="K463" i="17"/>
  <c r="K542" i="17"/>
  <c r="K415" i="17"/>
  <c r="L441" i="17"/>
  <c r="L466" i="17"/>
  <c r="L596" i="17"/>
  <c r="K372" i="17"/>
  <c r="K322" i="17"/>
  <c r="K111" i="17"/>
  <c r="L415" i="17"/>
  <c r="L179" i="17"/>
  <c r="K287" i="17"/>
  <c r="L423" i="17"/>
  <c r="K234" i="17"/>
  <c r="L498" i="17"/>
  <c r="K529" i="17"/>
  <c r="L579" i="17"/>
  <c r="L537" i="17"/>
  <c r="K594" i="17"/>
  <c r="K575" i="17"/>
  <c r="L607" i="17"/>
  <c r="L613" i="17"/>
  <c r="L575" i="17"/>
  <c r="L432" i="17"/>
  <c r="L407" i="17"/>
  <c r="K610" i="17"/>
  <c r="L569" i="17"/>
  <c r="K429" i="17"/>
  <c r="K404" i="17"/>
  <c r="L374" i="17"/>
  <c r="K310" i="17"/>
  <c r="K246" i="17"/>
  <c r="K182" i="17"/>
  <c r="K118" i="17"/>
  <c r="K259" i="17"/>
  <c r="K195" i="17"/>
  <c r="K131" i="17"/>
  <c r="K367" i="17"/>
  <c r="L303" i="17"/>
  <c r="L239" i="17"/>
  <c r="L175" i="17"/>
  <c r="L111" i="17"/>
  <c r="L252" i="17"/>
  <c r="L188" i="17"/>
  <c r="L124" i="17"/>
  <c r="K43" i="17"/>
  <c r="K107" i="17"/>
  <c r="K46" i="17"/>
  <c r="K78" i="17"/>
  <c r="L14" i="17"/>
  <c r="L78" i="17"/>
  <c r="K557" i="17"/>
  <c r="L479" i="17"/>
  <c r="L554" i="17"/>
  <c r="K476" i="17"/>
  <c r="L346" i="17"/>
  <c r="K218" i="17"/>
  <c r="K295" i="17"/>
  <c r="K167" i="17"/>
  <c r="K339" i="17"/>
  <c r="L211" i="17"/>
  <c r="L288" i="17"/>
  <c r="L160" i="17"/>
  <c r="K71" i="17"/>
  <c r="K60" i="17"/>
  <c r="L42" i="17"/>
  <c r="L488" i="17"/>
  <c r="K485" i="17"/>
  <c r="K210" i="17"/>
  <c r="L203" i="17"/>
  <c r="K64" i="17"/>
  <c r="K290" i="17"/>
  <c r="K24" i="17"/>
  <c r="L136" i="17"/>
  <c r="K31" i="17"/>
  <c r="K571" i="17"/>
  <c r="L448" i="17"/>
  <c r="K445" i="17"/>
  <c r="K254" i="17"/>
  <c r="K203" i="17"/>
  <c r="L247" i="17"/>
  <c r="L196" i="17"/>
  <c r="K42" i="17"/>
  <c r="K589" i="17"/>
  <c r="L362" i="17"/>
  <c r="K355" i="17"/>
  <c r="K55" i="17"/>
  <c r="L553" i="17"/>
  <c r="L248" i="17"/>
  <c r="K175" i="17"/>
  <c r="K453" i="17"/>
  <c r="L514" i="17"/>
  <c r="L547" i="17"/>
  <c r="L521" i="17"/>
  <c r="K562" i="17"/>
  <c r="K559" i="17"/>
  <c r="K591" i="17"/>
  <c r="L604" i="17"/>
  <c r="K549" i="17"/>
  <c r="L496" i="17"/>
  <c r="L471" i="17"/>
  <c r="L343" i="17"/>
  <c r="L546" i="17"/>
  <c r="K493" i="17"/>
  <c r="K468" i="17"/>
  <c r="K340" i="17"/>
  <c r="L342" i="17"/>
  <c r="K278" i="17"/>
  <c r="K214" i="17"/>
  <c r="K150" i="17"/>
  <c r="K291" i="17"/>
  <c r="K227" i="17"/>
  <c r="K163" i="17"/>
  <c r="K399" i="17"/>
  <c r="K335" i="17"/>
  <c r="L271" i="17"/>
  <c r="L207" i="17"/>
  <c r="L143" i="17"/>
  <c r="L284" i="17"/>
  <c r="L220" i="17"/>
  <c r="L156" i="17"/>
  <c r="K18" i="17"/>
  <c r="K75" i="17"/>
  <c r="K30" i="17"/>
  <c r="K62" i="17"/>
  <c r="K94" i="17"/>
  <c r="L46" i="17"/>
  <c r="L622" i="17"/>
  <c r="L504" i="17"/>
  <c r="L351" i="17"/>
  <c r="K501" i="17"/>
  <c r="K348" i="17"/>
  <c r="K282" i="17"/>
  <c r="K154" i="17"/>
  <c r="K231" i="17"/>
  <c r="K403" i="17"/>
  <c r="L275" i="17"/>
  <c r="L147" i="17"/>
  <c r="L224" i="17"/>
  <c r="K14" i="17"/>
  <c r="K28" i="17"/>
  <c r="K92" i="17"/>
  <c r="L106" i="17"/>
  <c r="L335" i="17"/>
  <c r="K328" i="17"/>
  <c r="K159" i="17"/>
  <c r="L152" i="17"/>
  <c r="K519" i="17"/>
  <c r="L283" i="17"/>
  <c r="K428" i="17"/>
  <c r="L251" i="17"/>
  <c r="K570" i="17"/>
  <c r="C635" i="17"/>
  <c r="K607" i="17"/>
  <c r="L382" i="17"/>
  <c r="K126" i="17"/>
  <c r="K375" i="17"/>
  <c r="L119" i="17"/>
  <c r="K35" i="17"/>
  <c r="K106" i="17"/>
  <c r="L586" i="17"/>
  <c r="K311" i="17"/>
  <c r="L304" i="17"/>
  <c r="L26" i="17"/>
  <c r="K255" i="17"/>
  <c r="L82" i="17"/>
  <c r="L535" i="17"/>
  <c r="J628" i="17"/>
  <c r="K274" i="17"/>
  <c r="K223" i="17"/>
  <c r="L267" i="17"/>
  <c r="L216" i="17"/>
  <c r="K32" i="17"/>
  <c r="K626" i="17"/>
  <c r="K364" i="17"/>
  <c r="L416" i="17"/>
  <c r="K117" i="17"/>
  <c r="L431" i="17"/>
  <c r="L187" i="17"/>
  <c r="K258" i="17"/>
  <c r="K104" i="17"/>
  <c r="K554" i="17"/>
  <c r="K555" i="17"/>
  <c r="L600" i="17"/>
  <c r="L512" i="17"/>
  <c r="L359" i="17"/>
  <c r="K509" i="17"/>
  <c r="K356" i="17"/>
  <c r="K286" i="17"/>
  <c r="K158" i="17"/>
  <c r="K235" i="17"/>
  <c r="L408" i="17"/>
  <c r="L279" i="17"/>
  <c r="L151" i="17"/>
  <c r="L228" i="17"/>
  <c r="L112" i="17"/>
  <c r="K26" i="17"/>
  <c r="K90" i="17"/>
  <c r="L102" i="17"/>
  <c r="L383" i="17"/>
  <c r="K380" i="17"/>
  <c r="K170" i="17"/>
  <c r="K330" i="17"/>
  <c r="L163" i="17"/>
  <c r="K115" i="17"/>
  <c r="K84" i="17"/>
  <c r="L399" i="17"/>
  <c r="K178" i="17"/>
  <c r="L171" i="17"/>
  <c r="K80" i="17"/>
  <c r="K226" i="17"/>
  <c r="K56" i="17"/>
  <c r="K95" i="17"/>
  <c r="K379" i="17"/>
  <c r="K146" i="17"/>
  <c r="K395" i="17"/>
  <c r="L139" i="17"/>
  <c r="K15" i="17"/>
  <c r="K96" i="17"/>
  <c r="L367" i="17"/>
  <c r="K162" i="17"/>
  <c r="L155" i="17"/>
  <c r="K88" i="17"/>
  <c r="K194" i="17"/>
  <c r="K72" i="17"/>
  <c r="K40" i="17"/>
  <c r="L533" i="17"/>
  <c r="K586" i="17"/>
  <c r="K587" i="17"/>
  <c r="K565" i="17"/>
  <c r="L487" i="17"/>
  <c r="L562" i="17"/>
  <c r="K484" i="17"/>
  <c r="L350" i="17"/>
  <c r="K222" i="17"/>
  <c r="K299" i="17"/>
  <c r="K171" i="17"/>
  <c r="K343" i="17"/>
  <c r="L215" i="17"/>
  <c r="L292" i="17"/>
  <c r="L164" i="17"/>
  <c r="K67" i="17"/>
  <c r="K58" i="17"/>
  <c r="L38" i="17"/>
  <c r="K535" i="17"/>
  <c r="L532" i="17"/>
  <c r="K298" i="17"/>
  <c r="K247" i="17"/>
  <c r="L291" i="17"/>
  <c r="L240" i="17"/>
  <c r="K20" i="17"/>
  <c r="L90" i="17"/>
  <c r="K396" i="17"/>
  <c r="K127" i="17"/>
  <c r="L120" i="17"/>
  <c r="L495" i="17"/>
  <c r="L219" i="17"/>
  <c r="L322" i="17"/>
  <c r="L200" i="17"/>
  <c r="J34" i="17"/>
  <c r="J351" i="17"/>
  <c r="J253" i="17"/>
  <c r="H627" i="17"/>
  <c r="O627" i="17"/>
  <c r="R627" i="17"/>
  <c r="Q627" i="17"/>
  <c r="P627" i="17"/>
  <c r="I381" i="17"/>
  <c r="J174" i="17"/>
  <c r="L628" i="17"/>
  <c r="I353" i="17"/>
  <c r="I51" i="17"/>
  <c r="J62" i="17"/>
  <c r="I561" i="17"/>
  <c r="I62" i="17"/>
  <c r="J623" i="17"/>
  <c r="J202" i="17"/>
  <c r="J109" i="17"/>
  <c r="J302" i="17"/>
  <c r="J435" i="17"/>
  <c r="J147" i="17"/>
  <c r="I40" i="17"/>
  <c r="J125" i="17"/>
  <c r="I79" i="17"/>
  <c r="J225" i="17"/>
  <c r="J519" i="17"/>
  <c r="I311" i="17"/>
  <c r="K579" i="17"/>
  <c r="L611" i="17"/>
  <c r="L597" i="17"/>
  <c r="K543" i="17"/>
  <c r="K520" i="17"/>
  <c r="L391" i="17"/>
  <c r="L594" i="17"/>
  <c r="L540" i="17"/>
  <c r="K516" i="17"/>
  <c r="K388" i="17"/>
  <c r="L366" i="17"/>
  <c r="K302" i="17"/>
  <c r="K238" i="17"/>
  <c r="K174" i="17"/>
  <c r="K110" i="17"/>
  <c r="K251" i="17"/>
  <c r="K187" i="17"/>
  <c r="K123" i="17"/>
  <c r="K359" i="17"/>
  <c r="L295" i="17"/>
  <c r="L231" i="17"/>
  <c r="L167" i="17"/>
  <c r="L308" i="17"/>
  <c r="L244" i="17"/>
  <c r="L180" i="17"/>
  <c r="L116" i="17"/>
  <c r="K51" i="17"/>
  <c r="L17" i="17"/>
  <c r="K50" i="17"/>
  <c r="K82" i="17"/>
  <c r="L22" i="17"/>
  <c r="L86" i="17"/>
  <c r="K558" i="17"/>
  <c r="L447" i="17"/>
  <c r="K552" i="17"/>
  <c r="K444" i="17"/>
  <c r="L330" i="17"/>
  <c r="K202" i="17"/>
  <c r="K279" i="17"/>
  <c r="K151" i="17"/>
  <c r="K323" i="17"/>
  <c r="L195" i="17"/>
  <c r="L272" i="17"/>
  <c r="L144" i="17"/>
  <c r="K87" i="17"/>
  <c r="K68" i="17"/>
  <c r="L58" i="17"/>
  <c r="L424" i="17"/>
  <c r="K421" i="17"/>
  <c r="K242" i="17"/>
  <c r="K191" i="17"/>
  <c r="L235" i="17"/>
  <c r="L184" i="17"/>
  <c r="K48" i="17"/>
  <c r="K573" i="17"/>
  <c r="L354" i="17"/>
  <c r="K347" i="17"/>
  <c r="K63" i="17"/>
  <c r="K532" i="17"/>
  <c r="L264" i="17"/>
  <c r="K207" i="17"/>
  <c r="L386" i="17"/>
  <c r="J73" i="17"/>
  <c r="J98" i="17"/>
  <c r="J266" i="17"/>
  <c r="I317" i="17"/>
  <c r="I76" i="17"/>
  <c r="J110" i="17"/>
  <c r="J161" i="17"/>
  <c r="I409" i="17"/>
  <c r="J479" i="17"/>
  <c r="I159" i="17"/>
  <c r="J275" i="17"/>
  <c r="K628" i="17"/>
  <c r="K563" i="17"/>
  <c r="L595" i="17"/>
  <c r="L608" i="17"/>
  <c r="K574" i="17"/>
  <c r="L480" i="17"/>
  <c r="L455" i="17"/>
  <c r="L327" i="17"/>
  <c r="K568" i="17"/>
  <c r="K477" i="17"/>
  <c r="K452" i="17"/>
  <c r="L414" i="17"/>
  <c r="L334" i="17"/>
  <c r="K270" i="17"/>
  <c r="K206" i="17"/>
  <c r="K142" i="17"/>
  <c r="K283" i="17"/>
  <c r="K219" i="17"/>
  <c r="K155" i="17"/>
  <c r="K391" i="17"/>
  <c r="K327" i="17"/>
  <c r="L263" i="17"/>
  <c r="L199" i="17"/>
  <c r="L135" i="17"/>
  <c r="L276" i="17"/>
  <c r="L212" i="17"/>
  <c r="L148" i="17"/>
  <c r="K19" i="17"/>
  <c r="K83" i="17"/>
  <c r="K34" i="17"/>
  <c r="K66" i="17"/>
  <c r="K98" i="17"/>
  <c r="L54" i="17"/>
  <c r="K623" i="17"/>
  <c r="L472" i="17"/>
  <c r="L319" i="17"/>
  <c r="K469" i="17"/>
  <c r="L402" i="17"/>
  <c r="K266" i="17"/>
  <c r="K138" i="17"/>
  <c r="K215" i="17"/>
  <c r="K387" i="17"/>
  <c r="L259" i="17"/>
  <c r="L131" i="17"/>
  <c r="L208" i="17"/>
  <c r="K23" i="17"/>
  <c r="K36" i="17"/>
  <c r="K100" i="17"/>
  <c r="L605" i="17"/>
  <c r="K602" i="17"/>
  <c r="L370" i="17"/>
  <c r="K114" i="17"/>
  <c r="K363" i="17"/>
  <c r="L312" i="17"/>
  <c r="K47" i="17"/>
  <c r="L18" i="17"/>
  <c r="L570" i="17"/>
  <c r="K303" i="17"/>
  <c r="L296" i="17"/>
  <c r="L34" i="17"/>
  <c r="K271" i="17"/>
  <c r="L66" i="17"/>
  <c r="AA625" i="17"/>
  <c r="I104" i="17"/>
  <c r="J138" i="17"/>
  <c r="J189" i="17"/>
  <c r="J45" i="17"/>
  <c r="I15" i="17"/>
  <c r="J238" i="17"/>
  <c r="J289" i="17"/>
  <c r="J391" i="17"/>
  <c r="J460" i="17"/>
  <c r="I29" i="17"/>
  <c r="I516" i="17"/>
  <c r="J508" i="17"/>
  <c r="I622" i="17"/>
  <c r="I111" i="17"/>
  <c r="J389" i="17"/>
  <c r="I172" i="17"/>
  <c r="I522" i="17"/>
  <c r="J75" i="17"/>
  <c r="J224" i="17"/>
  <c r="I541" i="17"/>
  <c r="J49" i="17"/>
  <c r="I16" i="17"/>
  <c r="I80" i="17"/>
  <c r="I75" i="17"/>
  <c r="I113" i="17"/>
  <c r="J58" i="17"/>
  <c r="J114" i="17"/>
  <c r="J178" i="17"/>
  <c r="J242" i="17"/>
  <c r="J306" i="17"/>
  <c r="J165" i="17"/>
  <c r="J229" i="17"/>
  <c r="J293" i="17"/>
  <c r="I357" i="17"/>
  <c r="J21" i="17"/>
  <c r="J85" i="17"/>
  <c r="I52" i="17"/>
  <c r="I103" i="17"/>
  <c r="I39" i="17"/>
  <c r="J86" i="17"/>
  <c r="J22" i="17"/>
  <c r="J150" i="17"/>
  <c r="J214" i="17"/>
  <c r="J278" i="17"/>
  <c r="J137" i="17"/>
  <c r="J201" i="17"/>
  <c r="J265" i="17"/>
  <c r="I329" i="17"/>
  <c r="I393" i="17"/>
  <c r="J335" i="17"/>
  <c r="J375" i="17"/>
  <c r="J419" i="17"/>
  <c r="J463" i="17"/>
  <c r="J503" i="17"/>
  <c r="J444" i="17"/>
  <c r="J488" i="17"/>
  <c r="I558" i="17"/>
  <c r="J589" i="17"/>
  <c r="J613" i="17"/>
  <c r="I247" i="17"/>
  <c r="J55" i="17"/>
  <c r="I22" i="17"/>
  <c r="I73" i="17"/>
  <c r="J56" i="17"/>
  <c r="J180" i="17"/>
  <c r="J308" i="17"/>
  <c r="J231" i="17"/>
  <c r="I403" i="17"/>
  <c r="J454" i="17"/>
  <c r="I179" i="17"/>
  <c r="I340" i="17"/>
  <c r="I611" i="17"/>
  <c r="J17" i="17"/>
  <c r="J81" i="17"/>
  <c r="I48" i="17"/>
  <c r="I107" i="17"/>
  <c r="I43" i="17"/>
  <c r="J90" i="17"/>
  <c r="J26" i="17"/>
  <c r="J146" i="17"/>
  <c r="J210" i="17"/>
  <c r="J274" i="17"/>
  <c r="J133" i="17"/>
  <c r="J197" i="17"/>
  <c r="J261" i="17"/>
  <c r="I325" i="17"/>
  <c r="I389" i="17"/>
  <c r="J53" i="17"/>
  <c r="I20" i="17"/>
  <c r="I84" i="17"/>
  <c r="I71" i="17"/>
  <c r="I121" i="17"/>
  <c r="J54" i="17"/>
  <c r="J118" i="17"/>
  <c r="J182" i="17"/>
  <c r="J246" i="17"/>
  <c r="J310" i="17"/>
  <c r="J169" i="17"/>
  <c r="J233" i="17"/>
  <c r="J297" i="17"/>
  <c r="I361" i="17"/>
  <c r="I413" i="17"/>
  <c r="J355" i="17"/>
  <c r="J399" i="17"/>
  <c r="J439" i="17"/>
  <c r="J483" i="17"/>
  <c r="J424" i="17"/>
  <c r="J464" i="17"/>
  <c r="I519" i="17"/>
  <c r="I534" i="17"/>
  <c r="I573" i="17"/>
  <c r="I183" i="17"/>
  <c r="J23" i="17"/>
  <c r="J87" i="17"/>
  <c r="I82" i="17"/>
  <c r="I117" i="17"/>
  <c r="J116" i="17"/>
  <c r="J244" i="17"/>
  <c r="J167" i="17"/>
  <c r="J295" i="17"/>
  <c r="J429" i="17"/>
  <c r="I532" i="17"/>
  <c r="I186" i="17"/>
  <c r="I493" i="17"/>
  <c r="I300" i="17"/>
  <c r="J41" i="17"/>
  <c r="J105" i="17"/>
  <c r="I72" i="17"/>
  <c r="I83" i="17"/>
  <c r="I19" i="17"/>
  <c r="J66" i="17"/>
  <c r="I131" i="17"/>
  <c r="J170" i="17"/>
  <c r="J234" i="17"/>
  <c r="J298" i="17"/>
  <c r="J157" i="17"/>
  <c r="J221" i="17"/>
  <c r="J285" i="17"/>
  <c r="I349" i="17"/>
  <c r="J13" i="17"/>
  <c r="J77" i="17"/>
  <c r="I44" i="17"/>
  <c r="I108" i="17"/>
  <c r="I47" i="17"/>
  <c r="J94" i="17"/>
  <c r="J30" i="17"/>
  <c r="J142" i="17"/>
  <c r="J206" i="17"/>
  <c r="J270" i="17"/>
  <c r="J129" i="17"/>
  <c r="J193" i="17"/>
  <c r="J257" i="17"/>
  <c r="I321" i="17"/>
  <c r="I385" i="17"/>
  <c r="J327" i="17"/>
  <c r="J371" i="17"/>
  <c r="J415" i="17"/>
  <c r="J455" i="17"/>
  <c r="J499" i="17"/>
  <c r="J440" i="17"/>
  <c r="J480" i="17"/>
  <c r="I539" i="17"/>
  <c r="J565" i="17"/>
  <c r="I593" i="17"/>
  <c r="I223" i="17"/>
  <c r="J43" i="17"/>
  <c r="J107" i="17"/>
  <c r="I93" i="17"/>
  <c r="J76" i="17"/>
  <c r="J160" i="17"/>
  <c r="J288" i="17"/>
  <c r="J211" i="17"/>
  <c r="I363" i="17"/>
  <c r="J517" i="17"/>
  <c r="J595" i="17"/>
  <c r="J362" i="17"/>
  <c r="I498" i="17"/>
  <c r="J344" i="17"/>
  <c r="I236" i="17"/>
  <c r="I156" i="17"/>
  <c r="I265" i="17"/>
  <c r="I185" i="17"/>
  <c r="J599" i="17"/>
  <c r="J578" i="17"/>
  <c r="J539" i="17"/>
  <c r="J524" i="17"/>
  <c r="I461" i="17"/>
  <c r="I500" i="17"/>
  <c r="I436" i="17"/>
  <c r="I372" i="17"/>
  <c r="J410" i="17"/>
  <c r="J346" i="17"/>
  <c r="I282" i="17"/>
  <c r="I218" i="17"/>
  <c r="I154" i="17"/>
  <c r="I303" i="17"/>
  <c r="I271" i="17"/>
  <c r="I211" i="17"/>
  <c r="I147" i="17"/>
  <c r="I587" i="17"/>
  <c r="I555" i="17"/>
  <c r="J553" i="17"/>
  <c r="I586" i="17"/>
  <c r="I533" i="17"/>
  <c r="J502" i="17"/>
  <c r="J470" i="17"/>
  <c r="J438" i="17"/>
  <c r="J509" i="17"/>
  <c r="J477" i="17"/>
  <c r="J445" i="17"/>
  <c r="J413" i="17"/>
  <c r="J381" i="17"/>
  <c r="J349" i="17"/>
  <c r="J317" i="17"/>
  <c r="I387" i="17"/>
  <c r="I355" i="17"/>
  <c r="I323" i="17"/>
  <c r="J303" i="17"/>
  <c r="J287" i="17"/>
  <c r="J271" i="17"/>
  <c r="J255" i="17"/>
  <c r="J239" i="17"/>
  <c r="J223" i="17"/>
  <c r="J207" i="17"/>
  <c r="J191" i="17"/>
  <c r="J175" i="17"/>
  <c r="J159" i="17"/>
  <c r="J143" i="17"/>
  <c r="J127" i="17"/>
  <c r="J111" i="17"/>
  <c r="J300" i="17"/>
  <c r="J284" i="17"/>
  <c r="J268" i="17"/>
  <c r="J252" i="17"/>
  <c r="J236" i="17"/>
  <c r="J220" i="17"/>
  <c r="J204" i="17"/>
  <c r="J188" i="17"/>
  <c r="J172" i="17"/>
  <c r="J156" i="17"/>
  <c r="J140" i="17"/>
  <c r="J124" i="17"/>
  <c r="I135" i="17"/>
  <c r="J16" i="17"/>
  <c r="J32" i="17"/>
  <c r="J48" i="17"/>
  <c r="J64" i="17"/>
  <c r="J80" i="17"/>
  <c r="J96" i="17"/>
  <c r="I133" i="17"/>
  <c r="I17" i="17"/>
  <c r="I33" i="17"/>
  <c r="I49" i="17"/>
  <c r="I65" i="17"/>
  <c r="I81" i="17"/>
  <c r="I97" i="17"/>
  <c r="I106" i="17"/>
  <c r="I90" i="17"/>
  <c r="I74" i="17"/>
  <c r="I58" i="17"/>
  <c r="I42" i="17"/>
  <c r="I26" i="17"/>
  <c r="I414" i="17"/>
  <c r="J324" i="17"/>
  <c r="I220" i="17"/>
  <c r="I124" i="17"/>
  <c r="I249" i="17"/>
  <c r="I169" i="17"/>
  <c r="J604" i="17"/>
  <c r="J562" i="17"/>
  <c r="J523" i="17"/>
  <c r="I509" i="17"/>
  <c r="I445" i="17"/>
  <c r="I484" i="17"/>
  <c r="I420" i="17"/>
  <c r="I356" i="17"/>
  <c r="J394" i="17"/>
  <c r="J330" i="17"/>
  <c r="I266" i="17"/>
  <c r="I202" i="17"/>
  <c r="I138" i="17"/>
  <c r="I295" i="17"/>
  <c r="I259" i="17"/>
  <c r="I195" i="17"/>
  <c r="I603" i="17"/>
  <c r="I579" i="17"/>
  <c r="I547" i="17"/>
  <c r="I540" i="17"/>
  <c r="I570" i="17"/>
  <c r="I525" i="17"/>
  <c r="J494" i="17"/>
  <c r="J462" i="17"/>
  <c r="J430" i="17"/>
  <c r="J501" i="17"/>
  <c r="J469" i="17"/>
  <c r="J437" i="17"/>
  <c r="J405" i="17"/>
  <c r="J373" i="17"/>
  <c r="J341" i="17"/>
  <c r="I411" i="17"/>
  <c r="I379" i="17"/>
  <c r="I347" i="17"/>
  <c r="I315" i="17"/>
  <c r="J299" i="17"/>
  <c r="J283" i="17"/>
  <c r="J267" i="17"/>
  <c r="J251" i="17"/>
  <c r="J235" i="17"/>
  <c r="J219" i="17"/>
  <c r="J203" i="17"/>
  <c r="J187" i="17"/>
  <c r="J171" i="17"/>
  <c r="J155" i="17"/>
  <c r="J139" i="17"/>
  <c r="J123" i="17"/>
  <c r="J312" i="17"/>
  <c r="J296" i="17"/>
  <c r="J280" i="17"/>
  <c r="J264" i="17"/>
  <c r="J248" i="17"/>
  <c r="J232" i="17"/>
  <c r="J216" i="17"/>
  <c r="J200" i="17"/>
  <c r="J184" i="17"/>
  <c r="J168" i="17"/>
  <c r="J152" i="17"/>
  <c r="J136" i="17"/>
  <c r="J120" i="17"/>
  <c r="I127" i="17"/>
  <c r="J20" i="17"/>
  <c r="J36" i="17"/>
  <c r="J52" i="17"/>
  <c r="J68" i="17"/>
  <c r="J84" i="17"/>
  <c r="J100" i="17"/>
  <c r="I125" i="17"/>
  <c r="I21" i="17"/>
  <c r="I37" i="17"/>
  <c r="I53" i="17"/>
  <c r="I69" i="17"/>
  <c r="I85" i="17"/>
  <c r="I101" i="17"/>
  <c r="I102" i="17"/>
  <c r="I86" i="17"/>
  <c r="I70" i="17"/>
  <c r="I54" i="17"/>
  <c r="I38" i="17"/>
  <c r="I260" i="17"/>
  <c r="I297" i="17"/>
  <c r="AA624" i="17"/>
  <c r="J567" i="17"/>
  <c r="I477" i="17"/>
  <c r="I452" i="17"/>
  <c r="I324" i="17"/>
  <c r="I298" i="17"/>
  <c r="I170" i="17"/>
  <c r="I279" i="17"/>
  <c r="I163" i="17"/>
  <c r="I563" i="17"/>
  <c r="I524" i="17"/>
  <c r="J510" i="17"/>
  <c r="J446" i="17"/>
  <c r="J485" i="17"/>
  <c r="J421" i="17"/>
  <c r="J357" i="17"/>
  <c r="I395" i="17"/>
  <c r="I331" i="17"/>
  <c r="J291" i="17"/>
  <c r="J259" i="17"/>
  <c r="J227" i="17"/>
  <c r="J195" i="17"/>
  <c r="J163" i="17"/>
  <c r="J131" i="17"/>
  <c r="J304" i="17"/>
  <c r="J272" i="17"/>
  <c r="J240" i="17"/>
  <c r="J208" i="17"/>
  <c r="J176" i="17"/>
  <c r="J144" i="17"/>
  <c r="J112" i="17"/>
  <c r="J28" i="17"/>
  <c r="J60" i="17"/>
  <c r="J92" i="17"/>
  <c r="I13" i="17"/>
  <c r="I45" i="17"/>
  <c r="I77" i="17"/>
  <c r="I109" i="17"/>
  <c r="I78" i="17"/>
  <c r="I46" i="17"/>
  <c r="I18" i="17"/>
  <c r="J99" i="17"/>
  <c r="J83" i="17"/>
  <c r="J67" i="17"/>
  <c r="J51" i="17"/>
  <c r="J35" i="17"/>
  <c r="J19" i="17"/>
  <c r="I623" i="17"/>
  <c r="I239" i="17"/>
  <c r="I207" i="17"/>
  <c r="I175" i="17"/>
  <c r="I143" i="17"/>
  <c r="J605" i="17"/>
  <c r="I585" i="17"/>
  <c r="I569" i="17"/>
  <c r="I553" i="17"/>
  <c r="J581" i="17"/>
  <c r="J549" i="17"/>
  <c r="I530" i="17"/>
  <c r="I582" i="17"/>
  <c r="I550" i="17"/>
  <c r="I531" i="17"/>
  <c r="J516" i="17"/>
  <c r="J500" i="17"/>
  <c r="J484" i="17"/>
  <c r="J468" i="17"/>
  <c r="J452" i="17"/>
  <c r="J436" i="17"/>
  <c r="J420" i="17"/>
  <c r="J507" i="17"/>
  <c r="J491" i="17"/>
  <c r="J475" i="17"/>
  <c r="J459" i="17"/>
  <c r="J443" i="17"/>
  <c r="J427" i="17"/>
  <c r="J411" i="17"/>
  <c r="J395" i="17"/>
  <c r="J379" i="17"/>
  <c r="J363" i="17"/>
  <c r="J347" i="17"/>
  <c r="J331" i="17"/>
  <c r="J315" i="17"/>
  <c r="I401" i="17"/>
  <c r="I366" i="17"/>
  <c r="I188" i="17"/>
  <c r="I233" i="17"/>
  <c r="I610" i="17"/>
  <c r="I568" i="17"/>
  <c r="I429" i="17"/>
  <c r="I404" i="17"/>
  <c r="J378" i="17"/>
  <c r="I250" i="17"/>
  <c r="I122" i="17"/>
  <c r="I243" i="17"/>
  <c r="J609" i="17"/>
  <c r="J585" i="17"/>
  <c r="I554" i="17"/>
  <c r="J486" i="17"/>
  <c r="J422" i="17"/>
  <c r="J461" i="17"/>
  <c r="J397" i="17"/>
  <c r="J333" i="17"/>
  <c r="I371" i="17"/>
  <c r="J311" i="17"/>
  <c r="J279" i="17"/>
  <c r="J247" i="17"/>
  <c r="J215" i="17"/>
  <c r="J183" i="17"/>
  <c r="J151" i="17"/>
  <c r="J119" i="17"/>
  <c r="J292" i="17"/>
  <c r="J260" i="17"/>
  <c r="J228" i="17"/>
  <c r="J196" i="17"/>
  <c r="J164" i="17"/>
  <c r="J132" i="17"/>
  <c r="I119" i="17"/>
  <c r="J40" i="17"/>
  <c r="J72" i="17"/>
  <c r="J104" i="17"/>
  <c r="I25" i="17"/>
  <c r="I57" i="17"/>
  <c r="I89" i="17"/>
  <c r="I98" i="17"/>
  <c r="I66" i="17"/>
  <c r="I34" i="17"/>
  <c r="I14" i="17"/>
  <c r="J95" i="17"/>
  <c r="J79" i="17"/>
  <c r="J63" i="17"/>
  <c r="J47" i="17"/>
  <c r="J31" i="17"/>
  <c r="J15" i="17"/>
  <c r="I263" i="17"/>
  <c r="I231" i="17"/>
  <c r="I199" i="17"/>
  <c r="I167" i="17"/>
  <c r="I607" i="17"/>
  <c r="J597" i="17"/>
  <c r="I581" i="17"/>
  <c r="I565" i="17"/>
  <c r="I549" i="17"/>
  <c r="J573" i="17"/>
  <c r="I542" i="17"/>
  <c r="I526" i="17"/>
  <c r="I574" i="17"/>
  <c r="I543" i="17"/>
  <c r="I527" i="17"/>
  <c r="J512" i="17"/>
  <c r="J496" i="17"/>
  <c r="J25" i="17"/>
  <c r="J57" i="17"/>
  <c r="J89" i="17"/>
  <c r="I24" i="17"/>
  <c r="I56" i="17"/>
  <c r="I88" i="17"/>
  <c r="I99" i="17"/>
  <c r="I67" i="17"/>
  <c r="I35" i="17"/>
  <c r="I129" i="17"/>
  <c r="J82" i="17"/>
  <c r="J50" i="17"/>
  <c r="J18" i="17"/>
  <c r="J122" i="17"/>
  <c r="J154" i="17"/>
  <c r="J186" i="17"/>
  <c r="J218" i="17"/>
  <c r="J250" i="17"/>
  <c r="J282" i="17"/>
  <c r="J314" i="17"/>
  <c r="J141" i="17"/>
  <c r="J173" i="17"/>
  <c r="J205" i="17"/>
  <c r="J237" i="17"/>
  <c r="J269" i="17"/>
  <c r="J301" i="17"/>
  <c r="I333" i="17"/>
  <c r="I365" i="17"/>
  <c r="J622" i="17"/>
  <c r="J29" i="17"/>
  <c r="J61" i="17"/>
  <c r="J93" i="17"/>
  <c r="I28" i="17"/>
  <c r="I60" i="17"/>
  <c r="I92" i="17"/>
  <c r="I95" i="17"/>
  <c r="I63" i="17"/>
  <c r="I31" i="17"/>
  <c r="I137" i="17"/>
  <c r="J78" i="17"/>
  <c r="J46" i="17"/>
  <c r="J14" i="17"/>
  <c r="J126" i="17"/>
  <c r="J158" i="17"/>
  <c r="J190" i="17"/>
  <c r="J222" i="17"/>
  <c r="J254" i="17"/>
  <c r="J286" i="17"/>
  <c r="J113" i="17"/>
  <c r="J145" i="17"/>
  <c r="J177" i="17"/>
  <c r="J209" i="17"/>
  <c r="J241" i="17"/>
  <c r="J273" i="17"/>
  <c r="J305" i="17"/>
  <c r="I337" i="17"/>
  <c r="I369" i="17"/>
  <c r="I397" i="17"/>
  <c r="J319" i="17"/>
  <c r="J339" i="17"/>
  <c r="J359" i="17"/>
  <c r="J383" i="17"/>
  <c r="J403" i="17"/>
  <c r="J423" i="17"/>
  <c r="J447" i="17"/>
  <c r="J467" i="17"/>
  <c r="J487" i="17"/>
  <c r="J511" i="17"/>
  <c r="J428" i="17"/>
  <c r="J448" i="17"/>
  <c r="J472" i="17"/>
  <c r="J492" i="17"/>
  <c r="I523" i="17"/>
  <c r="I566" i="17"/>
  <c r="I538" i="17"/>
  <c r="I545" i="17"/>
  <c r="I577" i="17"/>
  <c r="I599" i="17"/>
  <c r="I191" i="17"/>
  <c r="I255" i="17"/>
  <c r="J27" i="17"/>
  <c r="J59" i="17"/>
  <c r="J91" i="17"/>
  <c r="I30" i="17"/>
  <c r="I94" i="17"/>
  <c r="I61" i="17"/>
  <c r="J108" i="17"/>
  <c r="J44" i="17"/>
  <c r="J128" i="17"/>
  <c r="J192" i="17"/>
  <c r="J256" i="17"/>
  <c r="J115" i="17"/>
  <c r="J179" i="17"/>
  <c r="J243" i="17"/>
  <c r="J307" i="17"/>
  <c r="J325" i="17"/>
  <c r="J453" i="17"/>
  <c r="J478" i="17"/>
  <c r="J569" i="17"/>
  <c r="I227" i="17"/>
  <c r="I234" i="17"/>
  <c r="I388" i="17"/>
  <c r="J540" i="17"/>
  <c r="I201" i="17"/>
  <c r="I322" i="17"/>
  <c r="J33" i="17"/>
  <c r="J65" i="17"/>
  <c r="J97" i="17"/>
  <c r="I32" i="17"/>
  <c r="I64" i="17"/>
  <c r="I96" i="17"/>
  <c r="I91" i="17"/>
  <c r="I59" i="17"/>
  <c r="I27" i="17"/>
  <c r="J106" i="17"/>
  <c r="J74" i="17"/>
  <c r="J42" i="17"/>
  <c r="I115" i="17"/>
  <c r="J130" i="17"/>
  <c r="J162" i="17"/>
  <c r="J194" i="17"/>
  <c r="J226" i="17"/>
  <c r="J258" i="17"/>
  <c r="J290" i="17"/>
  <c r="J117" i="17"/>
  <c r="J149" i="17"/>
  <c r="J181" i="17"/>
  <c r="J213" i="17"/>
  <c r="J245" i="17"/>
  <c r="J277" i="17"/>
  <c r="J309" i="17"/>
  <c r="I341" i="17"/>
  <c r="I373" i="17"/>
  <c r="I626" i="17"/>
  <c r="J37" i="17"/>
  <c r="J69" i="17"/>
  <c r="J101" i="17"/>
  <c r="I36" i="17"/>
  <c r="I68" i="17"/>
  <c r="I100" i="17"/>
  <c r="I87" i="17"/>
  <c r="I55" i="17"/>
  <c r="I23" i="17"/>
  <c r="J102" i="17"/>
  <c r="J70" i="17"/>
  <c r="J38" i="17"/>
  <c r="I123" i="17"/>
  <c r="J134" i="17"/>
  <c r="J166" i="17"/>
  <c r="J198" i="17"/>
  <c r="J230" i="17"/>
  <c r="J262" i="17"/>
  <c r="J294" i="17"/>
  <c r="J121" i="17"/>
  <c r="J153" i="17"/>
  <c r="J185" i="17"/>
  <c r="J217" i="17"/>
  <c r="J249" i="17"/>
  <c r="J281" i="17"/>
  <c r="J313" i="17"/>
  <c r="I345" i="17"/>
  <c r="I377" i="17"/>
  <c r="I405" i="17"/>
  <c r="J323" i="17"/>
  <c r="J343" i="17"/>
  <c r="J367" i="17"/>
  <c r="J387" i="17"/>
  <c r="J407" i="17"/>
  <c r="J431" i="17"/>
  <c r="J451" i="17"/>
  <c r="J471" i="17"/>
  <c r="J495" i="17"/>
  <c r="J515" i="17"/>
  <c r="J432" i="17"/>
  <c r="J456" i="17"/>
  <c r="J476" i="17"/>
  <c r="J504" i="17"/>
  <c r="I535" i="17"/>
  <c r="I590" i="17"/>
  <c r="J557" i="17"/>
  <c r="I557" i="17"/>
  <c r="I589" i="17"/>
  <c r="I151" i="17"/>
  <c r="I215" i="17"/>
  <c r="J626" i="17"/>
  <c r="J39" i="17"/>
  <c r="J71" i="17"/>
  <c r="J103" i="17"/>
  <c r="I50" i="17"/>
  <c r="I105" i="17"/>
  <c r="I41" i="17"/>
  <c r="J88" i="17"/>
  <c r="J24" i="17"/>
  <c r="J148" i="17"/>
  <c r="J212" i="17"/>
  <c r="J276" i="17"/>
  <c r="J135" i="17"/>
  <c r="J199" i="17"/>
  <c r="J263" i="17"/>
  <c r="I339" i="17"/>
  <c r="J365" i="17"/>
  <c r="J493" i="17"/>
  <c r="J518" i="17"/>
  <c r="I571" i="17"/>
  <c r="I287" i="17"/>
  <c r="I314" i="17"/>
  <c r="I468" i="17"/>
  <c r="J546" i="17"/>
  <c r="I313" i="17"/>
  <c r="I153" i="17"/>
  <c r="I217" i="17"/>
  <c r="I281" i="17"/>
  <c r="I140" i="17"/>
  <c r="I204" i="17"/>
  <c r="I280" i="17"/>
  <c r="J380" i="17"/>
  <c r="J555" i="17"/>
  <c r="I446" i="17"/>
  <c r="I342" i="17"/>
  <c r="J360" i="17"/>
  <c r="I312" i="17"/>
  <c r="I268" i="17"/>
  <c r="I228" i="17"/>
  <c r="I196" i="17"/>
  <c r="I164" i="17"/>
  <c r="I132" i="17"/>
  <c r="I305" i="17"/>
  <c r="I273" i="17"/>
  <c r="I241" i="17"/>
  <c r="I209" i="17"/>
  <c r="I177" i="17"/>
  <c r="I145" i="17"/>
  <c r="J607" i="17"/>
  <c r="J596" i="17"/>
  <c r="J586" i="17"/>
  <c r="J554" i="17"/>
  <c r="J551" i="17"/>
  <c r="I584" i="17"/>
  <c r="J532" i="17"/>
  <c r="I501" i="17"/>
  <c r="I469" i="17"/>
  <c r="I437" i="17"/>
  <c r="I508" i="17"/>
  <c r="I476" i="17"/>
  <c r="I444" i="17"/>
  <c r="I412" i="17"/>
  <c r="I380" i="17"/>
  <c r="I348" i="17"/>
  <c r="I316" i="17"/>
  <c r="J386" i="17"/>
  <c r="J354" i="17"/>
  <c r="J322" i="17"/>
  <c r="I290" i="17"/>
  <c r="I258" i="17"/>
  <c r="I226" i="17"/>
  <c r="I194" i="17"/>
  <c r="I162" i="17"/>
  <c r="I130" i="17"/>
  <c r="I307" i="17"/>
  <c r="I291" i="17"/>
  <c r="I275" i="17"/>
  <c r="I251" i="17"/>
  <c r="I219" i="17"/>
  <c r="I187" i="17"/>
  <c r="I155" i="17"/>
  <c r="I595" i="17"/>
  <c r="I591" i="17"/>
  <c r="I575" i="17"/>
  <c r="I559" i="17"/>
  <c r="J593" i="17"/>
  <c r="J561" i="17"/>
  <c r="I536" i="17"/>
  <c r="I594" i="17"/>
  <c r="I562" i="17"/>
  <c r="I537" i="17"/>
  <c r="I521" i="17"/>
  <c r="J506" i="17"/>
  <c r="J490" i="17"/>
  <c r="J474" i="17"/>
  <c r="J458" i="17"/>
  <c r="J442" i="17"/>
  <c r="J426" i="17"/>
  <c r="J513" i="17"/>
  <c r="J497" i="17"/>
  <c r="J481" i="17"/>
  <c r="J465" i="17"/>
  <c r="J449" i="17"/>
  <c r="J433" i="17"/>
  <c r="J417" i="17"/>
  <c r="J401" i="17"/>
  <c r="J385" i="17"/>
  <c r="J369" i="17"/>
  <c r="J353" i="17"/>
  <c r="J337" i="17"/>
  <c r="J321" i="17"/>
  <c r="I407" i="17"/>
  <c r="I391" i="17"/>
  <c r="I375" i="17"/>
  <c r="I359" i="17"/>
  <c r="I343" i="17"/>
  <c r="I327" i="17"/>
  <c r="I491" i="17"/>
  <c r="I386" i="17"/>
  <c r="J404" i="17"/>
  <c r="J332" i="17"/>
  <c r="I292" i="17"/>
  <c r="I248" i="17"/>
  <c r="I212" i="17"/>
  <c r="I180" i="17"/>
  <c r="I148" i="17"/>
  <c r="I116" i="17"/>
  <c r="I289" i="17"/>
  <c r="I257" i="17"/>
  <c r="I225" i="17"/>
  <c r="I193" i="17"/>
  <c r="I161" i="17"/>
  <c r="I601" i="17"/>
  <c r="J608" i="17"/>
  <c r="I602" i="17"/>
  <c r="J570" i="17"/>
  <c r="J583" i="17"/>
  <c r="J531" i="17"/>
  <c r="I552" i="17"/>
  <c r="I517" i="17"/>
  <c r="I485" i="17"/>
  <c r="I453" i="17"/>
  <c r="I421" i="17"/>
  <c r="I492" i="17"/>
  <c r="I460" i="17"/>
  <c r="I428" i="17"/>
  <c r="I396" i="17"/>
  <c r="I364" i="17"/>
  <c r="I332" i="17"/>
  <c r="J402" i="17"/>
  <c r="J370" i="17"/>
  <c r="J338" i="17"/>
  <c r="I306" i="17"/>
  <c r="I274" i="17"/>
  <c r="I242" i="17"/>
  <c r="I210" i="17"/>
  <c r="I178" i="17"/>
  <c r="I146" i="17"/>
  <c r="I114" i="17"/>
  <c r="I299" i="17"/>
  <c r="I283" i="17"/>
  <c r="I267" i="17"/>
  <c r="I235" i="17"/>
  <c r="I203" i="17"/>
  <c r="I171" i="17"/>
  <c r="I139" i="17"/>
  <c r="J601" i="17"/>
  <c r="I583" i="17"/>
  <c r="I567" i="17"/>
  <c r="I551" i="17"/>
  <c r="J577" i="17"/>
  <c r="J545" i="17"/>
  <c r="I528" i="17"/>
  <c r="I578" i="17"/>
  <c r="I546" i="17"/>
  <c r="I529" i="17"/>
  <c r="J514" i="17"/>
  <c r="J498" i="17"/>
  <c r="J482" i="17"/>
  <c r="J466" i="17"/>
  <c r="J450" i="17"/>
  <c r="J434" i="17"/>
  <c r="J418" i="17"/>
  <c r="J505" i="17"/>
  <c r="J489" i="17"/>
  <c r="J473" i="17"/>
  <c r="J457" i="17"/>
  <c r="J441" i="17"/>
  <c r="J425" i="17"/>
  <c r="J409" i="17"/>
  <c r="J393" i="17"/>
  <c r="J377" i="17"/>
  <c r="J361" i="17"/>
  <c r="J345" i="17"/>
  <c r="J329" i="17"/>
  <c r="I415" i="17"/>
  <c r="I399" i="17"/>
  <c r="I383" i="17"/>
  <c r="I367" i="17"/>
  <c r="I351" i="17"/>
  <c r="I335" i="17"/>
  <c r="I319" i="17"/>
  <c r="J542" i="17"/>
  <c r="I628" i="17"/>
  <c r="J592" i="17"/>
  <c r="I588" i="17"/>
  <c r="I471" i="17"/>
  <c r="I470" i="17"/>
  <c r="I398" i="17"/>
  <c r="I354" i="17"/>
  <c r="J412" i="17"/>
  <c r="J372" i="17"/>
  <c r="J340" i="17"/>
  <c r="J316" i="17"/>
  <c r="I296" i="17"/>
  <c r="I276" i="17"/>
  <c r="I252" i="17"/>
  <c r="I232" i="17"/>
  <c r="I216" i="17"/>
  <c r="I200" i="17"/>
  <c r="I184" i="17"/>
  <c r="I168" i="17"/>
  <c r="I152" i="17"/>
  <c r="I136" i="17"/>
  <c r="I120" i="17"/>
  <c r="I309" i="17"/>
  <c r="I293" i="17"/>
  <c r="I277" i="17"/>
  <c r="I261" i="17"/>
  <c r="I245" i="17"/>
  <c r="I229" i="17"/>
  <c r="I213" i="17"/>
  <c r="I197" i="17"/>
  <c r="I181" i="17"/>
  <c r="I165" i="17"/>
  <c r="I149" i="17"/>
  <c r="I605" i="17"/>
  <c r="J611" i="17"/>
  <c r="J612" i="17"/>
  <c r="J600" i="17"/>
  <c r="I606" i="17"/>
  <c r="J590" i="17"/>
  <c r="J574" i="17"/>
  <c r="J558" i="17"/>
  <c r="J591" i="17"/>
  <c r="J559" i="17"/>
  <c r="J535" i="17"/>
  <c r="I592" i="17"/>
  <c r="I560" i="17"/>
  <c r="J536" i="17"/>
  <c r="J520" i="17"/>
  <c r="I505" i="17"/>
  <c r="I489" i="17"/>
  <c r="I473" i="17"/>
  <c r="I457" i="17"/>
  <c r="I441" i="17"/>
  <c r="I425" i="17"/>
  <c r="I512" i="17"/>
  <c r="I496" i="17"/>
  <c r="I480" i="17"/>
  <c r="I464" i="17"/>
  <c r="I448" i="17"/>
  <c r="I432" i="17"/>
  <c r="I416" i="17"/>
  <c r="I400" i="17"/>
  <c r="I384" i="17"/>
  <c r="I368" i="17"/>
  <c r="I352" i="17"/>
  <c r="I336" i="17"/>
  <c r="I320" i="17"/>
  <c r="J406" i="17"/>
  <c r="J390" i="17"/>
  <c r="J374" i="17"/>
  <c r="J358" i="17"/>
  <c r="J342" i="17"/>
  <c r="J326" i="17"/>
  <c r="I310" i="17"/>
  <c r="I294" i="17"/>
  <c r="I278" i="17"/>
  <c r="I262" i="17"/>
  <c r="I246" i="17"/>
  <c r="I230" i="17"/>
  <c r="I214" i="17"/>
  <c r="I198" i="17"/>
  <c r="I182" i="17"/>
  <c r="I166" i="17"/>
  <c r="I150" i="17"/>
  <c r="I134" i="17"/>
  <c r="I118" i="17"/>
  <c r="J548" i="17"/>
  <c r="I520" i="17"/>
  <c r="I514" i="17"/>
  <c r="I430" i="17"/>
  <c r="I374" i="17"/>
  <c r="I334" i="17"/>
  <c r="J392" i="17"/>
  <c r="J348" i="17"/>
  <c r="J328" i="17"/>
  <c r="I308" i="17"/>
  <c r="I284" i="17"/>
  <c r="I264" i="17"/>
  <c r="I244" i="17"/>
  <c r="I224" i="17"/>
  <c r="I208" i="17"/>
  <c r="I192" i="17"/>
  <c r="I176" i="17"/>
  <c r="I160" i="17"/>
  <c r="I144" i="17"/>
  <c r="I128" i="17"/>
  <c r="I112" i="17"/>
  <c r="I301" i="17"/>
  <c r="I285" i="17"/>
  <c r="I269" i="17"/>
  <c r="I253" i="17"/>
  <c r="I237" i="17"/>
  <c r="I221" i="17"/>
  <c r="I205" i="17"/>
  <c r="I189" i="17"/>
  <c r="I173" i="17"/>
  <c r="I157" i="17"/>
  <c r="I141" i="17"/>
  <c r="I597" i="17"/>
  <c r="J603" i="17"/>
  <c r="I609" i="17"/>
  <c r="A624" i="17"/>
  <c r="I598" i="17"/>
  <c r="J582" i="17"/>
  <c r="J566" i="17"/>
  <c r="J550" i="17"/>
  <c r="J575" i="17"/>
  <c r="J543" i="17"/>
  <c r="J527" i="17"/>
  <c r="I576" i="17"/>
  <c r="I544" i="17"/>
  <c r="J528" i="17"/>
  <c r="I513" i="17"/>
  <c r="I497" i="17"/>
  <c r="I481" i="17"/>
  <c r="I465" i="17"/>
  <c r="I449" i="17"/>
  <c r="I433" i="17"/>
  <c r="I417" i="17"/>
  <c r="I504" i="17"/>
  <c r="I488" i="17"/>
  <c r="I472" i="17"/>
  <c r="I456" i="17"/>
  <c r="I440" i="17"/>
  <c r="I424" i="17"/>
  <c r="I408" i="17"/>
  <c r="I392" i="17"/>
  <c r="I376" i="17"/>
  <c r="I360" i="17"/>
  <c r="I344" i="17"/>
  <c r="I328" i="17"/>
  <c r="J414" i="17"/>
  <c r="J398" i="17"/>
  <c r="J382" i="17"/>
  <c r="J366" i="17"/>
  <c r="J350" i="17"/>
  <c r="J334" i="17"/>
  <c r="J318" i="17"/>
  <c r="I302" i="17"/>
  <c r="I286" i="17"/>
  <c r="I270" i="17"/>
  <c r="I254" i="17"/>
  <c r="I238" i="17"/>
  <c r="I222" i="17"/>
  <c r="I206" i="17"/>
  <c r="I190" i="17"/>
  <c r="I174" i="17"/>
  <c r="I158" i="17"/>
  <c r="I142" i="17"/>
  <c r="I126" i="17"/>
  <c r="I110" i="17"/>
  <c r="I439" i="17"/>
  <c r="J564" i="17"/>
  <c r="J364" i="17"/>
  <c r="J388" i="17"/>
  <c r="J408" i="17"/>
  <c r="I326" i="17"/>
  <c r="I350" i="17"/>
  <c r="I370" i="17"/>
  <c r="I390" i="17"/>
  <c r="I418" i="17"/>
  <c r="I454" i="17"/>
  <c r="I510" i="17"/>
  <c r="I455" i="17"/>
  <c r="I511" i="17"/>
  <c r="I564" i="17"/>
  <c r="J563" i="17"/>
  <c r="J588" i="17"/>
  <c r="J356" i="17"/>
  <c r="J376" i="17"/>
  <c r="J396" i="17"/>
  <c r="I318" i="17"/>
  <c r="I338" i="17"/>
  <c r="I358" i="17"/>
  <c r="I382" i="17"/>
  <c r="I406" i="17"/>
  <c r="I434" i="17"/>
  <c r="I478" i="17"/>
  <c r="I431" i="17"/>
  <c r="I479" i="17"/>
  <c r="J522" i="17"/>
  <c r="J533" i="17"/>
  <c r="J556" i="17"/>
  <c r="I612" i="17"/>
  <c r="I402" i="17"/>
  <c r="I422" i="17"/>
  <c r="I450" i="17"/>
  <c r="I486" i="17"/>
  <c r="I427" i="17"/>
  <c r="I459" i="17"/>
  <c r="I495" i="17"/>
  <c r="J538" i="17"/>
  <c r="J525" i="17"/>
  <c r="J571" i="17"/>
  <c r="J576" i="17"/>
  <c r="J598" i="17"/>
  <c r="I466" i="17"/>
  <c r="I494" i="17"/>
  <c r="I518" i="17"/>
  <c r="I447" i="17"/>
  <c r="I475" i="17"/>
  <c r="I503" i="17"/>
  <c r="J534" i="17"/>
  <c r="I572" i="17"/>
  <c r="J537" i="17"/>
  <c r="J544" i="17"/>
  <c r="J572" i="17"/>
  <c r="I596" i="17"/>
  <c r="I608" i="17"/>
  <c r="I438" i="17"/>
  <c r="I462" i="17"/>
  <c r="I482" i="17"/>
  <c r="I502" i="17"/>
  <c r="I423" i="17"/>
  <c r="I443" i="17"/>
  <c r="I463" i="17"/>
  <c r="I487" i="17"/>
  <c r="I507" i="17"/>
  <c r="J526" i="17"/>
  <c r="I556" i="17"/>
  <c r="J521" i="17"/>
  <c r="J541" i="17"/>
  <c r="J587" i="17"/>
  <c r="J560" i="17"/>
  <c r="J580" i="17"/>
  <c r="I604" i="17"/>
  <c r="J602" i="17"/>
  <c r="M81" i="17"/>
  <c r="N15" i="17"/>
  <c r="N19" i="17"/>
  <c r="N23" i="17"/>
  <c r="N27" i="17"/>
  <c r="N31" i="17"/>
  <c r="N35" i="17"/>
  <c r="N39" i="17"/>
  <c r="N43" i="17"/>
  <c r="N47" i="17"/>
  <c r="N51" i="17"/>
  <c r="N55" i="17"/>
  <c r="N59" i="17"/>
  <c r="N63" i="17"/>
  <c r="N67" i="17"/>
  <c r="N71" i="17"/>
  <c r="N75" i="17"/>
  <c r="N79" i="17"/>
  <c r="N83" i="17"/>
  <c r="N87" i="17"/>
  <c r="N91" i="17"/>
  <c r="N95" i="17"/>
  <c r="N99" i="17"/>
  <c r="N103" i="17"/>
  <c r="N107" i="17"/>
  <c r="N111" i="17"/>
  <c r="N115" i="17"/>
  <c r="N16" i="17"/>
  <c r="N20" i="17"/>
  <c r="N24" i="17"/>
  <c r="N28" i="17"/>
  <c r="N32" i="17"/>
  <c r="N36" i="17"/>
  <c r="N40" i="17"/>
  <c r="N44" i="17"/>
  <c r="N48" i="17"/>
  <c r="N52" i="17"/>
  <c r="N56" i="17"/>
  <c r="N60" i="17"/>
  <c r="N64" i="17"/>
  <c r="N68" i="17"/>
  <c r="N72" i="17"/>
  <c r="N76" i="17"/>
  <c r="N80" i="17"/>
  <c r="N84" i="17"/>
  <c r="N88" i="17"/>
  <c r="N92" i="17"/>
  <c r="N96" i="17"/>
  <c r="N100" i="17"/>
  <c r="N104" i="17"/>
  <c r="N108" i="17"/>
  <c r="N112" i="17"/>
  <c r="N116" i="17"/>
  <c r="N120" i="17"/>
  <c r="N124" i="17"/>
  <c r="N128" i="17"/>
  <c r="N132" i="17"/>
  <c r="N136" i="17"/>
  <c r="N140" i="17"/>
  <c r="N144" i="17"/>
  <c r="N148" i="17"/>
  <c r="N152" i="17"/>
  <c r="N156" i="17"/>
  <c r="N160" i="17"/>
  <c r="N164" i="17"/>
  <c r="N168" i="17"/>
  <c r="N172" i="17"/>
  <c r="N176" i="17"/>
  <c r="N180" i="17"/>
  <c r="N17" i="17"/>
  <c r="N21" i="17"/>
  <c r="N25" i="17"/>
  <c r="N29" i="17"/>
  <c r="N33" i="17"/>
  <c r="N37" i="17"/>
  <c r="N41" i="17"/>
  <c r="N45" i="17"/>
  <c r="N49" i="17"/>
  <c r="N53" i="17"/>
  <c r="N57" i="17"/>
  <c r="N61" i="17"/>
  <c r="N65" i="17"/>
  <c r="N69" i="17"/>
  <c r="N73" i="17"/>
  <c r="N77" i="17"/>
  <c r="N81" i="17"/>
  <c r="N85" i="17"/>
  <c r="N89" i="17"/>
  <c r="N93" i="17"/>
  <c r="N97" i="17"/>
  <c r="N101" i="17"/>
  <c r="N105" i="17"/>
  <c r="N109" i="17"/>
  <c r="N113" i="17"/>
  <c r="N117" i="17"/>
  <c r="N121" i="17"/>
  <c r="N125" i="17"/>
  <c r="N129" i="17"/>
  <c r="N133" i="17"/>
  <c r="N137" i="17"/>
  <c r="N141" i="17"/>
  <c r="N145" i="17"/>
  <c r="N149" i="17"/>
  <c r="N153" i="17"/>
  <c r="N157" i="17"/>
  <c r="N161" i="17"/>
  <c r="N165" i="17"/>
  <c r="N169" i="17"/>
  <c r="N173" i="17"/>
  <c r="N177" i="17"/>
  <c r="N181" i="17"/>
  <c r="N18" i="17"/>
  <c r="N34" i="17"/>
  <c r="N50" i="17"/>
  <c r="N66" i="17"/>
  <c r="N82" i="17"/>
  <c r="N98" i="17"/>
  <c r="N114" i="17"/>
  <c r="N123" i="17"/>
  <c r="N131" i="17"/>
  <c r="N139" i="17"/>
  <c r="N147" i="17"/>
  <c r="N155" i="17"/>
  <c r="N163" i="17"/>
  <c r="N171" i="17"/>
  <c r="N179" i="17"/>
  <c r="N185" i="17"/>
  <c r="N189" i="17"/>
  <c r="N193" i="17"/>
  <c r="N197" i="17"/>
  <c r="N201" i="17"/>
  <c r="N205" i="17"/>
  <c r="N209" i="17"/>
  <c r="N213" i="17"/>
  <c r="N217" i="17"/>
  <c r="N221" i="17"/>
  <c r="N225" i="17"/>
  <c r="N229" i="17"/>
  <c r="N233" i="17"/>
  <c r="N237" i="17"/>
  <c r="N241" i="17"/>
  <c r="N245" i="17"/>
  <c r="N249" i="17"/>
  <c r="N253" i="17"/>
  <c r="N257" i="17"/>
  <c r="N261" i="17"/>
  <c r="N265" i="17"/>
  <c r="N269" i="17"/>
  <c r="N273" i="17"/>
  <c r="N277" i="17"/>
  <c r="N281" i="17"/>
  <c r="N285" i="17"/>
  <c r="N289" i="17"/>
  <c r="N293" i="17"/>
  <c r="N297" i="17"/>
  <c r="N301" i="17"/>
  <c r="N305" i="17"/>
  <c r="N309" i="17"/>
  <c r="N313" i="17"/>
  <c r="N317" i="17"/>
  <c r="N321" i="17"/>
  <c r="N325" i="17"/>
  <c r="N329" i="17"/>
  <c r="N333" i="17"/>
  <c r="N337" i="17"/>
  <c r="N341" i="17"/>
  <c r="N345" i="17"/>
  <c r="N349" i="17"/>
  <c r="N353" i="17"/>
  <c r="N357" i="17"/>
  <c r="N361" i="17"/>
  <c r="N365" i="17"/>
  <c r="N369" i="17"/>
  <c r="N373" i="17"/>
  <c r="N377" i="17"/>
  <c r="N381" i="17"/>
  <c r="N385" i="17"/>
  <c r="N389" i="17"/>
  <c r="N393" i="17"/>
  <c r="N397" i="17"/>
  <c r="N401" i="17"/>
  <c r="N405" i="17"/>
  <c r="N409" i="17"/>
  <c r="N413" i="17"/>
  <c r="N417" i="17"/>
  <c r="N421" i="17"/>
  <c r="N425" i="17"/>
  <c r="N429" i="17"/>
  <c r="N433" i="17"/>
  <c r="N437" i="17"/>
  <c r="N441" i="17"/>
  <c r="N445" i="17"/>
  <c r="N449" i="17"/>
  <c r="N453" i="17"/>
  <c r="N457" i="17"/>
  <c r="N461" i="17"/>
  <c r="N465" i="17"/>
  <c r="N469" i="17"/>
  <c r="N473" i="17"/>
  <c r="N477" i="17"/>
  <c r="N481" i="17"/>
  <c r="N485" i="17"/>
  <c r="N489" i="17"/>
  <c r="N493" i="17"/>
  <c r="N497" i="17"/>
  <c r="N501" i="17"/>
  <c r="N505" i="17"/>
  <c r="N509" i="17"/>
  <c r="N513" i="17"/>
  <c r="N517" i="17"/>
  <c r="N521" i="17"/>
  <c r="N525" i="17"/>
  <c r="N529" i="17"/>
  <c r="N533" i="17"/>
  <c r="N537" i="17"/>
  <c r="N541" i="17"/>
  <c r="N545" i="17"/>
  <c r="N549" i="17"/>
  <c r="N553" i="17"/>
  <c r="N557" i="17"/>
  <c r="N561" i="17"/>
  <c r="N565" i="17"/>
  <c r="N569" i="17"/>
  <c r="N573" i="17"/>
  <c r="N22" i="17"/>
  <c r="N38" i="17"/>
  <c r="N54" i="17"/>
  <c r="N70" i="17"/>
  <c r="N86" i="17"/>
  <c r="N102" i="17"/>
  <c r="N118" i="17"/>
  <c r="N126" i="17"/>
  <c r="N134" i="17"/>
  <c r="N142" i="17"/>
  <c r="N150" i="17"/>
  <c r="N158" i="17"/>
  <c r="N166" i="17"/>
  <c r="N174" i="17"/>
  <c r="N182" i="17"/>
  <c r="N186" i="17"/>
  <c r="N190" i="17"/>
  <c r="N194" i="17"/>
  <c r="N198" i="17"/>
  <c r="N202" i="17"/>
  <c r="N206" i="17"/>
  <c r="N210" i="17"/>
  <c r="N214" i="17"/>
  <c r="N218" i="17"/>
  <c r="N222" i="17"/>
  <c r="N226" i="17"/>
  <c r="N230" i="17"/>
  <c r="N234" i="17"/>
  <c r="N238" i="17"/>
  <c r="N242" i="17"/>
  <c r="N246" i="17"/>
  <c r="N250" i="17"/>
  <c r="N254" i="17"/>
  <c r="N258" i="17"/>
  <c r="N262" i="17"/>
  <c r="N266" i="17"/>
  <c r="N270" i="17"/>
  <c r="N274" i="17"/>
  <c r="N278" i="17"/>
  <c r="N282" i="17"/>
  <c r="N286" i="17"/>
  <c r="N290" i="17"/>
  <c r="N294" i="17"/>
  <c r="N298" i="17"/>
  <c r="N302" i="17"/>
  <c r="N306" i="17"/>
  <c r="N310" i="17"/>
  <c r="N314" i="17"/>
  <c r="N318" i="17"/>
  <c r="N322" i="17"/>
  <c r="N326" i="17"/>
  <c r="N330" i="17"/>
  <c r="N334" i="17"/>
  <c r="N338" i="17"/>
  <c r="N342" i="17"/>
  <c r="N346" i="17"/>
  <c r="N350" i="17"/>
  <c r="N354" i="17"/>
  <c r="N358" i="17"/>
  <c r="N362" i="17"/>
  <c r="N366" i="17"/>
  <c r="N370" i="17"/>
  <c r="N374" i="17"/>
  <c r="N378" i="17"/>
  <c r="N382" i="17"/>
  <c r="N386" i="17"/>
  <c r="N390" i="17"/>
  <c r="N394" i="17"/>
  <c r="N398" i="17"/>
  <c r="N402" i="17"/>
  <c r="N406" i="17"/>
  <c r="N410" i="17"/>
  <c r="N414" i="17"/>
  <c r="N418" i="17"/>
  <c r="N422" i="17"/>
  <c r="N426" i="17"/>
  <c r="N430" i="17"/>
  <c r="N434" i="17"/>
  <c r="N438" i="17"/>
  <c r="N442" i="17"/>
  <c r="N446" i="17"/>
  <c r="N450" i="17"/>
  <c r="N454" i="17"/>
  <c r="N458" i="17"/>
  <c r="N462" i="17"/>
  <c r="N466" i="17"/>
  <c r="N470" i="17"/>
  <c r="N474" i="17"/>
  <c r="N478" i="17"/>
  <c r="N482" i="17"/>
  <c r="N486" i="17"/>
  <c r="N490" i="17"/>
  <c r="N494" i="17"/>
  <c r="N498" i="17"/>
  <c r="N502" i="17"/>
  <c r="N506" i="17"/>
  <c r="N510" i="17"/>
  <c r="N514" i="17"/>
  <c r="N518" i="17"/>
  <c r="N522" i="17"/>
  <c r="N526" i="17"/>
  <c r="N530" i="17"/>
  <c r="N534" i="17"/>
  <c r="N538" i="17"/>
  <c r="N542" i="17"/>
  <c r="N546" i="17"/>
  <c r="N550" i="17"/>
  <c r="N554" i="17"/>
  <c r="N558" i="17"/>
  <c r="N562" i="17"/>
  <c r="N566" i="17"/>
  <c r="N570" i="17"/>
  <c r="N574" i="17"/>
  <c r="N578" i="17"/>
  <c r="N582" i="17"/>
  <c r="N586" i="17"/>
  <c r="N590" i="17"/>
  <c r="N594" i="17"/>
  <c r="N598" i="17"/>
  <c r="N602" i="17"/>
  <c r="N606" i="17"/>
  <c r="N610" i="17"/>
  <c r="N14" i="17"/>
  <c r="N26" i="17"/>
  <c r="N42" i="17"/>
  <c r="N58" i="17"/>
  <c r="N74" i="17"/>
  <c r="N90" i="17"/>
  <c r="N106" i="17"/>
  <c r="N119" i="17"/>
  <c r="N127" i="17"/>
  <c r="N135" i="17"/>
  <c r="N143" i="17"/>
  <c r="N151" i="17"/>
  <c r="N159" i="17"/>
  <c r="N167" i="17"/>
  <c r="N175" i="17"/>
  <c r="N183" i="17"/>
  <c r="N187" i="17"/>
  <c r="N191" i="17"/>
  <c r="N195" i="17"/>
  <c r="N199" i="17"/>
  <c r="N203" i="17"/>
  <c r="N207" i="17"/>
  <c r="N211" i="17"/>
  <c r="N215" i="17"/>
  <c r="N219" i="17"/>
  <c r="N223" i="17"/>
  <c r="N227" i="17"/>
  <c r="N231" i="17"/>
  <c r="N235" i="17"/>
  <c r="V235" i="17" s="1"/>
  <c r="N239" i="17"/>
  <c r="N243" i="17"/>
  <c r="N247" i="17"/>
  <c r="N251" i="17"/>
  <c r="N255" i="17"/>
  <c r="N259" i="17"/>
  <c r="N263" i="17"/>
  <c r="N267" i="17"/>
  <c r="N271" i="17"/>
  <c r="N275" i="17"/>
  <c r="N279" i="17"/>
  <c r="N283" i="17"/>
  <c r="N287" i="17"/>
  <c r="N291" i="17"/>
  <c r="N295" i="17"/>
  <c r="N299" i="17"/>
  <c r="N303" i="17"/>
  <c r="N307" i="17"/>
  <c r="N311" i="17"/>
  <c r="N315" i="17"/>
  <c r="N319" i="17"/>
  <c r="N323" i="17"/>
  <c r="N327" i="17"/>
  <c r="N331" i="17"/>
  <c r="N335" i="17"/>
  <c r="N339" i="17"/>
  <c r="N343" i="17"/>
  <c r="N347" i="17"/>
  <c r="N351" i="17"/>
  <c r="N355" i="17"/>
  <c r="N359" i="17"/>
  <c r="N363" i="17"/>
  <c r="N367" i="17"/>
  <c r="N371" i="17"/>
  <c r="N375" i="17"/>
  <c r="N379" i="17"/>
  <c r="N383" i="17"/>
  <c r="N387" i="17"/>
  <c r="N391" i="17"/>
  <c r="N395" i="17"/>
  <c r="N399" i="17"/>
  <c r="N403" i="17"/>
  <c r="N407" i="17"/>
  <c r="N411" i="17"/>
  <c r="N415" i="17"/>
  <c r="N419" i="17"/>
  <c r="N423" i="17"/>
  <c r="N427" i="17"/>
  <c r="N431" i="17"/>
  <c r="N435" i="17"/>
  <c r="N439" i="17"/>
  <c r="N443" i="17"/>
  <c r="N447" i="17"/>
  <c r="N451" i="17"/>
  <c r="N455" i="17"/>
  <c r="N459" i="17"/>
  <c r="N463" i="17"/>
  <c r="N467" i="17"/>
  <c r="N471" i="17"/>
  <c r="N475" i="17"/>
  <c r="N479" i="17"/>
  <c r="N483" i="17"/>
  <c r="N487" i="17"/>
  <c r="N491" i="17"/>
  <c r="N495" i="17"/>
  <c r="N499" i="17"/>
  <c r="N503" i="17"/>
  <c r="N507" i="17"/>
  <c r="N511" i="17"/>
  <c r="N515" i="17"/>
  <c r="N519" i="17"/>
  <c r="N523" i="17"/>
  <c r="N527" i="17"/>
  <c r="N531" i="17"/>
  <c r="N535" i="17"/>
  <c r="N539" i="17"/>
  <c r="N543" i="17"/>
  <c r="N547" i="17"/>
  <c r="N551" i="17"/>
  <c r="N555" i="17"/>
  <c r="N559" i="17"/>
  <c r="N563" i="17"/>
  <c r="N567" i="17"/>
  <c r="N571" i="17"/>
  <c r="N575" i="17"/>
  <c r="N579" i="17"/>
  <c r="N583" i="17"/>
  <c r="N587" i="17"/>
  <c r="N591" i="17"/>
  <c r="N595" i="17"/>
  <c r="N599" i="17"/>
  <c r="N603" i="17"/>
  <c r="N607" i="17"/>
  <c r="N611" i="17"/>
  <c r="N30" i="17"/>
  <c r="N94" i="17"/>
  <c r="N138" i="17"/>
  <c r="N170" i="17"/>
  <c r="N192" i="17"/>
  <c r="N208" i="17"/>
  <c r="N224" i="17"/>
  <c r="N240" i="17"/>
  <c r="N256" i="17"/>
  <c r="N272" i="17"/>
  <c r="N288" i="17"/>
  <c r="N304" i="17"/>
  <c r="N320" i="17"/>
  <c r="N336" i="17"/>
  <c r="N352" i="17"/>
  <c r="N368" i="17"/>
  <c r="N384" i="17"/>
  <c r="N400" i="17"/>
  <c r="N416" i="17"/>
  <c r="N432" i="17"/>
  <c r="N448" i="17"/>
  <c r="N464" i="17"/>
  <c r="N480" i="17"/>
  <c r="N496" i="17"/>
  <c r="N512" i="17"/>
  <c r="N528" i="17"/>
  <c r="N544" i="17"/>
  <c r="N560" i="17"/>
  <c r="N576" i="17"/>
  <c r="N584" i="17"/>
  <c r="N592" i="17"/>
  <c r="N600" i="17"/>
  <c r="N608" i="17"/>
  <c r="N46" i="17"/>
  <c r="N110" i="17"/>
  <c r="N146" i="17"/>
  <c r="N178" i="17"/>
  <c r="N196" i="17"/>
  <c r="N212" i="17"/>
  <c r="N228" i="17"/>
  <c r="N244" i="17"/>
  <c r="N260" i="17"/>
  <c r="N276" i="17"/>
  <c r="N292" i="17"/>
  <c r="N308" i="17"/>
  <c r="N324" i="17"/>
  <c r="N340" i="17"/>
  <c r="N356" i="17"/>
  <c r="N372" i="17"/>
  <c r="N388" i="17"/>
  <c r="N404" i="17"/>
  <c r="N420" i="17"/>
  <c r="N436" i="17"/>
  <c r="N452" i="17"/>
  <c r="N468" i="17"/>
  <c r="N484" i="17"/>
  <c r="N500" i="17"/>
  <c r="N516" i="17"/>
  <c r="N532" i="17"/>
  <c r="N548" i="17"/>
  <c r="N564" i="17"/>
  <c r="N577" i="17"/>
  <c r="N585" i="17"/>
  <c r="N593" i="17"/>
  <c r="N601" i="17"/>
  <c r="N609" i="17"/>
  <c r="N62" i="17"/>
  <c r="N122" i="17"/>
  <c r="N154" i="17"/>
  <c r="N184" i="17"/>
  <c r="N200" i="17"/>
  <c r="N216" i="17"/>
  <c r="N232" i="17"/>
  <c r="N248" i="17"/>
  <c r="N264" i="17"/>
  <c r="N280" i="17"/>
  <c r="N296" i="17"/>
  <c r="N312" i="17"/>
  <c r="N328" i="17"/>
  <c r="N344" i="17"/>
  <c r="N360" i="17"/>
  <c r="N376" i="17"/>
  <c r="N392" i="17"/>
  <c r="N408" i="17"/>
  <c r="N424" i="17"/>
  <c r="N440" i="17"/>
  <c r="N456" i="17"/>
  <c r="N472" i="17"/>
  <c r="N488" i="17"/>
  <c r="N504" i="17"/>
  <c r="N520" i="17"/>
  <c r="N536" i="17"/>
  <c r="N552" i="17"/>
  <c r="N568" i="17"/>
  <c r="N580" i="17"/>
  <c r="N588" i="17"/>
  <c r="N596" i="17"/>
  <c r="N604" i="17"/>
  <c r="N612" i="17"/>
  <c r="N78" i="17"/>
  <c r="N204" i="17"/>
  <c r="N268" i="17"/>
  <c r="N332" i="17"/>
  <c r="N396" i="17"/>
  <c r="N460" i="17"/>
  <c r="N524" i="17"/>
  <c r="N581" i="17"/>
  <c r="N613" i="17"/>
  <c r="N130" i="17"/>
  <c r="N220" i="17"/>
  <c r="N284" i="17"/>
  <c r="N348" i="17"/>
  <c r="N412" i="17"/>
  <c r="N476" i="17"/>
  <c r="N540" i="17"/>
  <c r="N589" i="17"/>
  <c r="N162" i="17"/>
  <c r="N236" i="17"/>
  <c r="N300" i="17"/>
  <c r="N364" i="17"/>
  <c r="N428" i="17"/>
  <c r="N492" i="17"/>
  <c r="N556" i="17"/>
  <c r="N597" i="17"/>
  <c r="N188" i="17"/>
  <c r="N252" i="17"/>
  <c r="N316" i="17"/>
  <c r="N380" i="17"/>
  <c r="N444" i="17"/>
  <c r="N508" i="17"/>
  <c r="N572" i="17"/>
  <c r="N605" i="17"/>
  <c r="J606" i="17"/>
  <c r="J610" i="17"/>
  <c r="I240" i="17"/>
  <c r="I256" i="17"/>
  <c r="I272" i="17"/>
  <c r="I288" i="17"/>
  <c r="I304" i="17"/>
  <c r="J320" i="17"/>
  <c r="J336" i="17"/>
  <c r="J352" i="17"/>
  <c r="J368" i="17"/>
  <c r="J384" i="17"/>
  <c r="J400" i="17"/>
  <c r="J416" i="17"/>
  <c r="I330" i="17"/>
  <c r="I346" i="17"/>
  <c r="I362" i="17"/>
  <c r="I378" i="17"/>
  <c r="I394" i="17"/>
  <c r="I410" i="17"/>
  <c r="I426" i="17"/>
  <c r="I442" i="17"/>
  <c r="I458" i="17"/>
  <c r="I474" i="17"/>
  <c r="I490" i="17"/>
  <c r="I506" i="17"/>
  <c r="I419" i="17"/>
  <c r="I435" i="17"/>
  <c r="I451" i="17"/>
  <c r="I467" i="17"/>
  <c r="I483" i="17"/>
  <c r="I499" i="17"/>
  <c r="I515" i="17"/>
  <c r="J530" i="17"/>
  <c r="I548" i="17"/>
  <c r="I580" i="17"/>
  <c r="J529" i="17"/>
  <c r="J547" i="17"/>
  <c r="J579" i="17"/>
  <c r="J552" i="17"/>
  <c r="J568" i="17"/>
  <c r="J584" i="17"/>
  <c r="I600" i="17"/>
  <c r="C634" i="17"/>
  <c r="I613" i="17"/>
  <c r="T22" i="27"/>
  <c r="T42" i="27"/>
  <c r="T70" i="27"/>
  <c r="T92" i="27"/>
  <c r="T13" i="27"/>
  <c r="T15" i="27"/>
  <c r="T27" i="27"/>
  <c r="T30" i="27"/>
  <c r="T87" i="27"/>
  <c r="T14" i="27"/>
  <c r="T39" i="27"/>
  <c r="T66" i="27"/>
  <c r="T57" i="27"/>
  <c r="Z57" i="27" s="1"/>
  <c r="T68" i="27"/>
  <c r="Z68" i="27" s="1"/>
  <c r="T59" i="27"/>
  <c r="T28" i="27"/>
  <c r="T17" i="27"/>
  <c r="Z17" i="27" s="1"/>
  <c r="T58" i="27"/>
  <c r="T65" i="27"/>
  <c r="Z65" i="27" s="1"/>
  <c r="T60" i="27"/>
  <c r="T67" i="27"/>
  <c r="T33" i="27"/>
  <c r="T93" i="27"/>
  <c r="V65" i="27"/>
  <c r="T61" i="27"/>
  <c r="Z61" i="27" s="1"/>
  <c r="T63" i="27"/>
  <c r="T45" i="27"/>
  <c r="V61" i="27"/>
  <c r="T62" i="27"/>
  <c r="V57" i="27"/>
  <c r="V68" i="27"/>
  <c r="T64" i="27"/>
  <c r="T38" i="27"/>
  <c r="T71" i="27"/>
  <c r="T88" i="27"/>
  <c r="T29" i="27"/>
  <c r="T82" i="27"/>
  <c r="T56" i="27"/>
  <c r="T51" i="27"/>
  <c r="Z51" i="27" s="1"/>
  <c r="T72" i="27"/>
  <c r="T54" i="27"/>
  <c r="T52" i="27"/>
  <c r="T78" i="27"/>
  <c r="T55" i="27"/>
  <c r="T73" i="27"/>
  <c r="T77" i="27"/>
  <c r="V51" i="27"/>
  <c r="X51" i="27" s="1"/>
  <c r="V17" i="27"/>
  <c r="X17" i="27" s="1"/>
  <c r="T74" i="27"/>
  <c r="T75" i="27"/>
  <c r="T76" i="27"/>
  <c r="T79" i="27"/>
  <c r="T50" i="27"/>
  <c r="T53" i="27"/>
  <c r="T69" i="27"/>
  <c r="T96" i="27"/>
  <c r="T97" i="27"/>
  <c r="M345" i="17"/>
  <c r="M572" i="17"/>
  <c r="M36" i="17"/>
  <c r="M263" i="17"/>
  <c r="M417" i="17"/>
  <c r="M297" i="17"/>
  <c r="M494" i="17"/>
  <c r="M277" i="17"/>
  <c r="M151" i="17"/>
  <c r="M283" i="17"/>
  <c r="M487" i="17"/>
  <c r="M326" i="17"/>
  <c r="M435" i="17"/>
  <c r="M320" i="17"/>
  <c r="M237" i="17"/>
  <c r="M252" i="17"/>
  <c r="M381" i="17"/>
  <c r="M560" i="17"/>
  <c r="M612" i="17"/>
  <c r="M454" i="17"/>
  <c r="M212" i="17"/>
  <c r="M402" i="17"/>
  <c r="M314" i="17"/>
  <c r="M161" i="17"/>
  <c r="M578" i="17"/>
  <c r="M30" i="17"/>
  <c r="M465" i="17"/>
  <c r="M166" i="17"/>
  <c r="M400" i="17"/>
  <c r="M208" i="17"/>
  <c r="M600" i="17"/>
  <c r="M178" i="17"/>
  <c r="M479" i="17"/>
  <c r="M540" i="17"/>
  <c r="M76" i="17"/>
  <c r="M406" i="17"/>
  <c r="M312" i="17"/>
  <c r="M468" i="17"/>
  <c r="M517" i="17"/>
  <c r="M515" i="17"/>
  <c r="M383" i="17"/>
  <c r="M58" i="17"/>
  <c r="M488" i="17"/>
  <c r="M172" i="17"/>
  <c r="M607" i="17"/>
  <c r="M218" i="17"/>
  <c r="M385" i="17"/>
  <c r="M259" i="17"/>
  <c r="M125" i="17"/>
  <c r="M63" i="17"/>
  <c r="M45" i="17"/>
  <c r="M543" i="17"/>
  <c r="M246" i="17"/>
  <c r="M561" i="17"/>
  <c r="M482" i="17"/>
  <c r="M24" i="17"/>
  <c r="M123" i="17"/>
  <c r="M366" i="17"/>
  <c r="M300" i="17"/>
  <c r="M152" i="17"/>
  <c r="M372" i="17"/>
  <c r="M138" i="17"/>
  <c r="M437" i="17"/>
  <c r="M475" i="17"/>
  <c r="M335" i="17"/>
  <c r="N622" i="17"/>
  <c r="M90" i="17"/>
  <c r="M333" i="17"/>
  <c r="M559" i="17"/>
  <c r="M209" i="17"/>
  <c r="M442" i="17"/>
  <c r="M232" i="17"/>
  <c r="M428" i="17"/>
  <c r="M179" i="17"/>
  <c r="N628" i="17"/>
  <c r="M199" i="17"/>
  <c r="M41" i="17"/>
  <c r="M555" i="17"/>
  <c r="M92" i="17"/>
  <c r="M99" i="17"/>
  <c r="M525" i="17"/>
  <c r="M84" i="17"/>
  <c r="M20" i="17"/>
  <c r="M83" i="17"/>
  <c r="M155" i="17"/>
  <c r="M363" i="17"/>
  <c r="M541" i="17"/>
  <c r="M219" i="17"/>
  <c r="M97" i="17"/>
  <c r="M17" i="17"/>
  <c r="M96" i="17"/>
  <c r="M64" i="17"/>
  <c r="M32" i="17"/>
  <c r="M159" i="17"/>
  <c r="M107" i="17"/>
  <c r="M43" i="17"/>
  <c r="N13" i="17"/>
  <c r="M173" i="17"/>
  <c r="M339" i="17"/>
  <c r="M403" i="17"/>
  <c r="M455" i="17"/>
  <c r="M520" i="17"/>
  <c r="M532" i="17"/>
  <c r="M121" i="17"/>
  <c r="M321" i="17"/>
  <c r="M377" i="17"/>
  <c r="M429" i="17"/>
  <c r="M493" i="17"/>
  <c r="M566" i="17"/>
  <c r="M551" i="17"/>
  <c r="M247" i="17"/>
  <c r="M114" i="17"/>
  <c r="M85" i="17"/>
  <c r="M251" i="17"/>
  <c r="M60" i="17"/>
  <c r="M189" i="17"/>
  <c r="M137" i="17"/>
  <c r="M52" i="17"/>
  <c r="M626" i="17"/>
  <c r="M447" i="17"/>
  <c r="M33" i="17"/>
  <c r="M80" i="17"/>
  <c r="M40" i="17"/>
  <c r="M117" i="17"/>
  <c r="M75" i="17"/>
  <c r="M323" i="17"/>
  <c r="M471" i="17"/>
  <c r="M554" i="17"/>
  <c r="M571" i="17"/>
  <c r="M153" i="17"/>
  <c r="M361" i="17"/>
  <c r="M509" i="17"/>
  <c r="M538" i="17"/>
  <c r="M215" i="17"/>
  <c r="M130" i="17"/>
  <c r="M194" i="17"/>
  <c r="M258" i="17"/>
  <c r="M348" i="17"/>
  <c r="M412" i="17"/>
  <c r="M476" i="17"/>
  <c r="M584" i="17"/>
  <c r="M599" i="17"/>
  <c r="M589" i="17"/>
  <c r="M221" i="17"/>
  <c r="M285" i="17"/>
  <c r="M144" i="17"/>
  <c r="M264" i="17"/>
  <c r="M418" i="17"/>
  <c r="M597" i="17"/>
  <c r="M580" i="17"/>
  <c r="M474" i="17"/>
  <c r="M410" i="17"/>
  <c r="M346" i="17"/>
  <c r="M256" i="17"/>
  <c r="M192" i="17"/>
  <c r="M140" i="17"/>
  <c r="M313" i="17"/>
  <c r="M281" i="17"/>
  <c r="M249" i="17"/>
  <c r="M217" i="17"/>
  <c r="M585" i="17"/>
  <c r="M553" i="17"/>
  <c r="M595" i="17"/>
  <c r="M576" i="17"/>
  <c r="M504" i="17"/>
  <c r="M472" i="17"/>
  <c r="M440" i="17"/>
  <c r="M408" i="17"/>
  <c r="M376" i="17"/>
  <c r="M344" i="17"/>
  <c r="M286" i="17"/>
  <c r="M254" i="17"/>
  <c r="M222" i="17"/>
  <c r="M190" i="17"/>
  <c r="M158" i="17"/>
  <c r="M126" i="17"/>
  <c r="M299" i="17"/>
  <c r="M267" i="17"/>
  <c r="M207" i="17"/>
  <c r="M575" i="17"/>
  <c r="M590" i="17"/>
  <c r="M535" i="17"/>
  <c r="M505" i="17"/>
  <c r="M473" i="17"/>
  <c r="M441" i="17"/>
  <c r="M389" i="17"/>
  <c r="M357" i="17"/>
  <c r="N623" i="17"/>
  <c r="M61" i="17"/>
  <c r="M29" i="17"/>
  <c r="M102" i="17"/>
  <c r="M86" i="17"/>
  <c r="M70" i="17"/>
  <c r="M54" i="17"/>
  <c r="M38" i="17"/>
  <c r="M22" i="17"/>
  <c r="M135" i="17"/>
  <c r="M133" i="17"/>
  <c r="M623" i="17"/>
  <c r="M87" i="17"/>
  <c r="M55" i="17"/>
  <c r="M23" i="17"/>
  <c r="M111" i="17"/>
  <c r="M108" i="17"/>
  <c r="M495" i="17"/>
  <c r="M35" i="17"/>
  <c r="M411" i="17"/>
  <c r="M143" i="17"/>
  <c r="M511" i="17"/>
  <c r="M169" i="17"/>
  <c r="M65" i="17"/>
  <c r="M72" i="17"/>
  <c r="M16" i="17"/>
  <c r="M91" i="17"/>
  <c r="M371" i="17"/>
  <c r="M503" i="17"/>
  <c r="M185" i="17"/>
  <c r="M393" i="17"/>
  <c r="M523" i="17"/>
  <c r="M583" i="17"/>
  <c r="M303" i="17"/>
  <c r="M210" i="17"/>
  <c r="M290" i="17"/>
  <c r="M364" i="17"/>
  <c r="M444" i="17"/>
  <c r="M518" i="17"/>
  <c r="M602" i="17"/>
  <c r="M253" i="17"/>
  <c r="M128" i="17"/>
  <c r="M296" i="17"/>
  <c r="M354" i="17"/>
  <c r="M514" i="17"/>
  <c r="M506" i="17"/>
  <c r="M426" i="17"/>
  <c r="M330" i="17"/>
  <c r="M272" i="17"/>
  <c r="M176" i="17"/>
  <c r="M124" i="17"/>
  <c r="M289" i="17"/>
  <c r="M241" i="17"/>
  <c r="M201" i="17"/>
  <c r="M593" i="17"/>
  <c r="M545" i="17"/>
  <c r="M598" i="17"/>
  <c r="M544" i="17"/>
  <c r="M480" i="17"/>
  <c r="M432" i="17"/>
  <c r="M392" i="17"/>
  <c r="M352" i="17"/>
  <c r="M278" i="17"/>
  <c r="M238" i="17"/>
  <c r="M198" i="17"/>
  <c r="M150" i="17"/>
  <c r="M110" i="17"/>
  <c r="M275" i="17"/>
  <c r="M526" i="17"/>
  <c r="M527" i="17"/>
  <c r="M489" i="17"/>
  <c r="M449" i="17"/>
  <c r="M397" i="17"/>
  <c r="M349" i="17"/>
  <c r="M89" i="17"/>
  <c r="M37" i="17"/>
  <c r="M106" i="17"/>
  <c r="M82" i="17"/>
  <c r="M62" i="17"/>
  <c r="M42" i="17"/>
  <c r="M18" i="17"/>
  <c r="M167" i="17"/>
  <c r="M77" i="17"/>
  <c r="M79" i="17"/>
  <c r="M39" i="17"/>
  <c r="M115" i="17"/>
  <c r="M183" i="17"/>
  <c r="M181" i="17"/>
  <c r="M343" i="17"/>
  <c r="M375" i="17"/>
  <c r="M407" i="17"/>
  <c r="M427" i="17"/>
  <c r="M459" i="17"/>
  <c r="M491" i="17"/>
  <c r="M521" i="17"/>
  <c r="M562" i="17"/>
  <c r="M536" i="17"/>
  <c r="M547" i="17"/>
  <c r="M243" i="17"/>
  <c r="M129" i="17"/>
  <c r="M193" i="17"/>
  <c r="M317" i="17"/>
  <c r="M369" i="17"/>
  <c r="M421" i="17"/>
  <c r="M485" i="17"/>
  <c r="M550" i="17"/>
  <c r="M231" i="17"/>
  <c r="M311" i="17"/>
  <c r="M170" i="17"/>
  <c r="M234" i="17"/>
  <c r="M298" i="17"/>
  <c r="M324" i="17"/>
  <c r="M388" i="17"/>
  <c r="M452" i="17"/>
  <c r="M516" i="17"/>
  <c r="M565" i="17"/>
  <c r="M261" i="17"/>
  <c r="M120" i="17"/>
  <c r="M216" i="17"/>
  <c r="M370" i="17"/>
  <c r="M498" i="17"/>
  <c r="M164" i="17"/>
  <c r="M196" i="17"/>
  <c r="M228" i="17"/>
  <c r="M260" i="17"/>
  <c r="M292" i="17"/>
  <c r="M318" i="17"/>
  <c r="M350" i="17"/>
  <c r="M382" i="17"/>
  <c r="M414" i="17"/>
  <c r="M446" i="17"/>
  <c r="M478" i="17"/>
  <c r="M510" i="17"/>
  <c r="M588" i="17"/>
  <c r="M601" i="17"/>
  <c r="M44" i="17"/>
  <c r="M431" i="17"/>
  <c r="M622" i="17"/>
  <c r="M100" i="17"/>
  <c r="N626" i="17"/>
  <c r="M157" i="17"/>
  <c r="M331" i="17"/>
  <c r="M524" i="17"/>
  <c r="M49" i="17"/>
  <c r="M56" i="17"/>
  <c r="M127" i="17"/>
  <c r="M59" i="17"/>
  <c r="M139" i="17"/>
  <c r="M387" i="17"/>
  <c r="M423" i="17"/>
  <c r="M533" i="17"/>
  <c r="M203" i="17"/>
  <c r="M409" i="17"/>
  <c r="M445" i="17"/>
  <c r="M539" i="17"/>
  <c r="M146" i="17"/>
  <c r="M226" i="17"/>
  <c r="M306" i="17"/>
  <c r="M380" i="17"/>
  <c r="M460" i="17"/>
  <c r="M269" i="17"/>
  <c r="M168" i="17"/>
  <c r="M386" i="17"/>
  <c r="M548" i="17"/>
  <c r="M490" i="17"/>
  <c r="M394" i="17"/>
  <c r="M240" i="17"/>
  <c r="M160" i="17"/>
  <c r="M116" i="17"/>
  <c r="M273" i="17"/>
  <c r="M233" i="17"/>
  <c r="M577" i="17"/>
  <c r="M611" i="17"/>
  <c r="M512" i="17"/>
  <c r="M464" i="17"/>
  <c r="M424" i="17"/>
  <c r="M384" i="17"/>
  <c r="M336" i="17"/>
  <c r="M310" i="17"/>
  <c r="M270" i="17"/>
  <c r="M230" i="17"/>
  <c r="M182" i="17"/>
  <c r="M142" i="17"/>
  <c r="M307" i="17"/>
  <c r="M255" i="17"/>
  <c r="M574" i="17"/>
  <c r="M519" i="17"/>
  <c r="M604" i="17"/>
  <c r="M556" i="17"/>
  <c r="M486" i="17"/>
  <c r="M438" i="17"/>
  <c r="M398" i="17"/>
  <c r="M358" i="17"/>
  <c r="M284" i="17"/>
  <c r="M244" i="17"/>
  <c r="M204" i="17"/>
  <c r="M156" i="17"/>
  <c r="M338" i="17"/>
  <c r="M280" i="17"/>
  <c r="M136" i="17"/>
  <c r="M245" i="17"/>
  <c r="M610" i="17"/>
  <c r="M436" i="17"/>
  <c r="M356" i="17"/>
  <c r="M282" i="17"/>
  <c r="M202" i="17"/>
  <c r="M122" i="17"/>
  <c r="M530" i="17"/>
  <c r="M501" i="17"/>
  <c r="M353" i="17"/>
  <c r="M145" i="17"/>
  <c r="M227" i="17"/>
  <c r="M579" i="17"/>
  <c r="M546" i="17"/>
  <c r="M507" i="17"/>
  <c r="M467" i="17"/>
  <c r="M419" i="17"/>
  <c r="M415" i="17"/>
  <c r="M367" i="17"/>
  <c r="M327" i="17"/>
  <c r="M197" i="17"/>
  <c r="M163" i="17"/>
  <c r="M15" i="17"/>
  <c r="M71" i="17"/>
  <c r="M93" i="17"/>
  <c r="M119" i="17"/>
  <c r="M34" i="17"/>
  <c r="M66" i="17"/>
  <c r="M94" i="17"/>
  <c r="M53" i="17"/>
  <c r="M341" i="17"/>
  <c r="M405" i="17"/>
  <c r="M425" i="17"/>
  <c r="M481" i="17"/>
  <c r="M558" i="17"/>
  <c r="M591" i="17"/>
  <c r="M291" i="17"/>
  <c r="M174" i="17"/>
  <c r="M262" i="17"/>
  <c r="M328" i="17"/>
  <c r="M416" i="17"/>
  <c r="M496" i="17"/>
  <c r="M592" i="17"/>
  <c r="M569" i="17"/>
  <c r="M225" i="17"/>
  <c r="M305" i="17"/>
  <c r="M224" i="17"/>
  <c r="M458" i="17"/>
  <c r="M613" i="17"/>
  <c r="M450" i="17"/>
  <c r="M200" i="17"/>
  <c r="M205" i="17"/>
  <c r="M396" i="17"/>
  <c r="M162" i="17"/>
  <c r="M522" i="17"/>
  <c r="M329" i="17"/>
  <c r="M235" i="17"/>
  <c r="M439" i="17"/>
  <c r="M27" i="17"/>
  <c r="M48" i="17"/>
  <c r="M68" i="17"/>
  <c r="M463" i="17"/>
  <c r="M570" i="17"/>
  <c r="M67" i="17"/>
  <c r="M596" i="17"/>
  <c r="M470" i="17"/>
  <c r="M430" i="17"/>
  <c r="M390" i="17"/>
  <c r="M342" i="17"/>
  <c r="M276" i="17"/>
  <c r="M236" i="17"/>
  <c r="M188" i="17"/>
  <c r="M605" i="17"/>
  <c r="M564" i="17"/>
  <c r="M466" i="17"/>
  <c r="M248" i="17"/>
  <c r="M309" i="17"/>
  <c r="M229" i="17"/>
  <c r="M581" i="17"/>
  <c r="M500" i="17"/>
  <c r="M420" i="17"/>
  <c r="M340" i="17"/>
  <c r="M266" i="17"/>
  <c r="M186" i="17"/>
  <c r="M295" i="17"/>
  <c r="M582" i="17"/>
  <c r="M469" i="17"/>
  <c r="M337" i="17"/>
  <c r="M113" i="17"/>
  <c r="M211" i="17"/>
  <c r="M563" i="17"/>
  <c r="M528" i="17"/>
  <c r="M537" i="17"/>
  <c r="M499" i="17"/>
  <c r="M451" i="17"/>
  <c r="M399" i="17"/>
  <c r="M359" i="17"/>
  <c r="M319" i="17"/>
  <c r="M165" i="17"/>
  <c r="M147" i="17"/>
  <c r="M31" i="17"/>
  <c r="M95" i="17"/>
  <c r="M109" i="17"/>
  <c r="M14" i="17"/>
  <c r="M46" i="17"/>
  <c r="M74" i="17"/>
  <c r="M98" i="17"/>
  <c r="M13" i="17"/>
  <c r="M73" i="17"/>
  <c r="M365" i="17"/>
  <c r="M413" i="17"/>
  <c r="M433" i="17"/>
  <c r="M497" i="17"/>
  <c r="M534" i="17"/>
  <c r="M223" i="17"/>
  <c r="M118" i="17"/>
  <c r="M206" i="17"/>
  <c r="M294" i="17"/>
  <c r="M360" i="17"/>
  <c r="M448" i="17"/>
  <c r="M606" i="17"/>
  <c r="M257" i="17"/>
  <c r="M132" i="17"/>
  <c r="M288" i="17"/>
  <c r="M362" i="17"/>
  <c r="M322" i="17"/>
  <c r="M112" i="17"/>
  <c r="M573" i="17"/>
  <c r="M508" i="17"/>
  <c r="M332" i="17"/>
  <c r="M274" i="17"/>
  <c r="M287" i="17"/>
  <c r="M477" i="17"/>
  <c r="M355" i="17"/>
  <c r="M141" i="17"/>
  <c r="M69" i="17"/>
  <c r="M88" i="17"/>
  <c r="M195" i="17"/>
  <c r="M19" i="17"/>
  <c r="M25" i="17"/>
  <c r="M347" i="17"/>
  <c r="M175" i="17"/>
  <c r="M379" i="17"/>
  <c r="M609" i="17"/>
  <c r="M502" i="17"/>
  <c r="M462" i="17"/>
  <c r="M422" i="17"/>
  <c r="M374" i="17"/>
  <c r="M334" i="17"/>
  <c r="M308" i="17"/>
  <c r="M268" i="17"/>
  <c r="M220" i="17"/>
  <c r="M180" i="17"/>
  <c r="M608" i="17"/>
  <c r="M434" i="17"/>
  <c r="M184" i="17"/>
  <c r="M293" i="17"/>
  <c r="M213" i="17"/>
  <c r="M549" i="17"/>
  <c r="M568" i="17"/>
  <c r="M484" i="17"/>
  <c r="M404" i="17"/>
  <c r="M250" i="17"/>
  <c r="M154" i="17"/>
  <c r="M279" i="17"/>
  <c r="M567" i="17"/>
  <c r="M531" i="17"/>
  <c r="M453" i="17"/>
  <c r="M401" i="17"/>
  <c r="M325" i="17"/>
  <c r="M177" i="17"/>
  <c r="M187" i="17"/>
  <c r="M594" i="17"/>
  <c r="M529" i="17"/>
  <c r="M483" i="17"/>
  <c r="M443" i="17"/>
  <c r="M391" i="17"/>
  <c r="M351" i="17"/>
  <c r="M149" i="17"/>
  <c r="M131" i="17"/>
  <c r="M47" i="17"/>
  <c r="M103" i="17"/>
  <c r="M191" i="17"/>
  <c r="M26" i="17"/>
  <c r="M50" i="17"/>
  <c r="M78" i="17"/>
  <c r="M21" i="17"/>
  <c r="M105" i="17"/>
  <c r="M373" i="17"/>
  <c r="M457" i="17"/>
  <c r="M513" i="17"/>
  <c r="M542" i="17"/>
  <c r="M239" i="17"/>
  <c r="M134" i="17"/>
  <c r="M214" i="17"/>
  <c r="M302" i="17"/>
  <c r="M368" i="17"/>
  <c r="M456" i="17"/>
  <c r="M603" i="17"/>
  <c r="M265" i="17"/>
  <c r="M148" i="17"/>
  <c r="M304" i="17"/>
  <c r="M378" i="17"/>
  <c r="M301" i="17"/>
  <c r="M557" i="17"/>
  <c r="M552" i="17"/>
  <c r="M492" i="17"/>
  <c r="M316" i="17"/>
  <c r="M242" i="17"/>
  <c r="M271" i="17"/>
  <c r="M461" i="17"/>
  <c r="M586" i="17"/>
  <c r="M171" i="17"/>
  <c r="M101" i="17"/>
  <c r="M104" i="17"/>
  <c r="M587" i="17"/>
  <c r="M395" i="17"/>
  <c r="M51" i="17"/>
  <c r="M57" i="17"/>
  <c r="M28" i="17"/>
  <c r="M315" i="17"/>
  <c r="M628" i="17"/>
  <c r="F627" i="17"/>
  <c r="E627" i="17"/>
  <c r="N627" i="17"/>
  <c r="M627" i="17"/>
  <c r="J627" i="17"/>
  <c r="D627" i="17"/>
  <c r="L627" i="17"/>
  <c r="K627" i="17"/>
  <c r="I627" i="17"/>
  <c r="T627" i="17"/>
  <c r="S627" i="17"/>
  <c r="C627" i="17"/>
  <c r="G627" i="17"/>
  <c r="H624" i="17"/>
  <c r="G624" i="17"/>
  <c r="H625" i="17"/>
  <c r="G625" i="17"/>
  <c r="W91" i="27" l="1"/>
  <c r="V131" i="17"/>
  <c r="V389" i="17"/>
  <c r="W389" i="17" s="1"/>
  <c r="V567" i="17"/>
  <c r="W567" i="17" s="1"/>
  <c r="W34" i="27"/>
  <c r="W89" i="27"/>
  <c r="V584" i="17"/>
  <c r="W584" i="17" s="1"/>
  <c r="V609" i="17"/>
  <c r="W609" i="17" s="1"/>
  <c r="V290" i="17"/>
  <c r="W290" i="17" s="1"/>
  <c r="V549" i="17"/>
  <c r="W549" i="17" s="1"/>
  <c r="V341" i="17"/>
  <c r="W341" i="17" s="1"/>
  <c r="AC301" i="17"/>
  <c r="X41" i="27"/>
  <c r="X20" i="27"/>
  <c r="V43" i="17"/>
  <c r="W43" i="17" s="1"/>
  <c r="W44" i="27"/>
  <c r="V84" i="17"/>
  <c r="W84" i="17" s="1"/>
  <c r="V599" i="17"/>
  <c r="W599" i="17" s="1"/>
  <c r="V220" i="17"/>
  <c r="W220" i="17" s="1"/>
  <c r="V324" i="17"/>
  <c r="W324" i="17" s="1"/>
  <c r="V464" i="17"/>
  <c r="W464" i="17" s="1"/>
  <c r="V605" i="17"/>
  <c r="W605" i="17" s="1"/>
  <c r="V589" i="17"/>
  <c r="W589" i="17" s="1"/>
  <c r="V403" i="17"/>
  <c r="W403" i="17" s="1"/>
  <c r="V32" i="17"/>
  <c r="W32" i="17" s="1"/>
  <c r="Q625" i="17"/>
  <c r="V516" i="17"/>
  <c r="W516" i="17" s="1"/>
  <c r="V427" i="17"/>
  <c r="W427" i="17" s="1"/>
  <c r="V85" i="17"/>
  <c r="W85" i="17" s="1"/>
  <c r="V594" i="17"/>
  <c r="W594" i="17" s="1"/>
  <c r="V338" i="17"/>
  <c r="W338" i="17" s="1"/>
  <c r="V213" i="17"/>
  <c r="W213" i="17" s="1"/>
  <c r="V88" i="17"/>
  <c r="W88" i="17" s="1"/>
  <c r="V372" i="17"/>
  <c r="W372" i="17" s="1"/>
  <c r="V162" i="17"/>
  <c r="W162" i="17" s="1"/>
  <c r="V546" i="17"/>
  <c r="W546" i="17" s="1"/>
  <c r="V485" i="17"/>
  <c r="W485" i="17" s="1"/>
  <c r="V40" i="17"/>
  <c r="W40" i="17" s="1"/>
  <c r="X18" i="27"/>
  <c r="X90" i="27"/>
  <c r="W40" i="27"/>
  <c r="X23" i="27"/>
  <c r="X31" i="27"/>
  <c r="W43" i="27"/>
  <c r="X85" i="27"/>
  <c r="W48" i="27"/>
  <c r="X47" i="27"/>
  <c r="W84" i="27"/>
  <c r="X36" i="27"/>
  <c r="X46" i="27"/>
  <c r="X94" i="27"/>
  <c r="V556" i="17"/>
  <c r="W556" i="17" s="1"/>
  <c r="V559" i="17"/>
  <c r="W559" i="17" s="1"/>
  <c r="AC255" i="17"/>
  <c r="V266" i="17"/>
  <c r="W266" i="17" s="1"/>
  <c r="V57" i="17"/>
  <c r="W57" i="17" s="1"/>
  <c r="X21" i="27"/>
  <c r="V565" i="17"/>
  <c r="W565" i="17" s="1"/>
  <c r="V114" i="17"/>
  <c r="W114" i="17" s="1"/>
  <c r="V63" i="17"/>
  <c r="W63" i="17" s="1"/>
  <c r="X95" i="27"/>
  <c r="X35" i="27"/>
  <c r="V420" i="17"/>
  <c r="W420" i="17" s="1"/>
  <c r="V561" i="17"/>
  <c r="W561" i="17" s="1"/>
  <c r="V294" i="17"/>
  <c r="W294" i="17" s="1"/>
  <c r="V469" i="17"/>
  <c r="W469" i="17" s="1"/>
  <c r="AC325" i="17"/>
  <c r="V50" i="17"/>
  <c r="W50" i="17" s="1"/>
  <c r="V484" i="17"/>
  <c r="W484" i="17" s="1"/>
  <c r="V560" i="17"/>
  <c r="W560" i="17" s="1"/>
  <c r="V574" i="17"/>
  <c r="W574" i="17" s="1"/>
  <c r="V250" i="17"/>
  <c r="W250" i="17" s="1"/>
  <c r="V571" i="17"/>
  <c r="W571" i="17" s="1"/>
  <c r="X24" i="27"/>
  <c r="W16" i="27"/>
  <c r="W25" i="27"/>
  <c r="X26" i="27"/>
  <c r="X32" i="27"/>
  <c r="U578" i="17"/>
  <c r="Y578" i="17" s="1"/>
  <c r="V463" i="17"/>
  <c r="W463" i="17" s="1"/>
  <c r="W80" i="27"/>
  <c r="X81" i="27"/>
  <c r="W37" i="27"/>
  <c r="W49" i="27"/>
  <c r="X19" i="27"/>
  <c r="W83" i="27"/>
  <c r="X86" i="27"/>
  <c r="AA37" i="27"/>
  <c r="AB37" i="27"/>
  <c r="AA25" i="27"/>
  <c r="AB25" i="27"/>
  <c r="AB24" i="27"/>
  <c r="AA24" i="27"/>
  <c r="AB26" i="27"/>
  <c r="AA26" i="27"/>
  <c r="AB32" i="27"/>
  <c r="AA32" i="27"/>
  <c r="AB16" i="27"/>
  <c r="AA16" i="27"/>
  <c r="AB19" i="27"/>
  <c r="AA19" i="27"/>
  <c r="AB86" i="27"/>
  <c r="AA86" i="27"/>
  <c r="AA81" i="27"/>
  <c r="AB81" i="27"/>
  <c r="AB84" i="27"/>
  <c r="AA84" i="27"/>
  <c r="AB80" i="27"/>
  <c r="AA80" i="27"/>
  <c r="AB44" i="27"/>
  <c r="AA44" i="27"/>
  <c r="AA49" i="27"/>
  <c r="AB49" i="27"/>
  <c r="AA41" i="27"/>
  <c r="AB41" i="27"/>
  <c r="AB91" i="27"/>
  <c r="AA91" i="27"/>
  <c r="AB20" i="27"/>
  <c r="AA20" i="27"/>
  <c r="AB83" i="27"/>
  <c r="AA83" i="27"/>
  <c r="AA61" i="27"/>
  <c r="AB61" i="27"/>
  <c r="AA17" i="27"/>
  <c r="AB17" i="27"/>
  <c r="AA57" i="27"/>
  <c r="AB57" i="27"/>
  <c r="AB51" i="27"/>
  <c r="AA51" i="27"/>
  <c r="AA65" i="27"/>
  <c r="AB65" i="27"/>
  <c r="AB68" i="27"/>
  <c r="AA68" i="27"/>
  <c r="AB95" i="27"/>
  <c r="AA95" i="27"/>
  <c r="AB35" i="27"/>
  <c r="AA35" i="27"/>
  <c r="AB46" i="27"/>
  <c r="AA46" i="27"/>
  <c r="AB31" i="27"/>
  <c r="AA31" i="27"/>
  <c r="AB90" i="27"/>
  <c r="AA90" i="27"/>
  <c r="AB36" i="27"/>
  <c r="AA36" i="27"/>
  <c r="AB94" i="27"/>
  <c r="AA94" i="27"/>
  <c r="AA85" i="27"/>
  <c r="AB85" i="27"/>
  <c r="AA21" i="27"/>
  <c r="AB21" i="27"/>
  <c r="AB23" i="27"/>
  <c r="AA23" i="27"/>
  <c r="AB40" i="27"/>
  <c r="AA40" i="27"/>
  <c r="AB34" i="27"/>
  <c r="AA34" i="27"/>
  <c r="AB43" i="27"/>
  <c r="AA43" i="27"/>
  <c r="AB47" i="27"/>
  <c r="AA47" i="27"/>
  <c r="AB48" i="27"/>
  <c r="AA48" i="27"/>
  <c r="AA89" i="27"/>
  <c r="AB89" i="27"/>
  <c r="AB18" i="27"/>
  <c r="AA18" i="27"/>
  <c r="V96" i="27"/>
  <c r="W96" i="27" s="1"/>
  <c r="Z96" i="27"/>
  <c r="V79" i="27"/>
  <c r="X79" i="27" s="1"/>
  <c r="Z79" i="27"/>
  <c r="V55" i="27"/>
  <c r="X55" i="27" s="1"/>
  <c r="Z55" i="27"/>
  <c r="V72" i="27"/>
  <c r="X72" i="27" s="1"/>
  <c r="Z72" i="27"/>
  <c r="V29" i="27"/>
  <c r="W29" i="27" s="1"/>
  <c r="Z29" i="27"/>
  <c r="V64" i="27"/>
  <c r="W64" i="27" s="1"/>
  <c r="Z64" i="27"/>
  <c r="V60" i="27"/>
  <c r="X60" i="27" s="1"/>
  <c r="Z60" i="27"/>
  <c r="V28" i="27"/>
  <c r="X28" i="27" s="1"/>
  <c r="Z28" i="27"/>
  <c r="V66" i="27"/>
  <c r="X66" i="27" s="1"/>
  <c r="Z66" i="27"/>
  <c r="V30" i="27"/>
  <c r="X30" i="27" s="1"/>
  <c r="Z30" i="27"/>
  <c r="V92" i="27"/>
  <c r="W92" i="27" s="1"/>
  <c r="Z92" i="27"/>
  <c r="V69" i="27"/>
  <c r="W69" i="27" s="1"/>
  <c r="Z69" i="27"/>
  <c r="V76" i="27"/>
  <c r="W76" i="27" s="1"/>
  <c r="Z76" i="27"/>
  <c r="V78" i="27"/>
  <c r="W78" i="27" s="1"/>
  <c r="Z78" i="27"/>
  <c r="V88" i="27"/>
  <c r="X88" i="27" s="1"/>
  <c r="Z88" i="27"/>
  <c r="V45" i="27"/>
  <c r="W45" i="27" s="1"/>
  <c r="Z45" i="27"/>
  <c r="V93" i="27"/>
  <c r="X93" i="27" s="1"/>
  <c r="Z93" i="27"/>
  <c r="V59" i="27"/>
  <c r="W59" i="27" s="1"/>
  <c r="Z59" i="27"/>
  <c r="V39" i="27"/>
  <c r="X39" i="27" s="1"/>
  <c r="Z39" i="27"/>
  <c r="V27" i="27"/>
  <c r="X27" i="27" s="1"/>
  <c r="Z27" i="27"/>
  <c r="V70" i="27"/>
  <c r="X70" i="27" s="1"/>
  <c r="Z70" i="27"/>
  <c r="V53" i="27"/>
  <c r="W53" i="27" s="1"/>
  <c r="Z53" i="27"/>
  <c r="V75" i="27"/>
  <c r="W75" i="27" s="1"/>
  <c r="Z75" i="27"/>
  <c r="V77" i="27"/>
  <c r="X77" i="27" s="1"/>
  <c r="Z77" i="27"/>
  <c r="V52" i="27"/>
  <c r="W52" i="27" s="1"/>
  <c r="Z52" i="27"/>
  <c r="V56" i="27"/>
  <c r="W56" i="27" s="1"/>
  <c r="Z56" i="27"/>
  <c r="V71" i="27"/>
  <c r="W71" i="27" s="1"/>
  <c r="Z71" i="27"/>
  <c r="V63" i="27"/>
  <c r="W63" i="27" s="1"/>
  <c r="Z63" i="27"/>
  <c r="V33" i="27"/>
  <c r="W33" i="27" s="1"/>
  <c r="Z33" i="27"/>
  <c r="V58" i="27"/>
  <c r="X58" i="27" s="1"/>
  <c r="Z58" i="27"/>
  <c r="V14" i="27"/>
  <c r="X14" i="27" s="1"/>
  <c r="Z14" i="27"/>
  <c r="V15" i="27"/>
  <c r="X15" i="27" s="1"/>
  <c r="Z15" i="27"/>
  <c r="V42" i="27"/>
  <c r="W42" i="27" s="1"/>
  <c r="Z42" i="27"/>
  <c r="V97" i="27"/>
  <c r="X97" i="27" s="1"/>
  <c r="Z97" i="27"/>
  <c r="V50" i="27"/>
  <c r="W50" i="27" s="1"/>
  <c r="Z50" i="27"/>
  <c r="V74" i="27"/>
  <c r="W74" i="27" s="1"/>
  <c r="Z74" i="27"/>
  <c r="V73" i="27"/>
  <c r="X73" i="27" s="1"/>
  <c r="Z73" i="27"/>
  <c r="V54" i="27"/>
  <c r="W54" i="27" s="1"/>
  <c r="Z54" i="27"/>
  <c r="V82" i="27"/>
  <c r="X82" i="27" s="1"/>
  <c r="Z82" i="27"/>
  <c r="V38" i="27"/>
  <c r="W38" i="27" s="1"/>
  <c r="Z38" i="27"/>
  <c r="V62" i="27"/>
  <c r="X62" i="27" s="1"/>
  <c r="Z62" i="27"/>
  <c r="V67" i="27"/>
  <c r="X67" i="27" s="1"/>
  <c r="Z67" i="27"/>
  <c r="V87" i="27"/>
  <c r="W87" i="27" s="1"/>
  <c r="Z87" i="27"/>
  <c r="V22" i="27"/>
  <c r="X22" i="27" s="1"/>
  <c r="Z22" i="27"/>
  <c r="X13" i="27"/>
  <c r="AE13" i="27" s="1"/>
  <c r="Z13" i="27"/>
  <c r="V376" i="17"/>
  <c r="W376" i="17" s="1"/>
  <c r="V363" i="17"/>
  <c r="W363" i="17" s="1"/>
  <c r="V246" i="17"/>
  <c r="W246" i="17" s="1"/>
  <c r="V425" i="17"/>
  <c r="W425" i="17" s="1"/>
  <c r="V297" i="17"/>
  <c r="W297" i="17" s="1"/>
  <c r="V117" i="17"/>
  <c r="W117" i="17" s="1"/>
  <c r="V53" i="17"/>
  <c r="W53" i="17" s="1"/>
  <c r="V444" i="17"/>
  <c r="W444" i="17" s="1"/>
  <c r="V119" i="17"/>
  <c r="W119" i="17" s="1"/>
  <c r="V322" i="17"/>
  <c r="W322" i="17" s="1"/>
  <c r="V97" i="17"/>
  <c r="W97" i="17" s="1"/>
  <c r="AC136" i="17"/>
  <c r="V374" i="17"/>
  <c r="W374" i="17" s="1"/>
  <c r="U101" i="17"/>
  <c r="Y101" i="17" s="1"/>
  <c r="AB211" i="17"/>
  <c r="U305" i="17"/>
  <c r="Y305" i="17" s="1"/>
  <c r="U317" i="17"/>
  <c r="Y317" i="17" s="1"/>
  <c r="U137" i="17"/>
  <c r="Y137" i="17" s="1"/>
  <c r="AB525" i="17"/>
  <c r="V415" i="17"/>
  <c r="W415" i="17" s="1"/>
  <c r="AC602" i="17"/>
  <c r="V490" i="17"/>
  <c r="W490" i="17" s="1"/>
  <c r="V137" i="17"/>
  <c r="W137" i="17" s="1"/>
  <c r="V121" i="17"/>
  <c r="W121" i="17" s="1"/>
  <c r="V23" i="17"/>
  <c r="W23" i="17" s="1"/>
  <c r="U439" i="17"/>
  <c r="Y439" i="17" s="1"/>
  <c r="U546" i="17"/>
  <c r="Y546" i="17" s="1"/>
  <c r="U150" i="17"/>
  <c r="Y150" i="17" s="1"/>
  <c r="U590" i="17"/>
  <c r="Y590" i="17" s="1"/>
  <c r="U376" i="17"/>
  <c r="Y376" i="17" s="1"/>
  <c r="U504" i="17"/>
  <c r="Y504" i="17" s="1"/>
  <c r="U123" i="17"/>
  <c r="Y123" i="17" s="1"/>
  <c r="U308" i="17"/>
  <c r="Y308" i="17" s="1"/>
  <c r="V440" i="17"/>
  <c r="W440" i="17" s="1"/>
  <c r="V452" i="17"/>
  <c r="W452" i="17" s="1"/>
  <c r="V46" i="17"/>
  <c r="W46" i="17" s="1"/>
  <c r="V555" i="17"/>
  <c r="W555" i="17" s="1"/>
  <c r="V588" i="17"/>
  <c r="W588" i="17" s="1"/>
  <c r="V280" i="17"/>
  <c r="W280" i="17" s="1"/>
  <c r="V304" i="17"/>
  <c r="W304" i="17" s="1"/>
  <c r="V483" i="17"/>
  <c r="W483" i="17" s="1"/>
  <c r="V387" i="17"/>
  <c r="W387" i="17" s="1"/>
  <c r="V227" i="17"/>
  <c r="W227" i="17" s="1"/>
  <c r="V106" i="17"/>
  <c r="W106" i="17" s="1"/>
  <c r="V446" i="17"/>
  <c r="W446" i="17" s="1"/>
  <c r="V254" i="17"/>
  <c r="W254" i="17" s="1"/>
  <c r="V513" i="17"/>
  <c r="W513" i="17" s="1"/>
  <c r="V385" i="17"/>
  <c r="W385" i="17" s="1"/>
  <c r="V20" i="17"/>
  <c r="W20" i="17" s="1"/>
  <c r="U103" i="17"/>
  <c r="Y103" i="17" s="1"/>
  <c r="AB534" i="17"/>
  <c r="U229" i="17"/>
  <c r="Y229" i="17" s="1"/>
  <c r="U496" i="17"/>
  <c r="Y496" i="17" s="1"/>
  <c r="AB119" i="17"/>
  <c r="AB550" i="17"/>
  <c r="U167" i="17"/>
  <c r="Y167" i="17" s="1"/>
  <c r="AB538" i="17"/>
  <c r="U455" i="17"/>
  <c r="Y455" i="17" s="1"/>
  <c r="AB372" i="17"/>
  <c r="U381" i="17"/>
  <c r="Y381" i="17" s="1"/>
  <c r="AC328" i="17"/>
  <c r="V585" i="17"/>
  <c r="W585" i="17" s="1"/>
  <c r="AC477" i="17"/>
  <c r="V221" i="17"/>
  <c r="W221" i="17" s="1"/>
  <c r="V422" i="17"/>
  <c r="W422" i="17" s="1"/>
  <c r="V361" i="17"/>
  <c r="W361" i="17" s="1"/>
  <c r="V101" i="17"/>
  <c r="W101" i="17" s="1"/>
  <c r="V83" i="17"/>
  <c r="W83" i="17" s="1"/>
  <c r="V19" i="17"/>
  <c r="W19" i="17" s="1"/>
  <c r="V383" i="17"/>
  <c r="W383" i="17" s="1"/>
  <c r="V367" i="17"/>
  <c r="W367" i="17" s="1"/>
  <c r="AC426" i="17"/>
  <c r="V429" i="17"/>
  <c r="W429" i="17" s="1"/>
  <c r="U311" i="17"/>
  <c r="Y311" i="17" s="1"/>
  <c r="V360" i="17"/>
  <c r="W360" i="17" s="1"/>
  <c r="V519" i="17"/>
  <c r="W519" i="17" s="1"/>
  <c r="V307" i="17"/>
  <c r="W307" i="17" s="1"/>
  <c r="V542" i="17"/>
  <c r="W542" i="17" s="1"/>
  <c r="V238" i="17"/>
  <c r="W238" i="17" s="1"/>
  <c r="V305" i="17"/>
  <c r="W305" i="17" s="1"/>
  <c r="V225" i="17"/>
  <c r="W225" i="17" s="1"/>
  <c r="V61" i="17"/>
  <c r="W61" i="17" s="1"/>
  <c r="V75" i="17"/>
  <c r="W75" i="17" s="1"/>
  <c r="AC321" i="17"/>
  <c r="U148" i="17"/>
  <c r="Y148" i="17" s="1"/>
  <c r="U279" i="17"/>
  <c r="Y279" i="17" s="1"/>
  <c r="U46" i="17"/>
  <c r="Y46" i="17" s="1"/>
  <c r="AB31" i="17"/>
  <c r="U309" i="17"/>
  <c r="Y309" i="17" s="1"/>
  <c r="U245" i="17"/>
  <c r="Y245" i="17" s="1"/>
  <c r="U384" i="17"/>
  <c r="Y384" i="17" s="1"/>
  <c r="U431" i="17"/>
  <c r="Y431" i="17" s="1"/>
  <c r="U510" i="17"/>
  <c r="Y510" i="17" s="1"/>
  <c r="U382" i="17"/>
  <c r="Y382" i="17" s="1"/>
  <c r="U498" i="17"/>
  <c r="Y498" i="17" s="1"/>
  <c r="U106" i="17"/>
  <c r="Y106" i="17" s="1"/>
  <c r="U397" i="17"/>
  <c r="Y397" i="17" s="1"/>
  <c r="U598" i="17"/>
  <c r="Y598" i="17" s="1"/>
  <c r="U253" i="17"/>
  <c r="Y253" i="17" s="1"/>
  <c r="U143" i="17"/>
  <c r="Y143" i="17" s="1"/>
  <c r="U473" i="17"/>
  <c r="Y473" i="17" s="1"/>
  <c r="U189" i="17"/>
  <c r="Y189" i="17" s="1"/>
  <c r="U43" i="17"/>
  <c r="Y43" i="17" s="1"/>
  <c r="U64" i="17"/>
  <c r="Y64" i="17" s="1"/>
  <c r="U199" i="17"/>
  <c r="Y199" i="17" s="1"/>
  <c r="U232" i="17"/>
  <c r="Y232" i="17" s="1"/>
  <c r="I625" i="17"/>
  <c r="L625" i="17"/>
  <c r="F625" i="17"/>
  <c r="M625" i="17"/>
  <c r="U185" i="17"/>
  <c r="Y185" i="17" s="1"/>
  <c r="U479" i="17"/>
  <c r="Y479" i="17" s="1"/>
  <c r="V344" i="17"/>
  <c r="W344" i="17" s="1"/>
  <c r="V175" i="17"/>
  <c r="W175" i="17" s="1"/>
  <c r="V449" i="17"/>
  <c r="W449" i="17" s="1"/>
  <c r="V321" i="17"/>
  <c r="W321" i="17" s="1"/>
  <c r="V139" i="17"/>
  <c r="W139" i="17" s="1"/>
  <c r="V91" i="17"/>
  <c r="W91" i="17" s="1"/>
  <c r="J625" i="17"/>
  <c r="AC394" i="17"/>
  <c r="V202" i="17"/>
  <c r="W202" i="17" s="1"/>
  <c r="V461" i="17"/>
  <c r="W461" i="17" s="1"/>
  <c r="R625" i="17"/>
  <c r="AB484" i="17"/>
  <c r="U83" i="17"/>
  <c r="Y83" i="17" s="1"/>
  <c r="AC572" i="17"/>
  <c r="V62" i="17"/>
  <c r="W62" i="17" s="1"/>
  <c r="V351" i="17"/>
  <c r="W351" i="17" s="1"/>
  <c r="S625" i="17"/>
  <c r="U26" i="17"/>
  <c r="Y26" i="17" s="1"/>
  <c r="AB25" i="17"/>
  <c r="AB405" i="17"/>
  <c r="AB44" i="17"/>
  <c r="U324" i="17"/>
  <c r="Y324" i="17" s="1"/>
  <c r="U37" i="17"/>
  <c r="Y37" i="17" s="1"/>
  <c r="AB65" i="17"/>
  <c r="U111" i="17"/>
  <c r="Y111" i="17" s="1"/>
  <c r="V508" i="17"/>
  <c r="W508" i="17" s="1"/>
  <c r="V504" i="17"/>
  <c r="W504" i="17" s="1"/>
  <c r="V248" i="17"/>
  <c r="W248" i="17" s="1"/>
  <c r="V491" i="17"/>
  <c r="W491" i="17" s="1"/>
  <c r="V299" i="17"/>
  <c r="W299" i="17" s="1"/>
  <c r="V550" i="17"/>
  <c r="W550" i="17" s="1"/>
  <c r="V278" i="17"/>
  <c r="W278" i="17" s="1"/>
  <c r="V489" i="17"/>
  <c r="W489" i="17" s="1"/>
  <c r="V217" i="17"/>
  <c r="W217" i="17" s="1"/>
  <c r="V156" i="17"/>
  <c r="W156" i="17" s="1"/>
  <c r="O625" i="17"/>
  <c r="E625" i="17"/>
  <c r="D625" i="17"/>
  <c r="U395" i="17"/>
  <c r="Y395" i="17" s="1"/>
  <c r="AB347" i="17"/>
  <c r="U409" i="17"/>
  <c r="Y409" i="17" s="1"/>
  <c r="U388" i="17"/>
  <c r="Y388" i="17" s="1"/>
  <c r="U22" i="17"/>
  <c r="Y22" i="17" s="1"/>
  <c r="K625" i="17"/>
  <c r="N625" i="17"/>
  <c r="T625" i="17"/>
  <c r="C625" i="17"/>
  <c r="U191" i="17"/>
  <c r="Y191" i="17" s="1"/>
  <c r="U413" i="17"/>
  <c r="Y413" i="17" s="1"/>
  <c r="U367" i="17"/>
  <c r="Y367" i="17" s="1"/>
  <c r="U122" i="17"/>
  <c r="Y122" i="17" s="1"/>
  <c r="U280" i="17"/>
  <c r="U539" i="17"/>
  <c r="Y539" i="17" s="1"/>
  <c r="AB23" i="17"/>
  <c r="U54" i="17"/>
  <c r="Y54" i="17" s="1"/>
  <c r="U29" i="17"/>
  <c r="Y29" i="17" s="1"/>
  <c r="U84" i="17"/>
  <c r="Y84" i="17" s="1"/>
  <c r="U218" i="17"/>
  <c r="Y218" i="17" s="1"/>
  <c r="U468" i="17"/>
  <c r="Y468" i="17" s="1"/>
  <c r="V188" i="17"/>
  <c r="W188" i="17" s="1"/>
  <c r="V130" i="17"/>
  <c r="W130" i="17" s="1"/>
  <c r="V154" i="17"/>
  <c r="W154" i="17" s="1"/>
  <c r="V601" i="17"/>
  <c r="W601" i="17" s="1"/>
  <c r="V564" i="17"/>
  <c r="W564" i="17" s="1"/>
  <c r="V308" i="17"/>
  <c r="W308" i="17" s="1"/>
  <c r="V512" i="17"/>
  <c r="W512" i="17" s="1"/>
  <c r="V256" i="17"/>
  <c r="W256" i="17" s="1"/>
  <c r="V30" i="17"/>
  <c r="W30" i="17" s="1"/>
  <c r="V503" i="17"/>
  <c r="W503" i="17" s="1"/>
  <c r="V471" i="17"/>
  <c r="W471" i="17" s="1"/>
  <c r="V423" i="17"/>
  <c r="W423" i="17" s="1"/>
  <c r="V407" i="17"/>
  <c r="W407" i="17" s="1"/>
  <c r="V375" i="17"/>
  <c r="W375" i="17" s="1"/>
  <c r="V279" i="17"/>
  <c r="W279" i="17" s="1"/>
  <c r="V263" i="17"/>
  <c r="W263" i="17" s="1"/>
  <c r="V247" i="17"/>
  <c r="W247" i="17" s="1"/>
  <c r="V151" i="17"/>
  <c r="W151" i="17" s="1"/>
  <c r="AC58" i="17"/>
  <c r="V466" i="17"/>
  <c r="W466" i="17" s="1"/>
  <c r="V306" i="17"/>
  <c r="W306" i="17" s="1"/>
  <c r="V274" i="17"/>
  <c r="W274" i="17" s="1"/>
  <c r="AC174" i="17"/>
  <c r="V142" i="17"/>
  <c r="W142" i="17" s="1"/>
  <c r="V517" i="17"/>
  <c r="W517" i="17" s="1"/>
  <c r="V501" i="17"/>
  <c r="W501" i="17" s="1"/>
  <c r="V373" i="17"/>
  <c r="W373" i="17" s="1"/>
  <c r="V147" i="17"/>
  <c r="W147" i="17" s="1"/>
  <c r="V129" i="17"/>
  <c r="W129" i="17" s="1"/>
  <c r="V81" i="17"/>
  <c r="W81" i="17" s="1"/>
  <c r="U565" i="17"/>
  <c r="Y565" i="17" s="1"/>
  <c r="U532" i="17"/>
  <c r="Y532" i="17" s="1"/>
  <c r="AB76" i="17"/>
  <c r="V312" i="17"/>
  <c r="W312" i="17" s="1"/>
  <c r="V102" i="17"/>
  <c r="W102" i="17" s="1"/>
  <c r="V487" i="17"/>
  <c r="W487" i="17" s="1"/>
  <c r="U547" i="17"/>
  <c r="Y547" i="17" s="1"/>
  <c r="U82" i="17"/>
  <c r="Y82" i="17" s="1"/>
  <c r="U349" i="17"/>
  <c r="Y349" i="17" s="1"/>
  <c r="U135" i="17"/>
  <c r="Y135" i="17" s="1"/>
  <c r="AB222" i="17"/>
  <c r="V228" i="17"/>
  <c r="W228" i="17" s="1"/>
  <c r="V350" i="17"/>
  <c r="W350" i="17" s="1"/>
  <c r="V109" i="17"/>
  <c r="W109" i="17" s="1"/>
  <c r="AB88" i="17"/>
  <c r="AC480" i="17"/>
  <c r="AC253" i="17"/>
  <c r="V189" i="17"/>
  <c r="W189" i="17" s="1"/>
  <c r="V73" i="17"/>
  <c r="W73" i="17" s="1"/>
  <c r="U404" i="17"/>
  <c r="Y404" i="17" s="1"/>
  <c r="AB365" i="17"/>
  <c r="U95" i="17"/>
  <c r="Y95" i="17" s="1"/>
  <c r="U574" i="17"/>
  <c r="Y574" i="17" s="1"/>
  <c r="U331" i="17"/>
  <c r="Y331" i="17" s="1"/>
  <c r="U201" i="17"/>
  <c r="Y201" i="17" s="1"/>
  <c r="U585" i="17"/>
  <c r="Y585" i="17" s="1"/>
  <c r="U571" i="17"/>
  <c r="Y571" i="17" s="1"/>
  <c r="U607" i="17"/>
  <c r="Y607" i="17" s="1"/>
  <c r="V289" i="17"/>
  <c r="W289" i="17" s="1"/>
  <c r="U516" i="17"/>
  <c r="Y516" i="17" s="1"/>
  <c r="V562" i="17"/>
  <c r="W562" i="17" s="1"/>
  <c r="V408" i="17"/>
  <c r="W408" i="17" s="1"/>
  <c r="V216" i="17"/>
  <c r="W216" i="17" s="1"/>
  <c r="U353" i="17"/>
  <c r="Y353" i="17" s="1"/>
  <c r="U626" i="17"/>
  <c r="D636" i="17" s="1"/>
  <c r="V623" i="17"/>
  <c r="W623" i="17" s="1"/>
  <c r="V626" i="17"/>
  <c r="W626" i="17" s="1"/>
  <c r="V184" i="17"/>
  <c r="W184" i="17" s="1"/>
  <c r="U603" i="17"/>
  <c r="Y603" i="17" s="1"/>
  <c r="U250" i="17"/>
  <c r="Y250" i="17" s="1"/>
  <c r="U570" i="17"/>
  <c r="Y570" i="17" s="1"/>
  <c r="U522" i="17"/>
  <c r="Y522" i="17" s="1"/>
  <c r="U15" i="17"/>
  <c r="Y15" i="17" s="1"/>
  <c r="U436" i="17"/>
  <c r="Y436" i="17" s="1"/>
  <c r="U519" i="17"/>
  <c r="Y519" i="17" s="1"/>
  <c r="U553" i="17"/>
  <c r="Y553" i="17" s="1"/>
  <c r="U366" i="17"/>
  <c r="Y366" i="17" s="1"/>
  <c r="V439" i="17"/>
  <c r="W439" i="17" s="1"/>
  <c r="V327" i="17"/>
  <c r="W327" i="17" s="1"/>
  <c r="V231" i="17"/>
  <c r="W231" i="17" s="1"/>
  <c r="V242" i="17"/>
  <c r="W242" i="17" s="1"/>
  <c r="U104" i="17"/>
  <c r="Y104" i="17" s="1"/>
  <c r="U268" i="17"/>
  <c r="Y268" i="17" s="1"/>
  <c r="AB19" i="17"/>
  <c r="U223" i="17"/>
  <c r="Y223" i="17" s="1"/>
  <c r="U581" i="17"/>
  <c r="Y581" i="17" s="1"/>
  <c r="U27" i="17"/>
  <c r="Y27" i="17" s="1"/>
  <c r="U558" i="17"/>
  <c r="Y558" i="17" s="1"/>
  <c r="U393" i="17"/>
  <c r="Y393" i="17" s="1"/>
  <c r="AB52" i="17"/>
  <c r="U363" i="17"/>
  <c r="Y363" i="17" s="1"/>
  <c r="U555" i="17"/>
  <c r="Y555" i="17" s="1"/>
  <c r="V204" i="17"/>
  <c r="W204" i="17" s="1"/>
  <c r="V232" i="17"/>
  <c r="W232" i="17" s="1"/>
  <c r="U51" i="17"/>
  <c r="Y51" i="17" s="1"/>
  <c r="V414" i="17"/>
  <c r="W414" i="17" s="1"/>
  <c r="V34" i="17"/>
  <c r="W34" i="17" s="1"/>
  <c r="U628" i="17"/>
  <c r="F624" i="17"/>
  <c r="Q624" i="17"/>
  <c r="P624" i="17"/>
  <c r="O624" i="17"/>
  <c r="R624" i="17"/>
  <c r="U623" i="17"/>
  <c r="D633" i="17" s="1"/>
  <c r="V628" i="17"/>
  <c r="W628" i="17" s="1"/>
  <c r="U622" i="17"/>
  <c r="D632" i="17" s="1"/>
  <c r="V622" i="17"/>
  <c r="W622" i="17" s="1"/>
  <c r="U627" i="17"/>
  <c r="V627" i="17"/>
  <c r="W627" i="17" s="1"/>
  <c r="U265" i="17"/>
  <c r="Y265" i="17" s="1"/>
  <c r="AB542" i="17"/>
  <c r="U105" i="17"/>
  <c r="Y105" i="17" s="1"/>
  <c r="U453" i="17"/>
  <c r="Y453" i="17" s="1"/>
  <c r="U568" i="17"/>
  <c r="Y568" i="17" s="1"/>
  <c r="U204" i="17"/>
  <c r="Y204" i="17" s="1"/>
  <c r="U146" i="17"/>
  <c r="Y146" i="17" s="1"/>
  <c r="AB139" i="17"/>
  <c r="U49" i="17"/>
  <c r="Y49" i="17" s="1"/>
  <c r="AB129" i="17"/>
  <c r="U595" i="17"/>
  <c r="Y595" i="17" s="1"/>
  <c r="U589" i="17"/>
  <c r="Y589" i="17" s="1"/>
  <c r="U412" i="17"/>
  <c r="Y412" i="17" s="1"/>
  <c r="U130" i="17"/>
  <c r="U60" i="17"/>
  <c r="Y60" i="17" s="1"/>
  <c r="U20" i="17"/>
  <c r="Y20" i="17" s="1"/>
  <c r="U437" i="17"/>
  <c r="Y437" i="17" s="1"/>
  <c r="U300" i="17"/>
  <c r="Y300" i="17" s="1"/>
  <c r="U45" i="17"/>
  <c r="Y45" i="17" s="1"/>
  <c r="V268" i="17"/>
  <c r="W268" i="17" s="1"/>
  <c r="V604" i="17"/>
  <c r="W604" i="17" s="1"/>
  <c r="V260" i="17"/>
  <c r="W260" i="17" s="1"/>
  <c r="V94" i="17"/>
  <c r="W94" i="17" s="1"/>
  <c r="V539" i="17"/>
  <c r="W539" i="17" s="1"/>
  <c r="V475" i="17"/>
  <c r="W475" i="17" s="1"/>
  <c r="V411" i="17"/>
  <c r="W411" i="17" s="1"/>
  <c r="V347" i="17"/>
  <c r="W347" i="17" s="1"/>
  <c r="V283" i="17"/>
  <c r="W283" i="17" s="1"/>
  <c r="V219" i="17"/>
  <c r="W219" i="17" s="1"/>
  <c r="V127" i="17"/>
  <c r="W127" i="17" s="1"/>
  <c r="V14" i="17"/>
  <c r="W14" i="17" s="1"/>
  <c r="V502" i="17"/>
  <c r="W502" i="17" s="1"/>
  <c r="V454" i="17"/>
  <c r="W454" i="17" s="1"/>
  <c r="V310" i="17"/>
  <c r="W310" i="17" s="1"/>
  <c r="V198" i="17"/>
  <c r="W198" i="17" s="1"/>
  <c r="V473" i="17"/>
  <c r="W473" i="17" s="1"/>
  <c r="V409" i="17"/>
  <c r="W409" i="17" s="1"/>
  <c r="V345" i="17"/>
  <c r="W345" i="17" s="1"/>
  <c r="V249" i="17"/>
  <c r="W249" i="17" s="1"/>
  <c r="V155" i="17"/>
  <c r="W155" i="17" s="1"/>
  <c r="V149" i="17"/>
  <c r="W149" i="17" s="1"/>
  <c r="V140" i="17"/>
  <c r="W140" i="17" s="1"/>
  <c r="V76" i="17"/>
  <c r="W76" i="17" s="1"/>
  <c r="V28" i="17"/>
  <c r="W28" i="17" s="1"/>
  <c r="V67" i="17"/>
  <c r="W67" i="17" s="1"/>
  <c r="U274" i="17"/>
  <c r="Y274" i="17" s="1"/>
  <c r="V596" i="17"/>
  <c r="W596" i="17" s="1"/>
  <c r="V192" i="17"/>
  <c r="W192" i="17" s="1"/>
  <c r="AC311" i="17"/>
  <c r="V183" i="17"/>
  <c r="W183" i="17" s="1"/>
  <c r="V498" i="17"/>
  <c r="W498" i="17" s="1"/>
  <c r="AC402" i="17"/>
  <c r="V226" i="17"/>
  <c r="W226" i="17" s="1"/>
  <c r="V210" i="17"/>
  <c r="W210" i="17" s="1"/>
  <c r="AC38" i="17"/>
  <c r="V405" i="17"/>
  <c r="W405" i="17" s="1"/>
  <c r="V357" i="17"/>
  <c r="W357" i="17" s="1"/>
  <c r="AC293" i="17"/>
  <c r="AC277" i="17"/>
  <c r="V261" i="17"/>
  <c r="W261" i="17" s="1"/>
  <c r="AC161" i="17"/>
  <c r="V145" i="17"/>
  <c r="W145" i="17" s="1"/>
  <c r="V49" i="17"/>
  <c r="W49" i="17" s="1"/>
  <c r="V33" i="17"/>
  <c r="W33" i="17" s="1"/>
  <c r="V168" i="17"/>
  <c r="W168" i="17" s="1"/>
  <c r="V104" i="17"/>
  <c r="W104" i="17" s="1"/>
  <c r="V95" i="17"/>
  <c r="W95" i="17" s="1"/>
  <c r="V31" i="17"/>
  <c r="W31" i="17" s="1"/>
  <c r="U132" i="17"/>
  <c r="Y132" i="17" s="1"/>
  <c r="U267" i="17"/>
  <c r="Y267" i="17" s="1"/>
  <c r="U551" i="17"/>
  <c r="Y551" i="17" s="1"/>
  <c r="AB377" i="17"/>
  <c r="U314" i="17"/>
  <c r="Y314" i="17" s="1"/>
  <c r="V500" i="17"/>
  <c r="W500" i="17" s="1"/>
  <c r="V436" i="17"/>
  <c r="W436" i="17" s="1"/>
  <c r="AC608" i="17"/>
  <c r="V448" i="17"/>
  <c r="W448" i="17" s="1"/>
  <c r="V434" i="17"/>
  <c r="W434" i="17" s="1"/>
  <c r="AC386" i="17"/>
  <c r="U271" i="17"/>
  <c r="Y271" i="17" s="1"/>
  <c r="AB456" i="17"/>
  <c r="U462" i="17"/>
  <c r="Y462" i="17" s="1"/>
  <c r="U294" i="17"/>
  <c r="Y294" i="17" s="1"/>
  <c r="U319" i="17"/>
  <c r="Y319" i="17" s="1"/>
  <c r="U582" i="17"/>
  <c r="Y582" i="17" s="1"/>
  <c r="U450" i="17"/>
  <c r="Y450" i="17" s="1"/>
  <c r="U174" i="17"/>
  <c r="Y174" i="17" s="1"/>
  <c r="U481" i="17"/>
  <c r="Y481" i="17" s="1"/>
  <c r="U512" i="17"/>
  <c r="Y512" i="17" s="1"/>
  <c r="U168" i="17"/>
  <c r="Y168" i="17" s="1"/>
  <c r="AB445" i="17"/>
  <c r="AB127" i="17"/>
  <c r="U588" i="17"/>
  <c r="Y588" i="17" s="1"/>
  <c r="U292" i="17"/>
  <c r="Y292" i="17" s="1"/>
  <c r="U491" i="17"/>
  <c r="Y491" i="17" s="1"/>
  <c r="U375" i="17"/>
  <c r="Y375" i="17" s="1"/>
  <c r="U115" i="17"/>
  <c r="Y115" i="17" s="1"/>
  <c r="U527" i="17"/>
  <c r="Y527" i="17" s="1"/>
  <c r="AB544" i="17"/>
  <c r="U176" i="17"/>
  <c r="Y176" i="17" s="1"/>
  <c r="U495" i="17"/>
  <c r="Y495" i="17" s="1"/>
  <c r="AB55" i="17"/>
  <c r="U61" i="17"/>
  <c r="Y61" i="17" s="1"/>
  <c r="AB597" i="17"/>
  <c r="U584" i="17"/>
  <c r="U258" i="17"/>
  <c r="Y258" i="17" s="1"/>
  <c r="U85" i="17"/>
  <c r="Y85" i="17" s="1"/>
  <c r="AB428" i="17"/>
  <c r="U383" i="17"/>
  <c r="Y383" i="17" s="1"/>
  <c r="U320" i="17"/>
  <c r="Y320" i="17" s="1"/>
  <c r="AB297" i="17"/>
  <c r="V396" i="17"/>
  <c r="W396" i="17" s="1"/>
  <c r="V536" i="17"/>
  <c r="W536" i="17" s="1"/>
  <c r="V122" i="17"/>
  <c r="W122" i="17" s="1"/>
  <c r="V593" i="17"/>
  <c r="W593" i="17" s="1"/>
  <c r="V548" i="17"/>
  <c r="W548" i="17" s="1"/>
  <c r="V432" i="17"/>
  <c r="W432" i="17" s="1"/>
  <c r="V170" i="17"/>
  <c r="W170" i="17" s="1"/>
  <c r="V611" i="17"/>
  <c r="W611" i="17" s="1"/>
  <c r="V563" i="17"/>
  <c r="W563" i="17" s="1"/>
  <c r="V531" i="17"/>
  <c r="W531" i="17" s="1"/>
  <c r="V467" i="17"/>
  <c r="W467" i="17" s="1"/>
  <c r="V451" i="17"/>
  <c r="W451" i="17" s="1"/>
  <c r="V435" i="17"/>
  <c r="W435" i="17" s="1"/>
  <c r="V275" i="17"/>
  <c r="W275" i="17" s="1"/>
  <c r="V243" i="17"/>
  <c r="W243" i="17" s="1"/>
  <c r="V590" i="17"/>
  <c r="W590" i="17" s="1"/>
  <c r="V526" i="17"/>
  <c r="W526" i="17" s="1"/>
  <c r="V510" i="17"/>
  <c r="W510" i="17" s="1"/>
  <c r="V478" i="17"/>
  <c r="W478" i="17" s="1"/>
  <c r="V430" i="17"/>
  <c r="W430" i="17" s="1"/>
  <c r="V366" i="17"/>
  <c r="W366" i="17" s="1"/>
  <c r="V270" i="17"/>
  <c r="W270" i="17" s="1"/>
  <c r="V222" i="17"/>
  <c r="W222" i="17" s="1"/>
  <c r="V22" i="17"/>
  <c r="W22" i="17" s="1"/>
  <c r="V465" i="17"/>
  <c r="W465" i="17" s="1"/>
  <c r="V401" i="17"/>
  <c r="W401" i="17" s="1"/>
  <c r="V337" i="17"/>
  <c r="W337" i="17" s="1"/>
  <c r="V273" i="17"/>
  <c r="W273" i="17" s="1"/>
  <c r="V173" i="17"/>
  <c r="W173" i="17" s="1"/>
  <c r="V77" i="17"/>
  <c r="W77" i="17" s="1"/>
  <c r="V29" i="17"/>
  <c r="W29" i="17" s="1"/>
  <c r="V180" i="17"/>
  <c r="W180" i="17" s="1"/>
  <c r="V132" i="17"/>
  <c r="W132" i="17" s="1"/>
  <c r="V116" i="17"/>
  <c r="W116" i="17" s="1"/>
  <c r="V68" i="17"/>
  <c r="W68" i="17" s="1"/>
  <c r="V59" i="17"/>
  <c r="W59" i="17" s="1"/>
  <c r="V302" i="17"/>
  <c r="W302" i="17" s="1"/>
  <c r="V125" i="17"/>
  <c r="W125" i="17" s="1"/>
  <c r="V482" i="17"/>
  <c r="W482" i="17" s="1"/>
  <c r="V418" i="17"/>
  <c r="W418" i="17" s="1"/>
  <c r="V258" i="17"/>
  <c r="W258" i="17" s="1"/>
  <c r="V309" i="17"/>
  <c r="W309" i="17" s="1"/>
  <c r="V177" i="17"/>
  <c r="W177" i="17" s="1"/>
  <c r="V65" i="17"/>
  <c r="W65" i="17" s="1"/>
  <c r="V152" i="17"/>
  <c r="W152" i="17" s="1"/>
  <c r="V111" i="17"/>
  <c r="W111" i="17" s="1"/>
  <c r="U248" i="17"/>
  <c r="Y248" i="17" s="1"/>
  <c r="U591" i="17"/>
  <c r="Y591" i="17" s="1"/>
  <c r="U307" i="17"/>
  <c r="Y307" i="17" s="1"/>
  <c r="U228" i="17"/>
  <c r="Y228" i="17" s="1"/>
  <c r="AB602" i="17"/>
  <c r="U96" i="17"/>
  <c r="Y96" i="17" s="1"/>
  <c r="U92" i="17"/>
  <c r="Y92" i="17" s="1"/>
  <c r="U90" i="17"/>
  <c r="Y90" i="17" s="1"/>
  <c r="V252" i="17"/>
  <c r="W252" i="17" s="1"/>
  <c r="V524" i="17"/>
  <c r="W524" i="17" s="1"/>
  <c r="V577" i="17"/>
  <c r="W577" i="17" s="1"/>
  <c r="V208" i="17"/>
  <c r="W208" i="17" s="1"/>
  <c r="V459" i="17"/>
  <c r="W459" i="17" s="1"/>
  <c r="V395" i="17"/>
  <c r="W395" i="17" s="1"/>
  <c r="V331" i="17"/>
  <c r="W331" i="17" s="1"/>
  <c r="V267" i="17"/>
  <c r="W267" i="17" s="1"/>
  <c r="V203" i="17"/>
  <c r="W203" i="17" s="1"/>
  <c r="V518" i="17"/>
  <c r="W518" i="17" s="1"/>
  <c r="V470" i="17"/>
  <c r="W470" i="17" s="1"/>
  <c r="V230" i="17"/>
  <c r="W230" i="17" s="1"/>
  <c r="V150" i="17"/>
  <c r="W150" i="17" s="1"/>
  <c r="V118" i="17"/>
  <c r="W118" i="17" s="1"/>
  <c r="V54" i="17"/>
  <c r="W54" i="17" s="1"/>
  <c r="V569" i="17"/>
  <c r="W569" i="17" s="1"/>
  <c r="V553" i="17"/>
  <c r="W553" i="17" s="1"/>
  <c r="V281" i="17"/>
  <c r="W281" i="17" s="1"/>
  <c r="V201" i="17"/>
  <c r="W201" i="17" s="1"/>
  <c r="V181" i="17"/>
  <c r="W181" i="17" s="1"/>
  <c r="V37" i="17"/>
  <c r="W37" i="17" s="1"/>
  <c r="V124" i="17"/>
  <c r="W124" i="17" s="1"/>
  <c r="V108" i="17"/>
  <c r="W108" i="17" s="1"/>
  <c r="V60" i="17"/>
  <c r="W60" i="17" s="1"/>
  <c r="V51" i="17"/>
  <c r="W51" i="17" s="1"/>
  <c r="V79" i="17"/>
  <c r="W79" i="17" s="1"/>
  <c r="V15" i="17"/>
  <c r="W15" i="17" s="1"/>
  <c r="U242" i="17"/>
  <c r="Y242" i="17" s="1"/>
  <c r="U508" i="17"/>
  <c r="Y508" i="17" s="1"/>
  <c r="U359" i="17"/>
  <c r="Y359" i="17" s="1"/>
  <c r="U342" i="17"/>
  <c r="Y342" i="17" s="1"/>
  <c r="U235" i="17"/>
  <c r="Y235" i="17" s="1"/>
  <c r="U396" i="17"/>
  <c r="U116" i="17"/>
  <c r="Y116" i="17" s="1"/>
  <c r="U226" i="17"/>
  <c r="Y226" i="17" s="1"/>
  <c r="AB193" i="17"/>
  <c r="U18" i="17"/>
  <c r="Y18" i="17" s="1"/>
  <c r="U526" i="17"/>
  <c r="Y526" i="17" s="1"/>
  <c r="U217" i="17"/>
  <c r="Y217" i="17" s="1"/>
  <c r="U554" i="17"/>
  <c r="Y554" i="17" s="1"/>
  <c r="U114" i="17"/>
  <c r="Y114" i="17" s="1"/>
  <c r="AB219" i="17"/>
  <c r="V581" i="17"/>
  <c r="W581" i="17" s="1"/>
  <c r="V456" i="17"/>
  <c r="W456" i="17" s="1"/>
  <c r="AC212" i="17"/>
  <c r="V138" i="17"/>
  <c r="W138" i="17" s="1"/>
  <c r="V335" i="17"/>
  <c r="W335" i="17" s="1"/>
  <c r="V319" i="17"/>
  <c r="W319" i="17" s="1"/>
  <c r="V303" i="17"/>
  <c r="W303" i="17" s="1"/>
  <c r="V239" i="17"/>
  <c r="W239" i="17" s="1"/>
  <c r="V90" i="17"/>
  <c r="W90" i="17" s="1"/>
  <c r="V586" i="17"/>
  <c r="W586" i="17" s="1"/>
  <c r="V474" i="17"/>
  <c r="W474" i="17" s="1"/>
  <c r="V330" i="17"/>
  <c r="W330" i="17" s="1"/>
  <c r="V282" i="17"/>
  <c r="W282" i="17" s="1"/>
  <c r="V126" i="17"/>
  <c r="W126" i="17" s="1"/>
  <c r="V445" i="17"/>
  <c r="W445" i="17" s="1"/>
  <c r="V397" i="17"/>
  <c r="W397" i="17" s="1"/>
  <c r="V317" i="17"/>
  <c r="W317" i="17" s="1"/>
  <c r="V205" i="17"/>
  <c r="W205" i="17" s="1"/>
  <c r="AC82" i="17"/>
  <c r="V153" i="17"/>
  <c r="W153" i="17" s="1"/>
  <c r="V89" i="17"/>
  <c r="W89" i="17" s="1"/>
  <c r="V41" i="17"/>
  <c r="W41" i="17" s="1"/>
  <c r="V176" i="17"/>
  <c r="W176" i="17" s="1"/>
  <c r="V160" i="17"/>
  <c r="W160" i="17" s="1"/>
  <c r="V48" i="17"/>
  <c r="W48" i="17" s="1"/>
  <c r="V87" i="17"/>
  <c r="W87" i="17" s="1"/>
  <c r="V71" i="17"/>
  <c r="W71" i="17" s="1"/>
  <c r="U593" i="17"/>
  <c r="Y593" i="17" s="1"/>
  <c r="U159" i="17"/>
  <c r="Y159" i="17" s="1"/>
  <c r="U183" i="17"/>
  <c r="Y183" i="17" s="1"/>
  <c r="U251" i="17"/>
  <c r="Y251" i="17" s="1"/>
  <c r="U36" i="17"/>
  <c r="Y36" i="17" s="1"/>
  <c r="V455" i="17"/>
  <c r="W455" i="17" s="1"/>
  <c r="V17" i="17"/>
  <c r="W17" i="17" s="1"/>
  <c r="V424" i="17"/>
  <c r="W424" i="17" s="1"/>
  <c r="V296" i="17"/>
  <c r="W296" i="17" s="1"/>
  <c r="V370" i="17"/>
  <c r="W370" i="17" s="1"/>
  <c r="V354" i="17"/>
  <c r="W354" i="17" s="1"/>
  <c r="U172" i="17"/>
  <c r="Y172" i="17" s="1"/>
  <c r="V472" i="17"/>
  <c r="W472" i="17" s="1"/>
  <c r="V259" i="17"/>
  <c r="W259" i="17" s="1"/>
  <c r="V98" i="17"/>
  <c r="W98" i="17" s="1"/>
  <c r="V45" i="17"/>
  <c r="W45" i="17" s="1"/>
  <c r="V148" i="17"/>
  <c r="W148" i="17" s="1"/>
  <c r="V244" i="17"/>
  <c r="W244" i="17" s="1"/>
  <c r="V391" i="17"/>
  <c r="W391" i="17" s="1"/>
  <c r="V199" i="17"/>
  <c r="W199" i="17" s="1"/>
  <c r="U66" i="17"/>
  <c r="Y66" i="17" s="1"/>
  <c r="U541" i="17"/>
  <c r="Y541" i="17" s="1"/>
  <c r="V540" i="17"/>
  <c r="W540" i="17" s="1"/>
  <c r="AC110" i="17"/>
  <c r="V355" i="17"/>
  <c r="W355" i="17" s="1"/>
  <c r="V339" i="17"/>
  <c r="W339" i="17" s="1"/>
  <c r="V323" i="17"/>
  <c r="W323" i="17" s="1"/>
  <c r="V195" i="17"/>
  <c r="W195" i="17" s="1"/>
  <c r="V494" i="17"/>
  <c r="W494" i="17" s="1"/>
  <c r="V286" i="17"/>
  <c r="W286" i="17" s="1"/>
  <c r="V134" i="17"/>
  <c r="W134" i="17" s="1"/>
  <c r="V209" i="17"/>
  <c r="W209" i="17" s="1"/>
  <c r="V193" i="17"/>
  <c r="W193" i="17" s="1"/>
  <c r="V93" i="17"/>
  <c r="W93" i="17" s="1"/>
  <c r="V100" i="17"/>
  <c r="W100" i="17" s="1"/>
  <c r="V36" i="17"/>
  <c r="W36" i="17" s="1"/>
  <c r="V107" i="17"/>
  <c r="W107" i="17" s="1"/>
  <c r="U81" i="17"/>
  <c r="Y81" i="17" s="1"/>
  <c r="U73" i="17"/>
  <c r="Y73" i="17" s="1"/>
  <c r="V613" i="17"/>
  <c r="W613" i="17" s="1"/>
  <c r="V78" i="17"/>
  <c r="W78" i="17" s="1"/>
  <c r="U586" i="17"/>
  <c r="Y586" i="17" s="1"/>
  <c r="U154" i="17"/>
  <c r="Y154" i="17" s="1"/>
  <c r="U573" i="17"/>
  <c r="Y573" i="17" s="1"/>
  <c r="U147" i="17"/>
  <c r="Y147" i="17" s="1"/>
  <c r="U337" i="17"/>
  <c r="Y337" i="17" s="1"/>
  <c r="AB186" i="17"/>
  <c r="U67" i="17"/>
  <c r="Y67" i="17" s="1"/>
  <c r="AB48" i="17"/>
  <c r="U227" i="17"/>
  <c r="Y227" i="17" s="1"/>
  <c r="U545" i="17"/>
  <c r="Y545" i="17" s="1"/>
  <c r="U102" i="17"/>
  <c r="Y102" i="17" s="1"/>
  <c r="AB249" i="17"/>
  <c r="AB339" i="17"/>
  <c r="AB263" i="17"/>
  <c r="V300" i="17"/>
  <c r="W300" i="17" s="1"/>
  <c r="V264" i="17"/>
  <c r="W264" i="17" s="1"/>
  <c r="V200" i="17"/>
  <c r="W200" i="17" s="1"/>
  <c r="V468" i="17"/>
  <c r="W468" i="17" s="1"/>
  <c r="V276" i="17"/>
  <c r="W276" i="17" s="1"/>
  <c r="AC288" i="17"/>
  <c r="V224" i="17"/>
  <c r="W224" i="17" s="1"/>
  <c r="V511" i="17"/>
  <c r="W511" i="17" s="1"/>
  <c r="V495" i="17"/>
  <c r="W495" i="17" s="1"/>
  <c r="AC287" i="17"/>
  <c r="V223" i="17"/>
  <c r="W223" i="17" s="1"/>
  <c r="V26" i="17"/>
  <c r="W26" i="17" s="1"/>
  <c r="V410" i="17"/>
  <c r="W410" i="17" s="1"/>
  <c r="V314" i="17"/>
  <c r="W314" i="17" s="1"/>
  <c r="V298" i="17"/>
  <c r="W298" i="17" s="1"/>
  <c r="V186" i="17"/>
  <c r="W186" i="17" s="1"/>
  <c r="V158" i="17"/>
  <c r="W158" i="17" s="1"/>
  <c r="V557" i="17"/>
  <c r="W557" i="17" s="1"/>
  <c r="V413" i="17"/>
  <c r="W413" i="17" s="1"/>
  <c r="AC333" i="17"/>
  <c r="V237" i="17"/>
  <c r="W237" i="17" s="1"/>
  <c r="V105" i="17"/>
  <c r="W105" i="17" s="1"/>
  <c r="V144" i="17"/>
  <c r="W144" i="17" s="1"/>
  <c r="V64" i="17"/>
  <c r="W64" i="17" s="1"/>
  <c r="V103" i="17"/>
  <c r="W103" i="17" s="1"/>
  <c r="U315" i="17"/>
  <c r="Y315" i="17" s="1"/>
  <c r="U420" i="17"/>
  <c r="Y420" i="17" s="1"/>
  <c r="U387" i="17"/>
  <c r="Y387" i="17" s="1"/>
  <c r="U108" i="17"/>
  <c r="Y108" i="17" s="1"/>
  <c r="AB24" i="17"/>
  <c r="U259" i="17"/>
  <c r="Y259" i="17" s="1"/>
  <c r="V496" i="17"/>
  <c r="W496" i="17" s="1"/>
  <c r="V595" i="17"/>
  <c r="W595" i="17" s="1"/>
  <c r="V499" i="17"/>
  <c r="W499" i="17" s="1"/>
  <c r="U57" i="17"/>
  <c r="Y57" i="17" s="1"/>
  <c r="AB461" i="17"/>
  <c r="U549" i="17"/>
  <c r="Y549" i="17" s="1"/>
  <c r="AB109" i="17"/>
  <c r="AB563" i="17"/>
  <c r="U266" i="17"/>
  <c r="Y266" i="17" s="1"/>
  <c r="U236" i="17"/>
  <c r="Y236" i="17" s="1"/>
  <c r="U341" i="17"/>
  <c r="Y341" i="17" s="1"/>
  <c r="U34" i="17"/>
  <c r="Y34" i="17" s="1"/>
  <c r="U233" i="17"/>
  <c r="Y233" i="17" s="1"/>
  <c r="U100" i="17"/>
  <c r="Y100" i="17" s="1"/>
  <c r="AB243" i="17"/>
  <c r="U91" i="17"/>
  <c r="Y91" i="17" s="1"/>
  <c r="U80" i="17"/>
  <c r="Y80" i="17" s="1"/>
  <c r="U17" i="17"/>
  <c r="Y17" i="17" s="1"/>
  <c r="U30" i="17"/>
  <c r="Y30" i="17" s="1"/>
  <c r="V492" i="17"/>
  <c r="W492" i="17" s="1"/>
  <c r="V236" i="17"/>
  <c r="W236" i="17" s="1"/>
  <c r="V476" i="17"/>
  <c r="W476" i="17" s="1"/>
  <c r="V196" i="17"/>
  <c r="W196" i="17" s="1"/>
  <c r="V272" i="17"/>
  <c r="W272" i="17" s="1"/>
  <c r="V523" i="17"/>
  <c r="W523" i="17" s="1"/>
  <c r="V507" i="17"/>
  <c r="W507" i="17" s="1"/>
  <c r="V443" i="17"/>
  <c r="W443" i="17" s="1"/>
  <c r="V379" i="17"/>
  <c r="W379" i="17" s="1"/>
  <c r="V315" i="17"/>
  <c r="W315" i="17" s="1"/>
  <c r="V251" i="17"/>
  <c r="W251" i="17" s="1"/>
  <c r="V187" i="17"/>
  <c r="W187" i="17" s="1"/>
  <c r="V159" i="17"/>
  <c r="W159" i="17" s="1"/>
  <c r="V74" i="17"/>
  <c r="W74" i="17" s="1"/>
  <c r="V486" i="17"/>
  <c r="W486" i="17" s="1"/>
  <c r="V438" i="17"/>
  <c r="W438" i="17" s="1"/>
  <c r="V262" i="17"/>
  <c r="W262" i="17" s="1"/>
  <c r="V214" i="17"/>
  <c r="W214" i="17" s="1"/>
  <c r="V182" i="17"/>
  <c r="W182" i="17" s="1"/>
  <c r="V457" i="17"/>
  <c r="W457" i="17" s="1"/>
  <c r="V393" i="17"/>
  <c r="W393" i="17" s="1"/>
  <c r="V329" i="17"/>
  <c r="W329" i="17" s="1"/>
  <c r="V313" i="17"/>
  <c r="W313" i="17" s="1"/>
  <c r="V265" i="17"/>
  <c r="W265" i="17" s="1"/>
  <c r="V233" i="17"/>
  <c r="W233" i="17" s="1"/>
  <c r="V185" i="17"/>
  <c r="W185" i="17" s="1"/>
  <c r="V123" i="17"/>
  <c r="W123" i="17" s="1"/>
  <c r="V66" i="17"/>
  <c r="W66" i="17" s="1"/>
  <c r="V165" i="17"/>
  <c r="W165" i="17" s="1"/>
  <c r="V133" i="17"/>
  <c r="W133" i="17" s="1"/>
  <c r="V69" i="17"/>
  <c r="W69" i="17" s="1"/>
  <c r="V21" i="17"/>
  <c r="W21" i="17" s="1"/>
  <c r="V172" i="17"/>
  <c r="W172" i="17" s="1"/>
  <c r="V92" i="17"/>
  <c r="W92" i="17" s="1"/>
  <c r="V44" i="17"/>
  <c r="W44" i="17" s="1"/>
  <c r="V115" i="17"/>
  <c r="W115" i="17" s="1"/>
  <c r="V99" i="17"/>
  <c r="W99" i="17" s="1"/>
  <c r="V35" i="17"/>
  <c r="W35" i="17" s="1"/>
  <c r="U164" i="17"/>
  <c r="Y164" i="17" s="1"/>
  <c r="U444" i="17"/>
  <c r="Y444" i="17" s="1"/>
  <c r="AB313" i="17"/>
  <c r="U33" i="17"/>
  <c r="Y33" i="17" s="1"/>
  <c r="AC13" i="17"/>
  <c r="U97" i="17"/>
  <c r="Y97" i="17" s="1"/>
  <c r="U155" i="17"/>
  <c r="Y155" i="17" s="1"/>
  <c r="U559" i="17"/>
  <c r="Y559" i="17" s="1"/>
  <c r="AB335" i="17"/>
  <c r="U246" i="17"/>
  <c r="Y246" i="17" s="1"/>
  <c r="U125" i="17"/>
  <c r="Y125" i="17" s="1"/>
  <c r="U560" i="17"/>
  <c r="Y560" i="17" s="1"/>
  <c r="U283" i="17"/>
  <c r="Y283" i="17" s="1"/>
  <c r="V488" i="17"/>
  <c r="W488" i="17" s="1"/>
  <c r="V178" i="17"/>
  <c r="W178" i="17" s="1"/>
  <c r="V295" i="17"/>
  <c r="W295" i="17" s="1"/>
  <c r="V229" i="17"/>
  <c r="W229" i="17" s="1"/>
  <c r="V197" i="17"/>
  <c r="W197" i="17" s="1"/>
  <c r="V56" i="17"/>
  <c r="W56" i="17" s="1"/>
  <c r="U175" i="17"/>
  <c r="Y175" i="17" s="1"/>
  <c r="U355" i="17"/>
  <c r="Y355" i="17" s="1"/>
  <c r="U322" i="17"/>
  <c r="Y322" i="17" s="1"/>
  <c r="U564" i="17"/>
  <c r="Y564" i="17" s="1"/>
  <c r="AB202" i="17"/>
  <c r="AB336" i="17"/>
  <c r="U120" i="17"/>
  <c r="Y120" i="17" s="1"/>
  <c r="U234" i="17"/>
  <c r="Y234" i="17" s="1"/>
  <c r="U47" i="17"/>
  <c r="Y47" i="17" s="1"/>
  <c r="AB93" i="17"/>
  <c r="AB611" i="17"/>
  <c r="U72" i="17"/>
  <c r="Y72" i="17" s="1"/>
  <c r="U117" i="17"/>
  <c r="U493" i="17"/>
  <c r="Y493" i="17" s="1"/>
  <c r="U121" i="17"/>
  <c r="Y121" i="17" s="1"/>
  <c r="U403" i="17"/>
  <c r="Y403" i="17" s="1"/>
  <c r="U78" i="17"/>
  <c r="Y78" i="17" s="1"/>
  <c r="U567" i="17"/>
  <c r="Y567" i="17" s="1"/>
  <c r="U195" i="17"/>
  <c r="Y195" i="17" s="1"/>
  <c r="U332" i="17"/>
  <c r="Y332" i="17" s="1"/>
  <c r="AB257" i="17"/>
  <c r="AB162" i="17"/>
  <c r="U610" i="17"/>
  <c r="Y610" i="17" s="1"/>
  <c r="U303" i="17"/>
  <c r="Y303" i="17" s="1"/>
  <c r="U28" i="17"/>
  <c r="Y28" i="17" s="1"/>
  <c r="AB587" i="17"/>
  <c r="U131" i="17"/>
  <c r="Y131" i="17" s="1"/>
  <c r="U500" i="17"/>
  <c r="Y500" i="17" s="1"/>
  <c r="AB247" i="17"/>
  <c r="U107" i="17"/>
  <c r="Y107" i="17" s="1"/>
  <c r="V146" i="17"/>
  <c r="W146" i="17" s="1"/>
  <c r="V419" i="17"/>
  <c r="W419" i="17" s="1"/>
  <c r="V371" i="17"/>
  <c r="W371" i="17" s="1"/>
  <c r="V211" i="17"/>
  <c r="W211" i="17" s="1"/>
  <c r="V206" i="17"/>
  <c r="W206" i="17" s="1"/>
  <c r="V86" i="17"/>
  <c r="W86" i="17" s="1"/>
  <c r="V257" i="17"/>
  <c r="W257" i="17" s="1"/>
  <c r="V157" i="17"/>
  <c r="W157" i="17" s="1"/>
  <c r="V399" i="17"/>
  <c r="W399" i="17" s="1"/>
  <c r="V362" i="17"/>
  <c r="W362" i="17" s="1"/>
  <c r="U373" i="17"/>
  <c r="Y373" i="17" s="1"/>
  <c r="AB50" i="17"/>
  <c r="U477" i="17"/>
  <c r="Y477" i="17" s="1"/>
  <c r="AB94" i="17"/>
  <c r="U56" i="17"/>
  <c r="Y56" i="17" s="1"/>
  <c r="U170" i="17"/>
  <c r="Y170" i="17" s="1"/>
  <c r="U86" i="17"/>
  <c r="U509" i="17"/>
  <c r="Y509" i="17" s="1"/>
  <c r="AB543" i="17"/>
  <c r="AB345" i="17"/>
  <c r="V428" i="17"/>
  <c r="W428" i="17" s="1"/>
  <c r="V359" i="17"/>
  <c r="W359" i="17" s="1"/>
  <c r="V343" i="17"/>
  <c r="W343" i="17" s="1"/>
  <c r="V215" i="17"/>
  <c r="W215" i="17" s="1"/>
  <c r="V578" i="17"/>
  <c r="W578" i="17" s="1"/>
  <c r="V194" i="17"/>
  <c r="W194" i="17" s="1"/>
  <c r="V453" i="17"/>
  <c r="W453" i="17" s="1"/>
  <c r="V437" i="17"/>
  <c r="W437" i="17" s="1"/>
  <c r="V421" i="17"/>
  <c r="W421" i="17" s="1"/>
  <c r="V245" i="17"/>
  <c r="W245" i="17" s="1"/>
  <c r="V179" i="17"/>
  <c r="W179" i="17" s="1"/>
  <c r="V113" i="17"/>
  <c r="W113" i="17" s="1"/>
  <c r="V120" i="17"/>
  <c r="W120" i="17" s="1"/>
  <c r="V72" i="17"/>
  <c r="W72" i="17" s="1"/>
  <c r="V24" i="17"/>
  <c r="W24" i="17" s="1"/>
  <c r="V47" i="17"/>
  <c r="W47" i="17" s="1"/>
  <c r="AB287" i="17"/>
  <c r="U14" i="17"/>
  <c r="Y14" i="17" s="1"/>
  <c r="U569" i="17"/>
  <c r="Y569" i="17" s="1"/>
  <c r="V597" i="17"/>
  <c r="W597" i="17" s="1"/>
  <c r="V292" i="17"/>
  <c r="W292" i="17" s="1"/>
  <c r="V240" i="17"/>
  <c r="W240" i="17" s="1"/>
  <c r="V515" i="17"/>
  <c r="W515" i="17" s="1"/>
  <c r="V291" i="17"/>
  <c r="W291" i="17" s="1"/>
  <c r="V143" i="17"/>
  <c r="W143" i="17" s="1"/>
  <c r="V42" i="17"/>
  <c r="W42" i="17" s="1"/>
  <c r="V462" i="17"/>
  <c r="W462" i="17" s="1"/>
  <c r="V190" i="17"/>
  <c r="W190" i="17" s="1"/>
  <c r="V166" i="17"/>
  <c r="W166" i="17" s="1"/>
  <c r="V241" i="17"/>
  <c r="W241" i="17" s="1"/>
  <c r="V171" i="17"/>
  <c r="W171" i="17" s="1"/>
  <c r="V141" i="17"/>
  <c r="W141" i="17" s="1"/>
  <c r="V164" i="17"/>
  <c r="W164" i="17" s="1"/>
  <c r="V52" i="17"/>
  <c r="W52" i="17" s="1"/>
  <c r="V27" i="17"/>
  <c r="W27" i="17" s="1"/>
  <c r="U530" i="17"/>
  <c r="Y530" i="17" s="1"/>
  <c r="U523" i="17"/>
  <c r="Y523" i="17" s="1"/>
  <c r="U524" i="17"/>
  <c r="Y524" i="17" s="1"/>
  <c r="U369" i="17"/>
  <c r="Y369" i="17" s="1"/>
  <c r="U89" i="17"/>
  <c r="Y89" i="17" s="1"/>
  <c r="U35" i="17"/>
  <c r="Y35" i="17" s="1"/>
  <c r="AB63" i="17"/>
  <c r="AB58" i="17"/>
  <c r="U540" i="17"/>
  <c r="Y540" i="17" s="1"/>
  <c r="V284" i="17"/>
  <c r="W284" i="17" s="1"/>
  <c r="V447" i="17"/>
  <c r="W447" i="17" s="1"/>
  <c r="V431" i="17"/>
  <c r="W431" i="17" s="1"/>
  <c r="V271" i="17"/>
  <c r="W271" i="17" s="1"/>
  <c r="V207" i="17"/>
  <c r="W207" i="17" s="1"/>
  <c r="V135" i="17"/>
  <c r="W135" i="17" s="1"/>
  <c r="AC378" i="17"/>
  <c r="V346" i="17"/>
  <c r="W346" i="17" s="1"/>
  <c r="V218" i="17"/>
  <c r="W218" i="17" s="1"/>
  <c r="V70" i="17"/>
  <c r="W70" i="17" s="1"/>
  <c r="V573" i="17"/>
  <c r="W573" i="17" s="1"/>
  <c r="V365" i="17"/>
  <c r="W365" i="17" s="1"/>
  <c r="V269" i="17"/>
  <c r="W269" i="17" s="1"/>
  <c r="V163" i="17"/>
  <c r="W163" i="17" s="1"/>
  <c r="V25" i="17"/>
  <c r="W25" i="17" s="1"/>
  <c r="V128" i="17"/>
  <c r="W128" i="17" s="1"/>
  <c r="V112" i="17"/>
  <c r="W112" i="17" s="1"/>
  <c r="V80" i="17"/>
  <c r="W80" i="17" s="1"/>
  <c r="AC16" i="17"/>
  <c r="L624" i="17"/>
  <c r="N624" i="17"/>
  <c r="K624" i="17"/>
  <c r="C624" i="17"/>
  <c r="S624" i="17"/>
  <c r="J624" i="17"/>
  <c r="U422" i="17"/>
  <c r="Y422" i="17" s="1"/>
  <c r="AB141" i="17"/>
  <c r="U469" i="17"/>
  <c r="Y469" i="17" s="1"/>
  <c r="AB430" i="17"/>
  <c r="AB310" i="17"/>
  <c r="U464" i="17"/>
  <c r="Y464" i="17" s="1"/>
  <c r="U601" i="17"/>
  <c r="Y601" i="17" s="1"/>
  <c r="V380" i="17"/>
  <c r="W380" i="17" s="1"/>
  <c r="U281" i="17"/>
  <c r="Y281" i="17" s="1"/>
  <c r="E624" i="17"/>
  <c r="T624" i="17"/>
  <c r="I624" i="17"/>
  <c r="M624" i="17"/>
  <c r="U391" i="17"/>
  <c r="Y391" i="17" s="1"/>
  <c r="U180" i="17"/>
  <c r="Y180" i="17" s="1"/>
  <c r="U606" i="17"/>
  <c r="Y606" i="17" s="1"/>
  <c r="U497" i="17"/>
  <c r="Y497" i="17" s="1"/>
  <c r="AB425" i="17"/>
  <c r="U197" i="17"/>
  <c r="Y197" i="17" s="1"/>
  <c r="U358" i="17"/>
  <c r="Y358" i="17" s="1"/>
  <c r="AB269" i="17"/>
  <c r="AB485" i="17"/>
  <c r="U459" i="17"/>
  <c r="Y459" i="17" s="1"/>
  <c r="U241" i="17"/>
  <c r="Y241" i="17" s="1"/>
  <c r="U503" i="17"/>
  <c r="Y503" i="17" s="1"/>
  <c r="U126" i="17"/>
  <c r="Y126" i="17" s="1"/>
  <c r="U254" i="17"/>
  <c r="Y254" i="17" s="1"/>
  <c r="AB576" i="17"/>
  <c r="U140" i="17"/>
  <c r="Y140" i="17" s="1"/>
  <c r="U178" i="17"/>
  <c r="Y178" i="17" s="1"/>
  <c r="V583" i="17"/>
  <c r="W583" i="17" s="1"/>
  <c r="V551" i="17"/>
  <c r="W551" i="17" s="1"/>
  <c r="V514" i="17"/>
  <c r="W514" i="17" s="1"/>
  <c r="V450" i="17"/>
  <c r="W450" i="17" s="1"/>
  <c r="D624" i="17"/>
  <c r="U316" i="17"/>
  <c r="Y316" i="17" s="1"/>
  <c r="U118" i="17"/>
  <c r="Y118" i="17" s="1"/>
  <c r="U433" i="17"/>
  <c r="Y433" i="17" s="1"/>
  <c r="AB399" i="17"/>
  <c r="U528" i="17"/>
  <c r="Y528" i="17" s="1"/>
  <c r="U205" i="17"/>
  <c r="Y205" i="17" s="1"/>
  <c r="U327" i="17"/>
  <c r="Y327" i="17" s="1"/>
  <c r="U398" i="17"/>
  <c r="Y398" i="17" s="1"/>
  <c r="U350" i="17"/>
  <c r="Y350" i="17" s="1"/>
  <c r="U275" i="17"/>
  <c r="Y275" i="17" s="1"/>
  <c r="U290" i="17"/>
  <c r="Y290" i="17" s="1"/>
  <c r="U192" i="17"/>
  <c r="Y192" i="17" s="1"/>
  <c r="U264" i="17"/>
  <c r="Y264" i="17" s="1"/>
  <c r="U252" i="17"/>
  <c r="Y252" i="17" s="1"/>
  <c r="V364" i="17"/>
  <c r="W364" i="17" s="1"/>
  <c r="V348" i="17"/>
  <c r="W348" i="17" s="1"/>
  <c r="V382" i="17"/>
  <c r="W382" i="17" s="1"/>
  <c r="V318" i="17"/>
  <c r="W318" i="17" s="1"/>
  <c r="V481" i="17"/>
  <c r="W481" i="17" s="1"/>
  <c r="V417" i="17"/>
  <c r="W417" i="17" s="1"/>
  <c r="V353" i="17"/>
  <c r="W353" i="17" s="1"/>
  <c r="U489" i="17"/>
  <c r="Y489" i="17" s="1"/>
  <c r="U190" i="17"/>
  <c r="Y190" i="17" s="1"/>
  <c r="U344" i="17"/>
  <c r="Y344" i="17" s="1"/>
  <c r="U472" i="17"/>
  <c r="Y472" i="17" s="1"/>
  <c r="V340" i="17"/>
  <c r="W340" i="17" s="1"/>
  <c r="V592" i="17"/>
  <c r="W592" i="17" s="1"/>
  <c r="V591" i="17"/>
  <c r="W591" i="17" s="1"/>
  <c r="V506" i="17"/>
  <c r="W506" i="17" s="1"/>
  <c r="V442" i="17"/>
  <c r="W442" i="17" s="1"/>
  <c r="U505" i="17"/>
  <c r="Y505" i="17" s="1"/>
  <c r="AB609" i="17"/>
  <c r="U136" i="17"/>
  <c r="Y136" i="17" s="1"/>
  <c r="AB270" i="17"/>
  <c r="U203" i="17"/>
  <c r="Y203" i="17" s="1"/>
  <c r="AB449" i="17"/>
  <c r="U289" i="17"/>
  <c r="Y289" i="17" s="1"/>
  <c r="U517" i="17"/>
  <c r="Y517" i="17" s="1"/>
  <c r="U187" i="17"/>
  <c r="Y187" i="17" s="1"/>
  <c r="AB488" i="17"/>
  <c r="AC206" i="17"/>
  <c r="U492" i="17"/>
  <c r="U145" i="17"/>
  <c r="Y145" i="17" s="1"/>
  <c r="U407" i="17"/>
  <c r="Y407" i="17" s="1"/>
  <c r="U144" i="17"/>
  <c r="Y144" i="17" s="1"/>
  <c r="U348" i="17"/>
  <c r="Y348" i="17" s="1"/>
  <c r="U208" i="17"/>
  <c r="Y208" i="17" s="1"/>
  <c r="AB326" i="17"/>
  <c r="V600" i="17"/>
  <c r="W600" i="17" s="1"/>
  <c r="V558" i="17"/>
  <c r="W558" i="17" s="1"/>
  <c r="V398" i="17"/>
  <c r="W398" i="17" s="1"/>
  <c r="V334" i="17"/>
  <c r="W334" i="17" s="1"/>
  <c r="V545" i="17"/>
  <c r="W545" i="17" s="1"/>
  <c r="V497" i="17"/>
  <c r="W497" i="17" s="1"/>
  <c r="V433" i="17"/>
  <c r="W433" i="17" s="1"/>
  <c r="V369" i="17"/>
  <c r="W369" i="17" s="1"/>
  <c r="AB262" i="17"/>
  <c r="U521" i="17"/>
  <c r="Y521" i="17" s="1"/>
  <c r="AB210" i="17"/>
  <c r="U134" i="17"/>
  <c r="U529" i="17"/>
  <c r="Y529" i="17" s="1"/>
  <c r="U213" i="17"/>
  <c r="Y213" i="17" s="1"/>
  <c r="U608" i="17"/>
  <c r="Y608" i="17" s="1"/>
  <c r="U276" i="17"/>
  <c r="Y276" i="17" s="1"/>
  <c r="U470" i="17"/>
  <c r="Y470" i="17" s="1"/>
  <c r="U415" i="17"/>
  <c r="Y415" i="17" s="1"/>
  <c r="U338" i="17"/>
  <c r="Y338" i="17" s="1"/>
  <c r="U284" i="17"/>
  <c r="Y284" i="17" s="1"/>
  <c r="U273" i="17"/>
  <c r="Y273" i="17" s="1"/>
  <c r="U352" i="17"/>
  <c r="Y352" i="17" s="1"/>
  <c r="U511" i="17"/>
  <c r="Y511" i="17" s="1"/>
  <c r="U441" i="17"/>
  <c r="Y441" i="17" s="1"/>
  <c r="U299" i="17"/>
  <c r="Y299" i="17" s="1"/>
  <c r="U285" i="17"/>
  <c r="Y285" i="17" s="1"/>
  <c r="V392" i="17"/>
  <c r="W392" i="17" s="1"/>
  <c r="V404" i="17"/>
  <c r="W404" i="17" s="1"/>
  <c r="AC527" i="17"/>
  <c r="V570" i="17"/>
  <c r="W570" i="17" s="1"/>
  <c r="AC554" i="17"/>
  <c r="V458" i="17"/>
  <c r="W458" i="17" s="1"/>
  <c r="U513" i="17"/>
  <c r="Y513" i="17" s="1"/>
  <c r="U149" i="17"/>
  <c r="Y149" i="17" s="1"/>
  <c r="U360" i="17"/>
  <c r="Y360" i="17" s="1"/>
  <c r="AB200" i="17"/>
  <c r="U142" i="17"/>
  <c r="Y142" i="17" s="1"/>
  <c r="U480" i="17"/>
  <c r="Y480" i="17" s="1"/>
  <c r="U416" i="17"/>
  <c r="Y416" i="17" s="1"/>
  <c r="U501" i="17"/>
  <c r="Y501" i="17" s="1"/>
  <c r="AB157" i="17"/>
  <c r="U536" i="17"/>
  <c r="Y536" i="17" s="1"/>
  <c r="U198" i="17"/>
  <c r="Y198" i="17" s="1"/>
  <c r="U514" i="17"/>
  <c r="Y514" i="17" s="1"/>
  <c r="U575" i="17"/>
  <c r="Y575" i="17" s="1"/>
  <c r="U221" i="17"/>
  <c r="Y221" i="17" s="1"/>
  <c r="U476" i="17"/>
  <c r="Y476" i="17" s="1"/>
  <c r="U194" i="17"/>
  <c r="Y194" i="17" s="1"/>
  <c r="U212" i="17"/>
  <c r="Y212" i="17" s="1"/>
  <c r="V566" i="17"/>
  <c r="W566" i="17" s="1"/>
  <c r="V390" i="17"/>
  <c r="W390" i="17" s="1"/>
  <c r="V326" i="17"/>
  <c r="W326" i="17" s="1"/>
  <c r="V505" i="17"/>
  <c r="W505" i="17" s="1"/>
  <c r="V441" i="17"/>
  <c r="W441" i="17" s="1"/>
  <c r="V377" i="17"/>
  <c r="W377" i="17" s="1"/>
  <c r="V533" i="17"/>
  <c r="W533" i="17" s="1"/>
  <c r="U244" i="17"/>
  <c r="Y244" i="17" s="1"/>
  <c r="U110" i="17"/>
  <c r="Y110" i="17" s="1"/>
  <c r="U518" i="17"/>
  <c r="Y518" i="17" s="1"/>
  <c r="U368" i="17"/>
  <c r="U293" i="17"/>
  <c r="U406" i="17"/>
  <c r="Y406" i="17" s="1"/>
  <c r="AC612" i="17"/>
  <c r="V520" i="17"/>
  <c r="W520" i="17" s="1"/>
  <c r="V543" i="17"/>
  <c r="W543" i="17" s="1"/>
  <c r="U301" i="17"/>
  <c r="Y301" i="17" s="1"/>
  <c r="U302" i="17"/>
  <c r="Y302" i="17" s="1"/>
  <c r="U448" i="17"/>
  <c r="Y448" i="17" s="1"/>
  <c r="U390" i="17"/>
  <c r="Y390" i="17" s="1"/>
  <c r="U328" i="17"/>
  <c r="Y328" i="17" s="1"/>
  <c r="AB160" i="17"/>
  <c r="U370" i="17"/>
  <c r="Y370" i="17" s="1"/>
  <c r="AB181" i="17"/>
  <c r="U238" i="17"/>
  <c r="Y238" i="17" s="1"/>
  <c r="U432" i="17"/>
  <c r="Y432" i="17" s="1"/>
  <c r="U354" i="17"/>
  <c r="Y354" i="17" s="1"/>
  <c r="U286" i="17"/>
  <c r="Y286" i="17" s="1"/>
  <c r="U440" i="17"/>
  <c r="Y440" i="17" s="1"/>
  <c r="U465" i="17"/>
  <c r="Y465" i="17" s="1"/>
  <c r="V388" i="17"/>
  <c r="W388" i="17" s="1"/>
  <c r="V528" i="17"/>
  <c r="W528" i="17" s="1"/>
  <c r="V603" i="17"/>
  <c r="W603" i="17" s="1"/>
  <c r="V534" i="17"/>
  <c r="W534" i="17" s="1"/>
  <c r="V358" i="17"/>
  <c r="W358" i="17" s="1"/>
  <c r="U152" i="17"/>
  <c r="Y152" i="17" s="1"/>
  <c r="U214" i="17"/>
  <c r="Y214" i="17" s="1"/>
  <c r="AB165" i="17"/>
  <c r="U224" i="17"/>
  <c r="Y224" i="17" s="1"/>
  <c r="U318" i="17"/>
  <c r="AB216" i="17"/>
  <c r="U278" i="17"/>
  <c r="Y278" i="17" s="1"/>
  <c r="U296" i="17"/>
  <c r="Y296" i="17" s="1"/>
  <c r="U173" i="17"/>
  <c r="Y173" i="17" s="1"/>
  <c r="U612" i="17"/>
  <c r="Y612" i="17" s="1"/>
  <c r="V412" i="17"/>
  <c r="W412" i="17" s="1"/>
  <c r="V576" i="17"/>
  <c r="W576" i="17" s="1"/>
  <c r="V535" i="17"/>
  <c r="W535" i="17" s="1"/>
  <c r="V582" i="17"/>
  <c r="W582" i="17" s="1"/>
  <c r="V406" i="17"/>
  <c r="W406" i="17" s="1"/>
  <c r="V342" i="17"/>
  <c r="W342" i="17" s="1"/>
  <c r="U402" i="17"/>
  <c r="Y402" i="17" s="1"/>
  <c r="U487" i="17"/>
  <c r="Y487" i="17" s="1"/>
  <c r="V356" i="17"/>
  <c r="W356" i="17" s="1"/>
  <c r="U418" i="17"/>
  <c r="Y418" i="17" s="1"/>
  <c r="U475" i="17"/>
  <c r="Y475" i="17" s="1"/>
  <c r="U502" i="17"/>
  <c r="Y502" i="17" s="1"/>
  <c r="U434" i="17"/>
  <c r="Y434" i="17" s="1"/>
  <c r="U466" i="17"/>
  <c r="Y466" i="17" s="1"/>
  <c r="AC24" i="17"/>
  <c r="AC580" i="17"/>
  <c r="V522" i="17"/>
  <c r="W522" i="17" s="1"/>
  <c r="V525" i="17"/>
  <c r="W525" i="17" s="1"/>
  <c r="V537" i="17"/>
  <c r="W537" i="17" s="1"/>
  <c r="AC521" i="17"/>
  <c r="AC538" i="17"/>
  <c r="V598" i="17"/>
  <c r="W598" i="17" s="1"/>
  <c r="U486" i="17"/>
  <c r="Y486" i="17" s="1"/>
  <c r="AC149" i="17"/>
  <c r="AC60" i="17"/>
  <c r="U494" i="17"/>
  <c r="Y494" i="17" s="1"/>
  <c r="V544" i="17"/>
  <c r="W544" i="17" s="1"/>
  <c r="U596" i="17"/>
  <c r="Y596" i="17" s="1"/>
  <c r="U447" i="17"/>
  <c r="Y447" i="17" s="1"/>
  <c r="V541" i="17"/>
  <c r="W541" i="17" s="1"/>
  <c r="U604" i="17"/>
  <c r="Y604" i="17" s="1"/>
  <c r="AC587" i="17"/>
  <c r="V521" i="17"/>
  <c r="W521" i="17" s="1"/>
  <c r="U556" i="17"/>
  <c r="Y556" i="17" s="1"/>
  <c r="AC563" i="17"/>
  <c r="U463" i="17"/>
  <c r="Y463" i="17" s="1"/>
  <c r="U482" i="17"/>
  <c r="Y482" i="17" s="1"/>
  <c r="V587" i="17"/>
  <c r="W587" i="17" s="1"/>
  <c r="U443" i="17"/>
  <c r="Y443" i="17" s="1"/>
  <c r="AC353" i="17"/>
  <c r="AC122" i="17"/>
  <c r="AB458" i="17"/>
  <c r="V416" i="17"/>
  <c r="W416" i="17" s="1"/>
  <c r="AC508" i="17"/>
  <c r="AC390" i="17"/>
  <c r="AC123" i="17"/>
  <c r="V352" i="17"/>
  <c r="W352" i="17" s="1"/>
  <c r="AB467" i="17"/>
  <c r="AC537" i="17"/>
  <c r="AC69" i="17"/>
  <c r="AC260" i="17"/>
  <c r="AC502" i="17"/>
  <c r="AC101" i="17"/>
  <c r="AC35" i="17"/>
  <c r="V568" i="17"/>
  <c r="W568" i="17" s="1"/>
  <c r="V400" i="17"/>
  <c r="W400" i="17" s="1"/>
  <c r="V336" i="17"/>
  <c r="W336" i="17" s="1"/>
  <c r="AC294" i="17"/>
  <c r="AC524" i="17"/>
  <c r="AC464" i="17"/>
  <c r="AC124" i="17"/>
  <c r="AC379" i="17"/>
  <c r="AC115" i="17"/>
  <c r="AC425" i="17"/>
  <c r="AC470" i="17"/>
  <c r="AC262" i="17"/>
  <c r="AC181" i="17"/>
  <c r="AC443" i="17"/>
  <c r="U580" i="17"/>
  <c r="Y580" i="17" s="1"/>
  <c r="U563" i="17"/>
  <c r="Y563" i="17" s="1"/>
  <c r="U288" i="17"/>
  <c r="Y288" i="17" s="1"/>
  <c r="AC496" i="17"/>
  <c r="AC195" i="17"/>
  <c r="AC536" i="17"/>
  <c r="AC270" i="17"/>
  <c r="AC91" i="17"/>
  <c r="AC366" i="17"/>
  <c r="AC20" i="17"/>
  <c r="V579" i="17"/>
  <c r="W579" i="17" s="1"/>
  <c r="U548" i="17"/>
  <c r="Y548" i="17" s="1"/>
  <c r="U483" i="17"/>
  <c r="Y483" i="17" s="1"/>
  <c r="AC180" i="17"/>
  <c r="AC350" i="17"/>
  <c r="AC227" i="17"/>
  <c r="V547" i="17"/>
  <c r="W547" i="17" s="1"/>
  <c r="U467" i="17"/>
  <c r="Y467" i="17" s="1"/>
  <c r="U442" i="17"/>
  <c r="Y442" i="17" s="1"/>
  <c r="AC273" i="17"/>
  <c r="AB81" i="17"/>
  <c r="AC398" i="17"/>
  <c r="AC558" i="17"/>
  <c r="AC240" i="17"/>
  <c r="AC339" i="17"/>
  <c r="AC222" i="17"/>
  <c r="U613" i="17"/>
  <c r="Y613" i="17" s="1"/>
  <c r="V529" i="17"/>
  <c r="W529" i="17" s="1"/>
  <c r="U515" i="17"/>
  <c r="Y515" i="17" s="1"/>
  <c r="U451" i="17"/>
  <c r="Y451" i="17" s="1"/>
  <c r="U426" i="17"/>
  <c r="Y426" i="17" s="1"/>
  <c r="U362" i="17"/>
  <c r="Y362" i="17" s="1"/>
  <c r="U272" i="17"/>
  <c r="Y272" i="17" s="1"/>
  <c r="V606" i="17"/>
  <c r="W606" i="17" s="1"/>
  <c r="V320" i="17"/>
  <c r="W320" i="17" s="1"/>
  <c r="V610" i="17"/>
  <c r="W610" i="17" s="1"/>
  <c r="V212" i="17"/>
  <c r="W212" i="17" s="1"/>
  <c r="AC192" i="17"/>
  <c r="V552" i="17"/>
  <c r="W552" i="17" s="1"/>
  <c r="U499" i="17"/>
  <c r="Y499" i="17" s="1"/>
  <c r="U435" i="17"/>
  <c r="Y435" i="17" s="1"/>
  <c r="U474" i="17"/>
  <c r="Y474" i="17" s="1"/>
  <c r="U410" i="17"/>
  <c r="Y410" i="17" s="1"/>
  <c r="U346" i="17"/>
  <c r="Y346" i="17" s="1"/>
  <c r="V384" i="17"/>
  <c r="W384" i="17" s="1"/>
  <c r="U256" i="17"/>
  <c r="Y256" i="17" s="1"/>
  <c r="U181" i="17"/>
  <c r="Y181" i="17" s="1"/>
  <c r="U445" i="17"/>
  <c r="Y445" i="17" s="1"/>
  <c r="U576" i="17"/>
  <c r="Y576" i="17" s="1"/>
  <c r="U270" i="17"/>
  <c r="Y270" i="17" s="1"/>
  <c r="V287" i="17"/>
  <c r="W287" i="17" s="1"/>
  <c r="V333" i="17"/>
  <c r="W333" i="17" s="1"/>
  <c r="U377" i="17"/>
  <c r="Y377" i="17" s="1"/>
  <c r="U490" i="17"/>
  <c r="Y490" i="17" s="1"/>
  <c r="U165" i="17"/>
  <c r="Y165" i="17" s="1"/>
  <c r="AC111" i="17"/>
  <c r="AC168" i="17"/>
  <c r="U600" i="17"/>
  <c r="Y600" i="17" s="1"/>
  <c r="U419" i="17"/>
  <c r="Y419" i="17" s="1"/>
  <c r="U394" i="17"/>
  <c r="Y394" i="17" s="1"/>
  <c r="U330" i="17"/>
  <c r="Y330" i="17" s="1"/>
  <c r="V368" i="17"/>
  <c r="W368" i="17" s="1"/>
  <c r="U304" i="17"/>
  <c r="Y304" i="17" s="1"/>
  <c r="U240" i="17"/>
  <c r="Y240" i="17" s="1"/>
  <c r="U399" i="17"/>
  <c r="Y399" i="17" s="1"/>
  <c r="U216" i="17"/>
  <c r="Y216" i="17" s="1"/>
  <c r="U127" i="17"/>
  <c r="Y127" i="17" s="1"/>
  <c r="V288" i="17"/>
  <c r="W288" i="17" s="1"/>
  <c r="AC562" i="17"/>
  <c r="AC129" i="17"/>
  <c r="AC487" i="17"/>
  <c r="V530" i="17"/>
  <c r="W530" i="17" s="1"/>
  <c r="U506" i="17"/>
  <c r="Y506" i="17" s="1"/>
  <c r="U378" i="17"/>
  <c r="Y378" i="17" s="1"/>
  <c r="V480" i="17"/>
  <c r="W480" i="17" s="1"/>
  <c r="U485" i="17"/>
  <c r="Y485" i="17" s="1"/>
  <c r="U193" i="17"/>
  <c r="Y193" i="17" s="1"/>
  <c r="V301" i="17"/>
  <c r="W301" i="17" s="1"/>
  <c r="V174" i="17"/>
  <c r="W174" i="17" s="1"/>
  <c r="V136" i="17"/>
  <c r="W136" i="17" s="1"/>
  <c r="U458" i="17"/>
  <c r="Y458" i="17" s="1"/>
  <c r="U21" i="17"/>
  <c r="U389" i="17"/>
  <c r="Y389" i="17" s="1"/>
  <c r="U182" i="17"/>
  <c r="Y182" i="17" s="1"/>
  <c r="V325" i="17"/>
  <c r="W325" i="17" s="1"/>
  <c r="V38" i="17"/>
  <c r="W38" i="17" s="1"/>
  <c r="U587" i="17"/>
  <c r="Y587" i="17" s="1"/>
  <c r="U484" i="17"/>
  <c r="Y484" i="17" s="1"/>
  <c r="AC327" i="17"/>
  <c r="AC242" i="17"/>
  <c r="AC162" i="17"/>
  <c r="AC375" i="17"/>
  <c r="AC142" i="17"/>
  <c r="V58" i="17"/>
  <c r="W58" i="17" s="1"/>
  <c r="U552" i="17"/>
  <c r="Y552" i="17" s="1"/>
  <c r="U287" i="17"/>
  <c r="Y287" i="17" s="1"/>
  <c r="U599" i="17"/>
  <c r="Y599" i="17" s="1"/>
  <c r="V394" i="17"/>
  <c r="W394" i="17" s="1"/>
  <c r="V612" i="17"/>
  <c r="W612" i="17" s="1"/>
  <c r="U534" i="17"/>
  <c r="Y534" i="17" s="1"/>
  <c r="U430" i="17"/>
  <c r="Y430" i="17" s="1"/>
  <c r="U25" i="17"/>
  <c r="Y25" i="17" s="1"/>
  <c r="U385" i="17"/>
  <c r="Y385" i="17" s="1"/>
  <c r="U597" i="17"/>
  <c r="Y597" i="17" s="1"/>
  <c r="V110" i="17"/>
  <c r="W110" i="17" s="1"/>
  <c r="V277" i="17"/>
  <c r="W277" i="17" s="1"/>
  <c r="U405" i="17"/>
  <c r="Y405" i="17" s="1"/>
  <c r="U156" i="17"/>
  <c r="Y156" i="17" s="1"/>
  <c r="U525" i="17"/>
  <c r="Y525" i="17" s="1"/>
  <c r="U99" i="17"/>
  <c r="Y99" i="17" s="1"/>
  <c r="V311" i="17"/>
  <c r="W311" i="17" s="1"/>
  <c r="V527" i="17"/>
  <c r="W527" i="17" s="1"/>
  <c r="U88" i="17"/>
  <c r="Y88" i="17" s="1"/>
  <c r="U62" i="17"/>
  <c r="Y62" i="17" s="1"/>
  <c r="U163" i="17"/>
  <c r="Y163" i="17" s="1"/>
  <c r="U157" i="17"/>
  <c r="Y157" i="17" s="1"/>
  <c r="U602" i="17"/>
  <c r="Y602" i="17" s="1"/>
  <c r="U23" i="17"/>
  <c r="Y23" i="17" s="1"/>
  <c r="V402" i="17"/>
  <c r="W402" i="17" s="1"/>
  <c r="U428" i="17"/>
  <c r="Y428" i="17" s="1"/>
  <c r="U263" i="17"/>
  <c r="Y263" i="17" s="1"/>
  <c r="U59" i="17"/>
  <c r="Y59" i="17" s="1"/>
  <c r="U351" i="17"/>
  <c r="Y351" i="17" s="1"/>
  <c r="U471" i="17"/>
  <c r="Y471" i="17" s="1"/>
  <c r="U446" i="17"/>
  <c r="Y446" i="17" s="1"/>
  <c r="U41" i="17"/>
  <c r="Y41" i="17" s="1"/>
  <c r="U119" i="17"/>
  <c r="Y119" i="17" s="1"/>
  <c r="V293" i="17"/>
  <c r="W293" i="17" s="1"/>
  <c r="U334" i="17"/>
  <c r="Y334" i="17" s="1"/>
  <c r="U249" i="17"/>
  <c r="Y249" i="17" s="1"/>
  <c r="U538" i="17"/>
  <c r="Y538" i="17" s="1"/>
  <c r="U379" i="17"/>
  <c r="Y379" i="17" s="1"/>
  <c r="U364" i="17"/>
  <c r="Y364" i="17" s="1"/>
  <c r="V580" i="17"/>
  <c r="W580" i="17" s="1"/>
  <c r="U269" i="17"/>
  <c r="Y269" i="17" s="1"/>
  <c r="U611" i="17"/>
  <c r="Y611" i="17" s="1"/>
  <c r="U257" i="17"/>
  <c r="Y257" i="17" s="1"/>
  <c r="U177" i="17"/>
  <c r="Y177" i="17" s="1"/>
  <c r="U295" i="17"/>
  <c r="Y295" i="17" s="1"/>
  <c r="U141" i="17"/>
  <c r="Y141" i="17" s="1"/>
  <c r="U605" i="17"/>
  <c r="Y605" i="17" s="1"/>
  <c r="U365" i="17"/>
  <c r="Y365" i="17" s="1"/>
  <c r="U345" i="17"/>
  <c r="Y345" i="17" s="1"/>
  <c r="U488" i="17"/>
  <c r="Y488" i="17" s="1"/>
  <c r="V16" i="17"/>
  <c r="W16" i="17" s="1"/>
  <c r="U336" i="17"/>
  <c r="Y336" i="17" s="1"/>
  <c r="U55" i="17"/>
  <c r="Y55" i="17" s="1"/>
  <c r="U361" i="17"/>
  <c r="Y361" i="17" s="1"/>
  <c r="U219" i="17"/>
  <c r="Y219" i="17" s="1"/>
  <c r="V386" i="17"/>
  <c r="W386" i="17" s="1"/>
  <c r="U63" i="17"/>
  <c r="Y63" i="17" s="1"/>
  <c r="U48" i="17"/>
  <c r="Y48" i="17" s="1"/>
  <c r="U68" i="17"/>
  <c r="Y68" i="17" s="1"/>
  <c r="U202" i="17"/>
  <c r="Y202" i="17" s="1"/>
  <c r="V167" i="17"/>
  <c r="W167" i="17" s="1"/>
  <c r="U79" i="17"/>
  <c r="Y79" i="17" s="1"/>
  <c r="U44" i="17"/>
  <c r="Y44" i="17" s="1"/>
  <c r="U70" i="17"/>
  <c r="Y70" i="17" s="1"/>
  <c r="V191" i="17"/>
  <c r="W191" i="17" s="1"/>
  <c r="V426" i="17"/>
  <c r="W426" i="17" s="1"/>
  <c r="U423" i="17"/>
  <c r="U113" i="17"/>
  <c r="Y113" i="17" s="1"/>
  <c r="V161" i="17"/>
  <c r="W161" i="17" s="1"/>
  <c r="U326" i="17"/>
  <c r="Y326" i="17" s="1"/>
  <c r="U531" i="17"/>
  <c r="Y531" i="17" s="1"/>
  <c r="U533" i="17"/>
  <c r="Y533" i="17" s="1"/>
  <c r="V509" i="17"/>
  <c r="W509" i="17" s="1"/>
  <c r="V381" i="17"/>
  <c r="W381" i="17" s="1"/>
  <c r="U188" i="17"/>
  <c r="V316" i="17"/>
  <c r="W316" i="17" s="1"/>
  <c r="U329" i="17"/>
  <c r="Y329" i="17" s="1"/>
  <c r="U392" i="17"/>
  <c r="Y392" i="17" s="1"/>
  <c r="V82" i="17"/>
  <c r="W82" i="17" s="1"/>
  <c r="U255" i="17"/>
  <c r="Y255" i="17" s="1"/>
  <c r="U40" i="17"/>
  <c r="Y40" i="17" s="1"/>
  <c r="U282" i="17"/>
  <c r="Y282" i="17" s="1"/>
  <c r="U215" i="17"/>
  <c r="Y215" i="17" s="1"/>
  <c r="U98" i="17"/>
  <c r="Y98" i="17" s="1"/>
  <c r="U19" i="17"/>
  <c r="Y19" i="17" s="1"/>
  <c r="V608" i="17"/>
  <c r="W608" i="17" s="1"/>
  <c r="U31" i="17"/>
  <c r="Y31" i="17" s="1"/>
  <c r="U24" i="17"/>
  <c r="Y24" i="17" s="1"/>
  <c r="U210" i="17"/>
  <c r="Y210" i="17" s="1"/>
  <c r="U76" i="17"/>
  <c r="Y76" i="17" s="1"/>
  <c r="U186" i="17"/>
  <c r="Y186" i="17" s="1"/>
  <c r="U166" i="17"/>
  <c r="Y166" i="17" s="1"/>
  <c r="U372" i="17"/>
  <c r="Y372" i="17" s="1"/>
  <c r="U414" i="17"/>
  <c r="Y414" i="17" s="1"/>
  <c r="U16" i="17"/>
  <c r="Y16" i="17" s="1"/>
  <c r="U401" i="17"/>
  <c r="Y401" i="17" s="1"/>
  <c r="U325" i="17"/>
  <c r="Y325" i="17" s="1"/>
  <c r="U153" i="17"/>
  <c r="Y153" i="17" s="1"/>
  <c r="V332" i="17"/>
  <c r="W332" i="17" s="1"/>
  <c r="U566" i="17"/>
  <c r="Y566" i="17" s="1"/>
  <c r="V39" i="17"/>
  <c r="W39" i="17" s="1"/>
  <c r="U196" i="17"/>
  <c r="Y196" i="17" s="1"/>
  <c r="U247" i="17"/>
  <c r="Y247" i="17" s="1"/>
  <c r="U58" i="17"/>
  <c r="Y58" i="17" s="1"/>
  <c r="U343" i="17"/>
  <c r="Y343" i="17" s="1"/>
  <c r="U356" i="17"/>
  <c r="Y356" i="17" s="1"/>
  <c r="U32" i="17"/>
  <c r="Y32" i="17" s="1"/>
  <c r="V554" i="17"/>
  <c r="W554" i="17" s="1"/>
  <c r="U310" i="17"/>
  <c r="Y310" i="17" s="1"/>
  <c r="V575" i="17"/>
  <c r="W575" i="17" s="1"/>
  <c r="U542" i="17"/>
  <c r="Y542" i="17" s="1"/>
  <c r="U374" i="17"/>
  <c r="Y374" i="17" s="1"/>
  <c r="U128" i="17"/>
  <c r="Y128" i="17" s="1"/>
  <c r="U386" i="17"/>
  <c r="Y386" i="17" s="1"/>
  <c r="U333" i="17"/>
  <c r="Y333" i="17" s="1"/>
  <c r="U400" i="17"/>
  <c r="Y400" i="17" s="1"/>
  <c r="V55" i="17"/>
  <c r="W55" i="17" s="1"/>
  <c r="V285" i="17"/>
  <c r="W285" i="17" s="1"/>
  <c r="U380" i="17"/>
  <c r="Y380" i="17" s="1"/>
  <c r="U594" i="17"/>
  <c r="Y594" i="17" s="1"/>
  <c r="U237" i="17"/>
  <c r="Y237" i="17" s="1"/>
  <c r="U77" i="17"/>
  <c r="Y77" i="17" s="1"/>
  <c r="U161" i="17"/>
  <c r="Y161" i="17" s="1"/>
  <c r="U65" i="17"/>
  <c r="Y65" i="17" s="1"/>
  <c r="U592" i="17"/>
  <c r="Y592" i="17" s="1"/>
  <c r="U151" i="17"/>
  <c r="Y151" i="17" s="1"/>
  <c r="U543" i="17"/>
  <c r="Y543" i="17" s="1"/>
  <c r="U124" i="17"/>
  <c r="Y124" i="17" s="1"/>
  <c r="U42" i="17"/>
  <c r="Y42" i="17" s="1"/>
  <c r="U231" i="17"/>
  <c r="Y231" i="17" s="1"/>
  <c r="U94" i="17"/>
  <c r="Y94" i="17" s="1"/>
  <c r="U340" i="17"/>
  <c r="Y340" i="17" s="1"/>
  <c r="U609" i="17"/>
  <c r="Y609" i="17" s="1"/>
  <c r="U243" i="17"/>
  <c r="Y243" i="17" s="1"/>
  <c r="U478" i="17"/>
  <c r="Y478" i="17" s="1"/>
  <c r="AC290" i="17"/>
  <c r="AC183" i="17"/>
  <c r="AC213" i="17"/>
  <c r="AC567" i="17"/>
  <c r="AC284" i="17"/>
  <c r="U207" i="17"/>
  <c r="Y207" i="17" s="1"/>
  <c r="U347" i="17"/>
  <c r="Y347" i="17" s="1"/>
  <c r="U421" i="17"/>
  <c r="Y421" i="17" s="1"/>
  <c r="U87" i="17"/>
  <c r="U323" i="17"/>
  <c r="Y323" i="17" s="1"/>
  <c r="U50" i="17"/>
  <c r="Y50" i="17" s="1"/>
  <c r="U520" i="17"/>
  <c r="Y520" i="17" s="1"/>
  <c r="U579" i="17"/>
  <c r="U239" i="17"/>
  <c r="Y239" i="17" s="1"/>
  <c r="U39" i="17"/>
  <c r="Y39" i="17" s="1"/>
  <c r="U371" i="17"/>
  <c r="Y371" i="17" s="1"/>
  <c r="V378" i="17"/>
  <c r="W378" i="17" s="1"/>
  <c r="V602" i="17"/>
  <c r="W602" i="17" s="1"/>
  <c r="U38" i="17"/>
  <c r="Y38" i="17" s="1"/>
  <c r="V255" i="17"/>
  <c r="W255" i="17" s="1"/>
  <c r="U211" i="17"/>
  <c r="Y211" i="17" s="1"/>
  <c r="U262" i="17"/>
  <c r="Y262" i="17" s="1"/>
  <c r="U461" i="17"/>
  <c r="Y461" i="17" s="1"/>
  <c r="V572" i="17"/>
  <c r="W572" i="17" s="1"/>
  <c r="U321" i="17"/>
  <c r="Y321" i="17" s="1"/>
  <c r="U277" i="17"/>
  <c r="Y277" i="17" s="1"/>
  <c r="U200" i="17"/>
  <c r="Y200" i="17" s="1"/>
  <c r="V328" i="17"/>
  <c r="W328" i="17" s="1"/>
  <c r="U544" i="17"/>
  <c r="Y544" i="17" s="1"/>
  <c r="U550" i="17"/>
  <c r="Y550" i="17" s="1"/>
  <c r="V477" i="17"/>
  <c r="W477" i="17" s="1"/>
  <c r="V349" i="17"/>
  <c r="W349" i="17" s="1"/>
  <c r="U69" i="17"/>
  <c r="U169" i="17"/>
  <c r="Y169" i="17" s="1"/>
  <c r="U297" i="17"/>
  <c r="Y297" i="17" s="1"/>
  <c r="U220" i="17"/>
  <c r="Y220" i="17" s="1"/>
  <c r="U561" i="17"/>
  <c r="Y561" i="17" s="1"/>
  <c r="V169" i="17"/>
  <c r="W169" i="17" s="1"/>
  <c r="U456" i="17"/>
  <c r="Y456" i="17" s="1"/>
  <c r="V13" i="17"/>
  <c r="W13" i="17" s="1"/>
  <c r="U306" i="17"/>
  <c r="U52" i="17"/>
  <c r="Y52" i="17" s="1"/>
  <c r="U74" i="17"/>
  <c r="Y74" i="17" s="1"/>
  <c r="U139" i="17"/>
  <c r="Y139" i="17" s="1"/>
  <c r="U162" i="17"/>
  <c r="Y162" i="17" s="1"/>
  <c r="U75" i="17"/>
  <c r="Y75" i="17" s="1"/>
  <c r="U335" i="17"/>
  <c r="Y335" i="17" s="1"/>
  <c r="U291" i="17"/>
  <c r="Y291" i="17" s="1"/>
  <c r="U562" i="17"/>
  <c r="U572" i="17"/>
  <c r="Y572" i="17" s="1"/>
  <c r="U454" i="17"/>
  <c r="Y454" i="17" s="1"/>
  <c r="U112" i="17"/>
  <c r="Y112" i="17" s="1"/>
  <c r="U417" i="17"/>
  <c r="V18" i="17"/>
  <c r="W18" i="17" s="1"/>
  <c r="U138" i="17"/>
  <c r="Y138" i="17" s="1"/>
  <c r="U206" i="17"/>
  <c r="Y206" i="17" s="1"/>
  <c r="U452" i="17"/>
  <c r="Y452" i="17" s="1"/>
  <c r="U460" i="17"/>
  <c r="Y460" i="17" s="1"/>
  <c r="U179" i="17"/>
  <c r="Y179" i="17" s="1"/>
  <c r="U230" i="17"/>
  <c r="U583" i="17"/>
  <c r="U537" i="17"/>
  <c r="Y537" i="17" s="1"/>
  <c r="U133" i="17"/>
  <c r="Y133" i="17" s="1"/>
  <c r="U261" i="17"/>
  <c r="Y261" i="17" s="1"/>
  <c r="U184" i="17"/>
  <c r="U312" i="17"/>
  <c r="Y312" i="17" s="1"/>
  <c r="U408" i="17"/>
  <c r="Y408" i="17" s="1"/>
  <c r="V493" i="17"/>
  <c r="W493" i="17" s="1"/>
  <c r="U53" i="17"/>
  <c r="Y53" i="17" s="1"/>
  <c r="U357" i="17"/>
  <c r="Y357" i="17" s="1"/>
  <c r="U313" i="17"/>
  <c r="Y313" i="17" s="1"/>
  <c r="U411" i="17"/>
  <c r="Y411" i="17" s="1"/>
  <c r="U427" i="17"/>
  <c r="V96" i="17"/>
  <c r="W96" i="17" s="1"/>
  <c r="V234" i="17"/>
  <c r="W234" i="17" s="1"/>
  <c r="V253" i="17"/>
  <c r="W253" i="17" s="1"/>
  <c r="U209" i="17"/>
  <c r="U260" i="17"/>
  <c r="Y260" i="17" s="1"/>
  <c r="U457" i="17"/>
  <c r="Y457" i="17" s="1"/>
  <c r="V460" i="17"/>
  <c r="W460" i="17" s="1"/>
  <c r="U298" i="17"/>
  <c r="U171" i="17"/>
  <c r="Y171" i="17" s="1"/>
  <c r="U339" i="17"/>
  <c r="Y339" i="17" s="1"/>
  <c r="U557" i="17"/>
  <c r="Y557" i="17" s="1"/>
  <c r="V607" i="17"/>
  <c r="W607" i="17" s="1"/>
  <c r="U449" i="17"/>
  <c r="Y449" i="17" s="1"/>
  <c r="U507" i="17"/>
  <c r="Y507" i="17" s="1"/>
  <c r="U109" i="17"/>
  <c r="Y109" i="17" s="1"/>
  <c r="U129" i="17"/>
  <c r="U425" i="17"/>
  <c r="Y425" i="17" s="1"/>
  <c r="U93" i="17"/>
  <c r="Y93" i="17" s="1"/>
  <c r="U577" i="17"/>
  <c r="Y577" i="17" s="1"/>
  <c r="U535" i="17"/>
  <c r="U222" i="17"/>
  <c r="Y222" i="17" s="1"/>
  <c r="U71" i="17"/>
  <c r="Y71" i="17" s="1"/>
  <c r="V479" i="17"/>
  <c r="W479" i="17" s="1"/>
  <c r="U429" i="17"/>
  <c r="Y429" i="17" s="1"/>
  <c r="U424" i="17"/>
  <c r="Y424" i="17" s="1"/>
  <c r="V538" i="17"/>
  <c r="W538" i="17" s="1"/>
  <c r="U13" i="17"/>
  <c r="Y13" i="17" s="1"/>
  <c r="U225" i="17"/>
  <c r="Y225" i="17" s="1"/>
  <c r="V532" i="17"/>
  <c r="W532" i="17" s="1"/>
  <c r="U158" i="17"/>
  <c r="Y158" i="17" s="1"/>
  <c r="U438" i="17"/>
  <c r="Y438" i="17" s="1"/>
  <c r="U160" i="17"/>
  <c r="Y160" i="17" s="1"/>
  <c r="AC384" i="17"/>
  <c r="AB419" i="17"/>
  <c r="AB600" i="17"/>
  <c r="AC552" i="17"/>
  <c r="AC400" i="17"/>
  <c r="W13" i="27"/>
  <c r="X57" i="27"/>
  <c r="W57" i="27"/>
  <c r="X61" i="27"/>
  <c r="W61" i="27"/>
  <c r="X65" i="27"/>
  <c r="W65" i="27"/>
  <c r="X68" i="27"/>
  <c r="W68" i="27"/>
  <c r="W51" i="27"/>
  <c r="W17" i="27"/>
  <c r="AC592" i="17"/>
  <c r="AC516" i="17"/>
  <c r="AC138" i="17"/>
  <c r="AB36" i="17"/>
  <c r="AB110" i="17"/>
  <c r="AC467" i="17"/>
  <c r="AC45" i="17"/>
  <c r="AC40" i="17"/>
  <c r="AB221" i="17"/>
  <c r="AB151" i="17"/>
  <c r="AB209" i="17"/>
  <c r="AC217" i="17"/>
  <c r="AB435" i="17"/>
  <c r="AB350" i="17"/>
  <c r="AC429" i="17"/>
  <c r="AB402" i="17"/>
  <c r="AB147" i="17"/>
  <c r="AC482" i="17"/>
  <c r="AC355" i="17"/>
  <c r="AC393" i="17"/>
  <c r="AB128" i="17"/>
  <c r="AB196" i="17"/>
  <c r="AC306" i="17"/>
  <c r="AB138" i="17"/>
  <c r="AB217" i="17"/>
  <c r="AB572" i="17"/>
  <c r="AB43" i="17"/>
  <c r="AC423" i="17"/>
  <c r="AB560" i="17"/>
  <c r="AC283" i="17"/>
  <c r="AC19" i="17"/>
  <c r="AC362" i="17"/>
  <c r="AC233" i="17"/>
  <c r="AB79" i="17"/>
  <c r="AB477" i="17"/>
  <c r="AB505" i="17"/>
  <c r="AB401" i="17"/>
  <c r="AC455" i="17"/>
  <c r="AB321" i="17"/>
  <c r="AC224" i="17"/>
  <c r="AB423" i="17"/>
  <c r="AB364" i="17"/>
  <c r="AC342" i="17"/>
  <c r="AB172" i="17"/>
  <c r="AC84" i="17"/>
  <c r="AB225" i="17"/>
  <c r="AC434" i="17"/>
  <c r="AC549" i="17"/>
  <c r="AB407" i="17"/>
  <c r="AB417" i="17"/>
  <c r="AC483" i="17"/>
  <c r="AB208" i="17"/>
  <c r="AB323" i="17"/>
  <c r="AC479" i="17"/>
  <c r="AC98" i="17"/>
  <c r="AB391" i="17"/>
  <c r="AB135" i="17"/>
  <c r="AB478" i="17"/>
  <c r="AC433" i="17"/>
  <c r="AC507" i="17"/>
  <c r="AB584" i="17"/>
  <c r="AB70" i="17"/>
  <c r="AC331" i="17"/>
  <c r="AB465" i="17"/>
  <c r="AB539" i="17"/>
  <c r="AC200" i="17"/>
  <c r="AC275" i="17"/>
  <c r="AB235" i="17"/>
  <c r="AB552" i="17"/>
  <c r="AB304" i="17"/>
  <c r="AB74" i="17"/>
  <c r="AB161" i="17"/>
  <c r="AC49" i="17"/>
  <c r="AB312" i="17"/>
  <c r="AB499" i="17"/>
  <c r="AB277" i="17"/>
  <c r="AC565" i="17"/>
  <c r="AB56" i="17"/>
  <c r="AC62" i="17"/>
  <c r="AC488" i="17"/>
  <c r="AC104" i="17"/>
  <c r="AB579" i="17"/>
  <c r="AB311" i="17"/>
  <c r="AC504" i="17"/>
  <c r="AB40" i="17"/>
  <c r="AC518" i="17"/>
  <c r="AB140" i="17"/>
  <c r="AC99" i="17"/>
  <c r="AB120" i="17"/>
  <c r="AC252" i="17"/>
  <c r="AB122" i="17"/>
  <c r="AC25" i="17"/>
  <c r="AB371" i="17"/>
  <c r="AC230" i="17"/>
  <c r="AB237" i="17"/>
  <c r="AB116" i="17"/>
  <c r="AC103" i="17"/>
  <c r="AB356" i="17"/>
  <c r="AB306" i="17"/>
  <c r="AC178" i="17"/>
  <c r="AC376" i="17"/>
  <c r="AC81" i="17"/>
  <c r="AB555" i="17"/>
  <c r="AC295" i="17"/>
  <c r="AB283" i="17"/>
  <c r="AC130" i="17"/>
  <c r="AC167" i="17"/>
  <c r="AC37" i="17"/>
  <c r="AB95" i="17"/>
  <c r="AB73" i="17"/>
  <c r="AB422" i="17"/>
  <c r="AC354" i="17"/>
  <c r="AC431" i="17"/>
  <c r="AB152" i="17"/>
  <c r="AC156" i="17"/>
  <c r="AC144" i="17"/>
  <c r="AB344" i="17"/>
  <c r="AB191" i="17"/>
  <c r="AC513" i="17"/>
  <c r="AB124" i="17"/>
  <c r="AC561" i="17"/>
  <c r="AB438" i="17"/>
  <c r="AB68" i="17"/>
  <c r="AC302" i="17"/>
  <c r="AB454" i="17"/>
  <c r="AB244" i="17"/>
  <c r="AB179" i="17"/>
  <c r="AC460" i="17"/>
  <c r="AC169" i="17"/>
  <c r="AC127" i="17"/>
  <c r="AB487" i="17"/>
  <c r="AC184" i="17"/>
  <c r="AC57" i="17"/>
  <c r="AC445" i="17"/>
  <c r="AB242" i="17"/>
  <c r="AC80" i="17"/>
  <c r="AC51" i="17"/>
  <c r="AC237" i="17"/>
  <c r="AB567" i="17"/>
  <c r="AB213" i="17"/>
  <c r="AC526" i="17"/>
  <c r="AB355" i="17"/>
  <c r="AB497" i="17"/>
  <c r="AC315" i="17"/>
  <c r="AB500" i="17"/>
  <c r="AB569" i="17"/>
  <c r="AC236" i="17"/>
  <c r="AC441" i="17"/>
  <c r="AB610" i="17"/>
  <c r="AB398" i="17"/>
  <c r="AC44" i="17"/>
  <c r="AC472" i="17"/>
  <c r="AC401" i="17"/>
  <c r="AC196" i="17"/>
  <c r="AC463" i="17"/>
  <c r="AB289" i="17"/>
  <c r="AC484" i="17"/>
  <c r="AB393" i="17"/>
  <c r="AB503" i="17"/>
  <c r="AB86" i="17"/>
  <c r="AB440" i="17"/>
  <c r="AC466" i="17"/>
  <c r="AB348" i="17"/>
  <c r="AC74" i="17"/>
  <c r="AB541" i="17"/>
  <c r="AC235" i="17"/>
  <c r="W235" i="17"/>
  <c r="AB300" i="17"/>
  <c r="AB123" i="17"/>
  <c r="AB314" i="17"/>
  <c r="AB212" i="17"/>
  <c r="AB612" i="17"/>
  <c r="AB381" i="17"/>
  <c r="AB320" i="17"/>
  <c r="AC269" i="17"/>
  <c r="AB494" i="17"/>
  <c r="AC263" i="17"/>
  <c r="AB385" i="17"/>
  <c r="AB333" i="17"/>
  <c r="AC298" i="17"/>
  <c r="AB535" i="17"/>
  <c r="AC500" i="17"/>
  <c r="AB394" i="17"/>
  <c r="AB580" i="17"/>
  <c r="AB252" i="17"/>
  <c r="AC422" i="17"/>
  <c r="AB182" i="17"/>
  <c r="AC459" i="17"/>
  <c r="AC495" i="17"/>
  <c r="AC164" i="17"/>
  <c r="AC214" i="17"/>
  <c r="AC22" i="17"/>
  <c r="AC21" i="17"/>
  <c r="AC361" i="17"/>
  <c r="AB199" i="17"/>
  <c r="AB240" i="17"/>
  <c r="AB295" i="17"/>
  <c r="AB166" i="17"/>
  <c r="AB561" i="17"/>
  <c r="AB315" i="17"/>
  <c r="AC323" i="17"/>
  <c r="AB316" i="17"/>
  <c r="AB265" i="17"/>
  <c r="AC32" i="17"/>
  <c r="AC31" i="17"/>
  <c r="AC135" i="17"/>
  <c r="AB443" i="17"/>
  <c r="AC146" i="17"/>
  <c r="AC314" i="17"/>
  <c r="AB268" i="17"/>
  <c r="AB502" i="17"/>
  <c r="AC93" i="17"/>
  <c r="AC281" i="17"/>
  <c r="AB274" i="17"/>
  <c r="AB573" i="17"/>
  <c r="AB132" i="17"/>
  <c r="AC559" i="17"/>
  <c r="AB433" i="17"/>
  <c r="AC54" i="17"/>
  <c r="AB14" i="17"/>
  <c r="AC345" i="17"/>
  <c r="AC114" i="17"/>
  <c r="AC411" i="17"/>
  <c r="AC346" i="17"/>
  <c r="AC494" i="17"/>
  <c r="AB236" i="17"/>
  <c r="AC570" i="17"/>
  <c r="AB174" i="17"/>
  <c r="AC359" i="17"/>
  <c r="AC102" i="17"/>
  <c r="AB15" i="17"/>
  <c r="AC63" i="17"/>
  <c r="AC250" i="17"/>
  <c r="AC347" i="17"/>
  <c r="AC597" i="17"/>
  <c r="AB338" i="17"/>
  <c r="AB204" i="17"/>
  <c r="AC372" i="17"/>
  <c r="AC512" i="17"/>
  <c r="AC490" i="17"/>
  <c r="AC560" i="17"/>
  <c r="AB49" i="17"/>
  <c r="AC453" i="17"/>
  <c r="AC97" i="17"/>
  <c r="AC344" i="17"/>
  <c r="AB234" i="17"/>
  <c r="AC581" i="17"/>
  <c r="AC189" i="17"/>
  <c r="AC266" i="17"/>
  <c r="AB521" i="17"/>
  <c r="AC497" i="17"/>
  <c r="AC292" i="17"/>
  <c r="AB115" i="17"/>
  <c r="AC75" i="17"/>
  <c r="AB167" i="17"/>
  <c r="AB82" i="17"/>
  <c r="AC335" i="17"/>
  <c r="AC503" i="17"/>
  <c r="AB278" i="17"/>
  <c r="AB352" i="17"/>
  <c r="AC535" i="17"/>
  <c r="AB593" i="17"/>
  <c r="AB330" i="17"/>
  <c r="AC529" i="17"/>
  <c r="AB354" i="17"/>
  <c r="AC605" i="17"/>
  <c r="AB290" i="17"/>
  <c r="W131" i="17"/>
  <c r="AC131" i="17"/>
  <c r="AC26" i="17"/>
  <c r="AB35" i="17"/>
  <c r="AB623" i="17"/>
  <c r="AB102" i="17"/>
  <c r="AC415" i="17"/>
  <c r="AB590" i="17"/>
  <c r="AB267" i="17"/>
  <c r="AB190" i="17"/>
  <c r="AC318" i="17"/>
  <c r="AB472" i="17"/>
  <c r="AC498" i="17"/>
  <c r="AB281" i="17"/>
  <c r="AB256" i="17"/>
  <c r="AB410" i="17"/>
  <c r="AC444" i="17"/>
  <c r="AB144" i="17"/>
  <c r="AB130" i="17"/>
  <c r="AC305" i="17"/>
  <c r="AC137" i="17"/>
  <c r="AC397" i="17"/>
  <c r="AC163" i="17"/>
  <c r="AC34" i="17"/>
  <c r="AC299" i="17"/>
  <c r="AB137" i="17"/>
  <c r="AC68" i="17"/>
  <c r="AB114" i="17"/>
  <c r="AB121" i="17"/>
  <c r="AB455" i="17"/>
  <c r="AC147" i="17"/>
  <c r="AB173" i="17"/>
  <c r="AB159" i="17"/>
  <c r="AC50" i="17"/>
  <c r="AC517" i="17"/>
  <c r="AC312" i="17"/>
  <c r="AC90" i="17"/>
  <c r="AC219" i="17"/>
  <c r="AC264" i="17"/>
  <c r="AC208" i="17"/>
  <c r="AC334" i="17"/>
  <c r="AB90" i="17"/>
  <c r="AB475" i="17"/>
  <c r="AC546" i="17"/>
  <c r="AB366" i="17"/>
  <c r="AC449" i="17"/>
  <c r="AC244" i="17"/>
  <c r="AB517" i="17"/>
  <c r="AC108" i="17"/>
  <c r="AC116" i="17"/>
  <c r="AC489" i="17"/>
  <c r="AC229" i="17"/>
  <c r="AC380" i="17"/>
  <c r="AC276" i="17"/>
  <c r="AC446" i="17"/>
  <c r="AC547" i="17"/>
  <c r="AC418" i="17"/>
  <c r="AC297" i="17"/>
  <c r="AB599" i="17"/>
  <c r="AC257" i="17"/>
  <c r="AC577" i="17"/>
  <c r="AB585" i="17"/>
  <c r="AC438" i="17"/>
  <c r="AB380" i="17"/>
  <c r="AB45" i="17"/>
  <c r="AB387" i="17"/>
  <c r="AC308" i="17"/>
  <c r="AC369" i="17"/>
  <c r="AC607" i="17"/>
  <c r="AC201" i="17"/>
  <c r="AC172" i="17"/>
  <c r="AC419" i="17"/>
  <c r="AB233" i="17"/>
  <c r="AB389" i="17"/>
  <c r="AB38" i="17"/>
  <c r="AC404" i="17"/>
  <c r="AB414" i="17"/>
  <c r="AC96" i="17"/>
  <c r="AB169" i="17"/>
  <c r="AB171" i="17"/>
  <c r="AB526" i="17"/>
  <c r="AB145" i="17"/>
  <c r="AC485" i="17"/>
  <c r="AB586" i="17"/>
  <c r="AB301" i="17"/>
  <c r="AC14" i="17"/>
  <c r="AB568" i="17"/>
  <c r="AB195" i="17"/>
  <c r="AB528" i="17"/>
  <c r="AB470" i="17"/>
  <c r="AB67" i="17"/>
  <c r="AB463" i="17"/>
  <c r="AB27" i="17"/>
  <c r="AC209" i="17"/>
  <c r="AB224" i="17"/>
  <c r="AC574" i="17"/>
  <c r="AB481" i="17"/>
  <c r="AB34" i="17"/>
  <c r="AB197" i="17"/>
  <c r="AC239" i="17"/>
  <c r="AB415" i="17"/>
  <c r="AB546" i="17"/>
  <c r="AB530" i="17"/>
  <c r="AC430" i="17"/>
  <c r="AC358" i="17"/>
  <c r="AB168" i="17"/>
  <c r="AC583" i="17"/>
  <c r="AB146" i="17"/>
  <c r="AB431" i="17"/>
  <c r="AB588" i="17"/>
  <c r="AC440" i="17"/>
  <c r="AC388" i="17"/>
  <c r="AC610" i="17"/>
  <c r="AC540" i="17"/>
  <c r="AC215" i="17"/>
  <c r="AB37" i="17"/>
  <c r="AB523" i="17"/>
  <c r="AC85" i="17"/>
  <c r="AB72" i="17"/>
  <c r="AC248" i="17"/>
  <c r="AB108" i="17"/>
  <c r="AB29" i="17"/>
  <c r="AB441" i="17"/>
  <c r="AC550" i="17"/>
  <c r="AC515" i="17"/>
  <c r="AB571" i="17"/>
  <c r="AC126" i="17"/>
  <c r="AC187" i="17"/>
  <c r="AB493" i="17"/>
  <c r="AC121" i="17"/>
  <c r="AB403" i="17"/>
  <c r="AC109" i="17"/>
  <c r="AC52" i="17"/>
  <c r="AB232" i="17"/>
  <c r="AC204" i="17"/>
  <c r="AC309" i="17"/>
  <c r="AB482" i="17"/>
  <c r="AB218" i="17"/>
  <c r="AC586" i="17"/>
  <c r="AC72" i="17"/>
  <c r="AB279" i="17"/>
  <c r="AB343" i="17"/>
  <c r="AB604" i="17"/>
  <c r="AC78" i="17"/>
  <c r="AB59" i="17"/>
  <c r="AC481" i="17"/>
  <c r="AC88" i="17"/>
  <c r="AC576" i="17"/>
  <c r="AB601" i="17"/>
  <c r="AC611" i="17"/>
  <c r="AB239" i="17"/>
  <c r="AB373" i="17"/>
  <c r="AB388" i="17"/>
  <c r="AB334" i="17"/>
  <c r="AC492" i="17"/>
  <c r="AC509" i="17"/>
  <c r="AB92" i="17"/>
  <c r="AB75" i="17"/>
  <c r="AB400" i="17"/>
  <c r="AB317" i="17"/>
  <c r="AB260" i="17"/>
  <c r="AB395" i="17"/>
  <c r="AB529" i="17"/>
  <c r="AC226" i="17"/>
  <c r="AC197" i="17"/>
  <c r="AB180" i="17"/>
  <c r="AC348" i="17"/>
  <c r="AB508" i="17"/>
  <c r="AB322" i="17"/>
  <c r="AB294" i="17"/>
  <c r="AB359" i="17"/>
  <c r="AC165" i="17"/>
  <c r="AB420" i="17"/>
  <c r="AB248" i="17"/>
  <c r="AB390" i="17"/>
  <c r="AC176" i="17"/>
  <c r="AC159" i="17"/>
  <c r="AC133" i="17"/>
  <c r="AB136" i="17"/>
  <c r="AB284" i="17"/>
  <c r="AB358" i="17"/>
  <c r="AC541" i="17"/>
  <c r="AB512" i="17"/>
  <c r="AC416" i="17"/>
  <c r="AC313" i="17"/>
  <c r="AC179" i="17"/>
  <c r="AB100" i="17"/>
  <c r="AC105" i="17"/>
  <c r="AC324" i="17"/>
  <c r="AB498" i="17"/>
  <c r="AB516" i="17"/>
  <c r="AC125" i="17"/>
  <c r="AC202" i="17"/>
  <c r="AB459" i="17"/>
  <c r="AB349" i="17"/>
  <c r="AB489" i="17"/>
  <c r="AC604" i="17"/>
  <c r="AB198" i="17"/>
  <c r="AB432" i="17"/>
  <c r="AC506" i="17"/>
  <c r="AB598" i="17"/>
  <c r="AB241" i="17"/>
  <c r="AB506" i="17"/>
  <c r="AB303" i="17"/>
  <c r="AC387" i="17"/>
  <c r="AC185" i="17"/>
  <c r="AC128" i="17"/>
  <c r="AC351" i="17"/>
  <c r="AB575" i="17"/>
  <c r="AB126" i="17"/>
  <c r="AB254" i="17"/>
  <c r="AC392" i="17"/>
  <c r="AB412" i="17"/>
  <c r="AB258" i="17"/>
  <c r="AC113" i="17"/>
  <c r="AB447" i="17"/>
  <c r="AB251" i="17"/>
  <c r="AB551" i="17"/>
  <c r="AC193" i="17"/>
  <c r="AC198" i="17"/>
  <c r="AB532" i="17"/>
  <c r="AB64" i="17"/>
  <c r="AB97" i="17"/>
  <c r="AB155" i="17"/>
  <c r="AB20" i="17"/>
  <c r="AC73" i="17"/>
  <c r="AC544" i="17"/>
  <c r="AC571" i="17"/>
  <c r="AB246" i="17"/>
  <c r="AB125" i="17"/>
  <c r="AC218" i="17"/>
  <c r="AB515" i="17"/>
  <c r="AB540" i="17"/>
  <c r="AC391" i="17"/>
  <c r="AC71" i="17"/>
  <c r="AB149" i="17"/>
  <c r="AC223" i="17"/>
  <c r="AB187" i="17"/>
  <c r="AB549" i="17"/>
  <c r="AC216" i="17"/>
  <c r="AC194" i="17"/>
  <c r="AB337" i="17"/>
  <c r="AC456" i="17"/>
  <c r="AB341" i="17"/>
  <c r="AC539" i="17"/>
  <c r="AC556" i="17"/>
  <c r="AC424" i="17"/>
  <c r="AC153" i="17"/>
  <c r="AB536" i="17"/>
  <c r="AC594" i="17"/>
  <c r="AC307" i="17"/>
  <c r="AC188" i="17"/>
  <c r="AC220" i="17"/>
  <c r="AB570" i="17"/>
  <c r="AC585" i="17"/>
  <c r="AB396" i="17"/>
  <c r="AB386" i="17"/>
  <c r="AB272" i="17"/>
  <c r="AC548" i="17"/>
  <c r="AC280" i="17"/>
  <c r="AB603" i="17"/>
  <c r="AC191" i="17"/>
  <c r="AB495" i="17"/>
  <c r="AC186" i="17"/>
  <c r="AC154" i="17"/>
  <c r="AB464" i="17"/>
  <c r="AC468" i="17"/>
  <c r="AC145" i="17"/>
  <c r="AC291" i="17"/>
  <c r="AB331" i="17"/>
  <c r="AB324" i="17"/>
  <c r="AC341" i="17"/>
  <c r="AB429" i="17"/>
  <c r="AC338" i="17"/>
  <c r="AB379" i="17"/>
  <c r="AB98" i="17"/>
  <c r="AB51" i="17"/>
  <c r="AC452" i="17"/>
  <c r="AC520" i="17"/>
  <c r="AC303" i="17"/>
  <c r="AC377" i="17"/>
  <c r="AC475" i="17"/>
  <c r="AC410" i="17"/>
  <c r="AB293" i="17"/>
  <c r="AC525" i="17"/>
  <c r="AC251" i="17"/>
  <c r="AC461" i="17"/>
  <c r="AB360" i="17"/>
  <c r="AB118" i="17"/>
  <c r="AB413" i="17"/>
  <c r="AC47" i="17"/>
  <c r="AC140" i="17"/>
  <c r="AC271" i="17"/>
  <c r="AC282" i="17"/>
  <c r="AC245" i="17"/>
  <c r="AC442" i="17"/>
  <c r="AB105" i="17"/>
  <c r="AB608" i="17"/>
  <c r="AC190" i="17"/>
  <c r="AB205" i="17"/>
  <c r="AC428" i="17"/>
  <c r="AB565" i="17"/>
  <c r="AB89" i="17"/>
  <c r="AB185" i="17"/>
  <c r="AB474" i="17"/>
  <c r="AB554" i="17"/>
  <c r="AB33" i="17"/>
  <c r="AB626" i="17"/>
  <c r="AB559" i="17"/>
  <c r="AC622" i="17"/>
  <c r="AC432" i="17"/>
  <c r="AB259" i="17"/>
  <c r="AB30" i="17"/>
  <c r="AC363" i="17"/>
  <c r="AC349" i="17"/>
  <c r="AC265" i="17"/>
  <c r="AC427" i="17"/>
  <c r="AC234" i="17"/>
  <c r="AB607" i="17"/>
  <c r="AC296" i="17"/>
  <c r="AC17" i="17"/>
  <c r="AB383" i="17"/>
  <c r="AC203" i="17"/>
  <c r="AB308" i="17"/>
  <c r="AB223" i="17"/>
  <c r="AB564" i="17"/>
  <c r="AB409" i="17"/>
  <c r="AC132" i="17"/>
  <c r="AC319" i="17"/>
  <c r="AC557" i="17"/>
  <c r="AC246" i="17"/>
  <c r="AC61" i="17"/>
  <c r="AC158" i="17"/>
  <c r="AB39" i="17"/>
  <c r="AB442" i="17"/>
  <c r="AC493" i="17"/>
  <c r="AB437" i="17"/>
  <c r="AC595" i="17"/>
  <c r="AB468" i="17"/>
  <c r="AC613" i="17"/>
  <c r="AB299" i="17"/>
  <c r="AB483" i="17"/>
  <c r="AB578" i="17"/>
  <c r="AC117" i="17"/>
  <c r="AC399" i="17"/>
  <c r="AC599" i="17"/>
  <c r="AB229" i="17"/>
  <c r="AC542" i="17"/>
  <c r="AB282" i="17"/>
  <c r="AB466" i="17"/>
  <c r="AC437" i="17"/>
  <c r="AB424" i="17"/>
  <c r="AB613" i="17"/>
  <c r="AC590" i="17"/>
  <c r="AB203" i="17"/>
  <c r="AB416" i="17"/>
  <c r="AB490" i="17"/>
  <c r="AB57" i="17"/>
  <c r="AC579" i="17"/>
  <c r="AB148" i="17"/>
  <c r="AC274" i="17"/>
  <c r="AC531" i="17"/>
  <c r="AB46" i="17"/>
  <c r="AB522" i="17"/>
  <c r="AC210" i="17"/>
  <c r="AC591" i="17"/>
  <c r="AC413" i="17"/>
  <c r="AC42" i="17"/>
  <c r="AC221" i="17"/>
  <c r="AB480" i="17"/>
  <c r="AB545" i="17"/>
  <c r="AB553" i="17"/>
  <c r="AB264" i="17"/>
  <c r="AC243" i="17"/>
  <c r="AB80" i="17"/>
  <c r="AC357" i="17"/>
  <c r="AC403" i="17"/>
  <c r="AC365" i="17"/>
  <c r="AB84" i="17"/>
  <c r="AC469" i="17"/>
  <c r="AC474" i="17"/>
  <c r="AC486" i="17"/>
  <c r="AC207" i="17"/>
  <c r="AC79" i="17"/>
  <c r="AB479" i="17"/>
  <c r="AB178" i="17"/>
  <c r="AC566" i="17"/>
  <c r="AB13" i="17"/>
  <c r="AB71" i="17"/>
  <c r="AC92" i="17"/>
  <c r="AB507" i="17"/>
  <c r="AB87" i="17"/>
  <c r="AC247" i="17"/>
  <c r="AB231" i="17"/>
  <c r="AC408" i="17"/>
  <c r="AB446" i="17"/>
  <c r="AB206" i="17"/>
  <c r="AC450" i="17"/>
  <c r="AC278" i="17"/>
  <c r="AC268" i="17"/>
  <c r="AC83" i="17"/>
  <c r="AB421" i="17"/>
  <c r="AB280" i="17"/>
  <c r="AC211" i="17"/>
  <c r="AC373" i="17"/>
  <c r="AC18" i="17"/>
  <c r="AB156" i="17"/>
  <c r="AB220" i="17"/>
  <c r="AB62" i="17"/>
  <c r="AC340" i="17"/>
  <c r="AC232" i="17"/>
  <c r="AC267" i="17"/>
  <c r="AB107" i="17"/>
  <c r="AC543" i="17"/>
  <c r="AB457" i="17"/>
  <c r="AB384" i="17"/>
  <c r="AC606" i="17"/>
  <c r="AB557" i="17"/>
  <c r="AC70" i="17"/>
  <c r="AC505" i="17"/>
  <c r="AB606" i="17"/>
  <c r="AC205" i="17"/>
  <c r="AB582" i="17"/>
  <c r="AB596" i="17"/>
  <c r="AB496" i="17"/>
  <c r="AB558" i="17"/>
  <c r="AB66" i="17"/>
  <c r="AC573" i="17"/>
  <c r="AB226" i="17"/>
  <c r="AC249" i="17"/>
  <c r="AC256" i="17"/>
  <c r="AB524" i="17"/>
  <c r="AB375" i="17"/>
  <c r="AC119" i="17"/>
  <c r="AB275" i="17"/>
  <c r="AB143" i="17"/>
  <c r="AC94" i="17"/>
  <c r="AB192" i="17"/>
  <c r="AC112" i="17"/>
  <c r="AC28" i="17"/>
  <c r="AB238" i="17"/>
  <c r="AC300" i="17"/>
  <c r="AB357" i="17"/>
  <c r="AB452" i="17"/>
  <c r="AC364" i="17"/>
  <c r="AB77" i="17"/>
  <c r="AC473" i="17"/>
  <c r="AC409" i="17"/>
  <c r="AC29" i="17"/>
  <c r="AB514" i="17"/>
  <c r="AC368" i="17"/>
  <c r="AC343" i="17"/>
  <c r="AC170" i="17"/>
  <c r="AC141" i="17"/>
  <c r="AC589" i="17"/>
  <c r="AC286" i="17"/>
  <c r="AB397" i="17"/>
  <c r="AC258" i="17"/>
  <c r="AB16" i="17"/>
  <c r="AC568" i="17"/>
  <c r="AC383" i="17"/>
  <c r="AB589" i="17"/>
  <c r="AB583" i="17"/>
  <c r="AC330" i="17"/>
  <c r="AC462" i="17"/>
  <c r="AC396" i="17"/>
  <c r="AB462" i="17"/>
  <c r="AB448" i="17"/>
  <c r="AC231" i="17"/>
  <c r="AB581" i="17"/>
  <c r="AC41" i="17"/>
  <c r="AB450" i="17"/>
  <c r="AB227" i="17"/>
  <c r="AC173" i="17"/>
  <c r="AB353" i="17"/>
  <c r="AB436" i="17"/>
  <c r="AB142" i="17"/>
  <c r="AB622" i="17"/>
  <c r="AC36" i="17"/>
  <c r="AB370" i="17"/>
  <c r="AC86" i="17"/>
  <c r="AB527" i="17"/>
  <c r="AC352" i="17"/>
  <c r="AC254" i="17"/>
  <c r="AC511" i="17"/>
  <c r="AB346" i="17"/>
  <c r="AB509" i="17"/>
  <c r="AC238" i="17"/>
  <c r="AC33" i="17"/>
  <c r="AC405" i="17"/>
  <c r="AC289" i="17"/>
  <c r="AC160" i="17"/>
  <c r="AB96" i="17"/>
  <c r="AC65" i="17"/>
  <c r="AC15" i="17"/>
  <c r="AB594" i="17"/>
  <c r="AB266" i="17"/>
  <c r="AB434" i="17"/>
  <c r="AB183" i="17"/>
  <c r="AC118" i="17"/>
  <c r="AC199" i="17"/>
  <c r="AB562" i="17"/>
  <c r="AB298" i="17"/>
  <c r="AC555" i="17"/>
  <c r="AC575" i="17"/>
  <c r="AB361" i="17"/>
  <c r="AB53" i="17"/>
  <c r="AC48" i="17"/>
  <c r="AC414" i="17"/>
  <c r="AB22" i="17"/>
  <c r="AC59" i="17"/>
  <c r="AB99" i="17"/>
  <c r="AC134" i="17"/>
  <c r="AB501" i="17"/>
  <c r="AC407" i="17"/>
  <c r="AC55" i="17"/>
  <c r="AB367" i="17"/>
  <c r="AB177" i="17"/>
  <c r="AB188" i="17"/>
  <c r="AB406" i="17"/>
  <c r="AC564" i="17"/>
  <c r="AB318" i="17"/>
  <c r="AB69" i="17"/>
  <c r="AB158" i="17"/>
  <c r="AB518" i="17"/>
  <c r="AB253" i="17"/>
  <c r="AB288" i="17"/>
  <c r="AB207" i="17"/>
  <c r="AB113" i="17"/>
  <c r="AB134" i="17"/>
  <c r="AB520" i="17"/>
  <c r="AC177" i="17"/>
  <c r="AB194" i="17"/>
  <c r="AB28" i="17"/>
  <c r="AB104" i="17"/>
  <c r="AC304" i="17"/>
  <c r="AC360" i="17"/>
  <c r="AB378" i="17"/>
  <c r="AB103" i="17"/>
  <c r="AC95" i="17"/>
  <c r="AB131" i="17"/>
  <c r="AC175" i="17"/>
  <c r="AB453" i="17"/>
  <c r="AB404" i="17"/>
  <c r="AC448" i="17"/>
  <c r="AC553" i="17"/>
  <c r="AC371" i="17"/>
  <c r="AB332" i="17"/>
  <c r="AC420" i="17"/>
  <c r="AC514" i="17"/>
  <c r="AC23" i="17"/>
  <c r="AC143" i="17"/>
  <c r="AC385" i="17"/>
  <c r="AB451" i="17"/>
  <c r="AB276" i="17"/>
  <c r="AB342" i="17"/>
  <c r="AC533" i="17"/>
  <c r="AC530" i="17"/>
  <c r="AB305" i="17"/>
  <c r="AB328" i="17"/>
  <c r="AC64" i="17"/>
  <c r="AC148" i="17"/>
  <c r="AC510" i="17"/>
  <c r="AB245" i="17"/>
  <c r="AB486" i="17"/>
  <c r="AB556" i="17"/>
  <c r="AB519" i="17"/>
  <c r="AB273" i="17"/>
  <c r="AC336" i="17"/>
  <c r="AC476" i="17"/>
  <c r="AC626" i="17"/>
  <c r="AC588" i="17"/>
  <c r="AC534" i="17"/>
  <c r="AB510" i="17"/>
  <c r="AB382" i="17"/>
  <c r="AC356" i="17"/>
  <c r="AB228" i="17"/>
  <c r="AC478" i="17"/>
  <c r="AB170" i="17"/>
  <c r="AC395" i="17"/>
  <c r="AB547" i="17"/>
  <c r="AC465" i="17"/>
  <c r="AB106" i="17"/>
  <c r="AC593" i="17"/>
  <c r="AC326" i="17"/>
  <c r="AB176" i="17"/>
  <c r="AC584" i="17"/>
  <c r="AB296" i="17"/>
  <c r="AB444" i="17"/>
  <c r="AB511" i="17"/>
  <c r="AC600" i="17"/>
  <c r="AC106" i="17"/>
  <c r="AB54" i="17"/>
  <c r="AB61" i="17"/>
  <c r="AC447" i="17"/>
  <c r="AB376" i="17"/>
  <c r="AB504" i="17"/>
  <c r="AC528" i="17"/>
  <c r="AC582" i="17"/>
  <c r="AB285" i="17"/>
  <c r="AB476" i="17"/>
  <c r="AC435" i="17"/>
  <c r="AB117" i="17"/>
  <c r="AC569" i="17"/>
  <c r="AC139" i="17"/>
  <c r="AB60" i="17"/>
  <c r="AB85" i="17"/>
  <c r="AC76" i="17"/>
  <c r="AB17" i="17"/>
  <c r="AC100" i="17"/>
  <c r="AC491" i="17"/>
  <c r="AC30" i="17"/>
  <c r="AC337" i="17"/>
  <c r="AC53" i="17"/>
  <c r="AB201" i="17"/>
  <c r="AB473" i="17"/>
  <c r="AB133" i="17"/>
  <c r="AC27" i="17"/>
  <c r="AB111" i="17"/>
  <c r="AB309" i="17"/>
  <c r="AB184" i="17"/>
  <c r="AB83" i="17"/>
  <c r="AB32" i="17"/>
  <c r="AC225" i="17"/>
  <c r="AC609" i="17"/>
  <c r="AB150" i="17"/>
  <c r="AB154" i="17"/>
  <c r="AB340" i="17"/>
  <c r="AC412" i="17"/>
  <c r="AC285" i="17"/>
  <c r="AC89" i="17"/>
  <c r="AC598" i="17"/>
  <c r="AC120" i="17"/>
  <c r="AC374" i="17"/>
  <c r="AB592" i="17"/>
  <c r="AB112" i="17"/>
  <c r="AC320" i="17"/>
  <c r="AB319" i="17"/>
  <c r="AC458" i="17"/>
  <c r="AB255" i="17"/>
  <c r="AC150" i="17"/>
  <c r="AC241" i="17"/>
  <c r="AC532" i="17"/>
  <c r="AC381" i="17"/>
  <c r="AC322" i="17"/>
  <c r="AB439" i="17"/>
  <c r="AC417" i="17"/>
  <c r="AC522" i="17"/>
  <c r="AB302" i="17"/>
  <c r="AB492" i="17"/>
  <c r="AB291" i="17"/>
  <c r="AC39" i="17"/>
  <c r="AC519" i="17"/>
  <c r="AB78" i="17"/>
  <c r="AC596" i="17"/>
  <c r="AB533" i="17"/>
  <c r="AC317" i="17"/>
  <c r="AC501" i="17"/>
  <c r="AB351" i="17"/>
  <c r="AB325" i="17"/>
  <c r="AB215" i="17"/>
  <c r="AC272" i="17"/>
  <c r="AB491" i="17"/>
  <c r="AC523" i="17"/>
  <c r="AB329" i="17"/>
  <c r="AB418" i="17"/>
  <c r="AC603" i="17"/>
  <c r="AC499" i="17"/>
  <c r="AC545" i="17"/>
  <c r="AC439" i="17"/>
  <c r="AC389" i="17"/>
  <c r="AB18" i="17"/>
  <c r="AB374" i="17"/>
  <c r="AC157" i="17"/>
  <c r="AC66" i="17"/>
  <c r="AB392" i="17"/>
  <c r="AC261" i="17"/>
  <c r="AB230" i="17"/>
  <c r="AB426" i="17"/>
  <c r="AC623" i="17"/>
  <c r="AB327" i="17"/>
  <c r="AC436" i="17"/>
  <c r="AC601" i="17"/>
  <c r="AC228" i="17"/>
  <c r="AB21" i="17"/>
  <c r="AB47" i="17"/>
  <c r="AB595" i="17"/>
  <c r="AB408" i="17"/>
  <c r="AC107" i="17"/>
  <c r="AC43" i="17"/>
  <c r="AC166" i="17"/>
  <c r="AC451" i="17"/>
  <c r="AC578" i="17"/>
  <c r="AB250" i="17"/>
  <c r="AC316" i="17"/>
  <c r="AB101" i="17"/>
  <c r="AB42" i="17"/>
  <c r="AB175" i="17"/>
  <c r="AC454" i="17"/>
  <c r="AC151" i="17"/>
  <c r="AB411" i="17"/>
  <c r="AB91" i="17"/>
  <c r="AB531" i="17"/>
  <c r="AB41" i="17"/>
  <c r="AB513" i="17"/>
  <c r="AB271" i="17"/>
  <c r="AB548" i="17"/>
  <c r="AB362" i="17"/>
  <c r="AC382" i="17"/>
  <c r="AC551" i="17"/>
  <c r="AC155" i="17"/>
  <c r="AC421" i="17"/>
  <c r="AC46" i="17"/>
  <c r="AC259" i="17"/>
  <c r="AB537" i="17"/>
  <c r="AC56" i="17"/>
  <c r="AB427" i="17"/>
  <c r="AC182" i="17"/>
  <c r="AC310" i="17"/>
  <c r="AC279" i="17"/>
  <c r="AB163" i="17"/>
  <c r="AB153" i="17"/>
  <c r="AC67" i="17"/>
  <c r="AB369" i="17"/>
  <c r="AB261" i="17"/>
  <c r="AC171" i="17"/>
  <c r="AC329" i="17"/>
  <c r="AC457" i="17"/>
  <c r="AC332" i="17"/>
  <c r="AB363" i="17"/>
  <c r="AC77" i="17"/>
  <c r="AB460" i="17"/>
  <c r="AB214" i="17"/>
  <c r="AB591" i="17"/>
  <c r="AB26" i="17"/>
  <c r="AC87" i="17"/>
  <c r="AB469" i="17"/>
  <c r="AB164" i="17"/>
  <c r="AB292" i="17"/>
  <c r="AC152" i="17"/>
  <c r="AB189" i="17"/>
  <c r="AC370" i="17"/>
  <c r="AB286" i="17"/>
  <c r="AC471" i="17"/>
  <c r="AB605" i="17"/>
  <c r="AB577" i="17"/>
  <c r="AB574" i="17"/>
  <c r="AB307" i="17"/>
  <c r="AC406" i="17"/>
  <c r="AC367" i="17"/>
  <c r="AB471" i="17"/>
  <c r="AB566" i="17"/>
  <c r="AB368" i="17"/>
  <c r="AF627" i="17"/>
  <c r="AE627" i="17"/>
  <c r="AH367" i="17" l="1"/>
  <c r="AI367" i="17" s="1"/>
  <c r="AH578" i="17"/>
  <c r="AI578" i="17" s="1"/>
  <c r="W30" i="27"/>
  <c r="X59" i="27"/>
  <c r="X78" i="27"/>
  <c r="W79" i="27"/>
  <c r="X64" i="27"/>
  <c r="X45" i="27"/>
  <c r="X53" i="27"/>
  <c r="W77" i="27"/>
  <c r="W72" i="27"/>
  <c r="W27" i="27"/>
  <c r="X69" i="27"/>
  <c r="W28" i="27"/>
  <c r="AH13" i="27"/>
  <c r="AH317" i="17"/>
  <c r="AI317" i="17" s="1"/>
  <c r="AH188" i="17"/>
  <c r="AI188" i="17" s="1"/>
  <c r="X54" i="27"/>
  <c r="X56" i="27"/>
  <c r="X63" i="27"/>
  <c r="W97" i="27"/>
  <c r="B303" i="2" s="1"/>
  <c r="X74" i="27"/>
  <c r="W58" i="27"/>
  <c r="W14" i="27"/>
  <c r="X75" i="27"/>
  <c r="W66" i="27"/>
  <c r="W88" i="27"/>
  <c r="W73" i="27"/>
  <c r="W60" i="27"/>
  <c r="X50" i="27"/>
  <c r="X52" i="27"/>
  <c r="W82" i="27"/>
  <c r="W39" i="27"/>
  <c r="X71" i="27"/>
  <c r="X33" i="27"/>
  <c r="X96" i="27"/>
  <c r="X76" i="27"/>
  <c r="W55" i="27"/>
  <c r="X92" i="27"/>
  <c r="X42" i="27"/>
  <c r="X29" i="27"/>
  <c r="W93" i="27"/>
  <c r="W70" i="27"/>
  <c r="W67" i="27"/>
  <c r="X38" i="27"/>
  <c r="W15" i="27"/>
  <c r="W22" i="27"/>
  <c r="W62" i="27"/>
  <c r="X87" i="27"/>
  <c r="AB22" i="27"/>
  <c r="AA22" i="27"/>
  <c r="AB67" i="27"/>
  <c r="AA67" i="27"/>
  <c r="AB38" i="27"/>
  <c r="AA38" i="27"/>
  <c r="AB54" i="27"/>
  <c r="AA54" i="27"/>
  <c r="AB74" i="27"/>
  <c r="AA74" i="27"/>
  <c r="AA97" i="27"/>
  <c r="AB97" i="27"/>
  <c r="AB15" i="27"/>
  <c r="AA15" i="27"/>
  <c r="AB58" i="27"/>
  <c r="AA58" i="27"/>
  <c r="AB63" i="27"/>
  <c r="AA63" i="27"/>
  <c r="AB56" i="27"/>
  <c r="AA56" i="27"/>
  <c r="AA77" i="27"/>
  <c r="AB77" i="27"/>
  <c r="AA53" i="27"/>
  <c r="AB53" i="27"/>
  <c r="AB27" i="27"/>
  <c r="AA27" i="27"/>
  <c r="AB59" i="27"/>
  <c r="AA59" i="27"/>
  <c r="AA45" i="27"/>
  <c r="AB45" i="27"/>
  <c r="AB78" i="27"/>
  <c r="AA78" i="27"/>
  <c r="AA69" i="27"/>
  <c r="AB69" i="27"/>
  <c r="AB30" i="27"/>
  <c r="AA30" i="27"/>
  <c r="AB28" i="27"/>
  <c r="AA28" i="27"/>
  <c r="AB64" i="27"/>
  <c r="AA64" i="27"/>
  <c r="AB72" i="27"/>
  <c r="AA72" i="27"/>
  <c r="AB79" i="27"/>
  <c r="AA79" i="27"/>
  <c r="AB13" i="27"/>
  <c r="AA13" i="27"/>
  <c r="AB87" i="27"/>
  <c r="AA87" i="27"/>
  <c r="AB62" i="27"/>
  <c r="AA62" i="27"/>
  <c r="AB82" i="27"/>
  <c r="AA82" i="27"/>
  <c r="AA73" i="27"/>
  <c r="AB73" i="27"/>
  <c r="AB50" i="27"/>
  <c r="AA50" i="27"/>
  <c r="AB42" i="27"/>
  <c r="AA42" i="27"/>
  <c r="AB14" i="27"/>
  <c r="AA14" i="27"/>
  <c r="AA33" i="27"/>
  <c r="AB33" i="27"/>
  <c r="AB71" i="27"/>
  <c r="AA71" i="27"/>
  <c r="AB52" i="27"/>
  <c r="AA52" i="27"/>
  <c r="AB75" i="27"/>
  <c r="AA75" i="27"/>
  <c r="AB70" i="27"/>
  <c r="AA70" i="27"/>
  <c r="AB39" i="27"/>
  <c r="AA39" i="27"/>
  <c r="AA93" i="27"/>
  <c r="AB93" i="27"/>
  <c r="AB88" i="27"/>
  <c r="AA88" i="27"/>
  <c r="AB76" i="27"/>
  <c r="AA76" i="27"/>
  <c r="AB92" i="27"/>
  <c r="AA92" i="27"/>
  <c r="AB66" i="27"/>
  <c r="AA66" i="27"/>
  <c r="AB60" i="27"/>
  <c r="AA60" i="27"/>
  <c r="AA29" i="27"/>
  <c r="AB29" i="27"/>
  <c r="AB55" i="27"/>
  <c r="AA55" i="27"/>
  <c r="AB96" i="27"/>
  <c r="AA96" i="27"/>
  <c r="AH229" i="17"/>
  <c r="AI229" i="17" s="1"/>
  <c r="AH396" i="17"/>
  <c r="AI396" i="17" s="1"/>
  <c r="AH279" i="17"/>
  <c r="AI279" i="17" s="1"/>
  <c r="AH383" i="17"/>
  <c r="AI383" i="17" s="1"/>
  <c r="AB625" i="17"/>
  <c r="AC625" i="17"/>
  <c r="Y280" i="17"/>
  <c r="U625" i="17"/>
  <c r="D635" i="17" s="1"/>
  <c r="AE625" i="17"/>
  <c r="E635" i="17" s="1"/>
  <c r="AH584" i="17"/>
  <c r="AI584" i="17" s="1"/>
  <c r="V625" i="17"/>
  <c r="W625" i="17" s="1"/>
  <c r="AH21" i="17"/>
  <c r="AI21" i="17" s="1"/>
  <c r="AH134" i="17"/>
  <c r="AI134" i="17" s="1"/>
  <c r="AH491" i="17"/>
  <c r="AI491" i="17" s="1"/>
  <c r="V624" i="17"/>
  <c r="W624" i="17" s="1"/>
  <c r="Y584" i="17"/>
  <c r="AH387" i="17"/>
  <c r="AI387" i="17" s="1"/>
  <c r="AH292" i="17"/>
  <c r="AI292" i="17" s="1"/>
  <c r="Y396" i="17"/>
  <c r="AH129" i="17"/>
  <c r="AI129" i="17" s="1"/>
  <c r="U624" i="17"/>
  <c r="D634" i="17" s="1"/>
  <c r="AH583" i="17"/>
  <c r="AI583" i="17" s="1"/>
  <c r="AH116" i="17"/>
  <c r="AI116" i="17" s="1"/>
  <c r="AH561" i="17"/>
  <c r="AI561" i="17" s="1"/>
  <c r="AH306" i="17"/>
  <c r="AI306" i="17" s="1"/>
  <c r="AH86" i="17"/>
  <c r="AI86" i="17" s="1"/>
  <c r="AH183" i="17"/>
  <c r="AI183" i="17" s="1"/>
  <c r="AH91" i="17"/>
  <c r="AI91" i="17" s="1"/>
  <c r="Y134" i="17"/>
  <c r="AC624" i="17"/>
  <c r="AH468" i="17"/>
  <c r="AI468" i="17" s="1"/>
  <c r="AB624" i="17"/>
  <c r="AH252" i="17"/>
  <c r="AI252" i="17" s="1"/>
  <c r="AH422" i="17"/>
  <c r="AI422" i="17" s="1"/>
  <c r="AE624" i="17"/>
  <c r="E634" i="17" s="1"/>
  <c r="AH535" i="17"/>
  <c r="AI535" i="17" s="1"/>
  <c r="AH208" i="17"/>
  <c r="AI208" i="17" s="1"/>
  <c r="AH110" i="17"/>
  <c r="AI110" i="17" s="1"/>
  <c r="AF624" i="17"/>
  <c r="Y318" i="17"/>
  <c r="AH318" i="17"/>
  <c r="AI318" i="17" s="1"/>
  <c r="AH298" i="17"/>
  <c r="AI298" i="17" s="1"/>
  <c r="Y492" i="17"/>
  <c r="AH406" i="17"/>
  <c r="AI406" i="17" s="1"/>
  <c r="AH513" i="17"/>
  <c r="AI513" i="17" s="1"/>
  <c r="Y368" i="17"/>
  <c r="AH368" i="17"/>
  <c r="AI368" i="17" s="1"/>
  <c r="AH465" i="17"/>
  <c r="AI465" i="17" s="1"/>
  <c r="AH417" i="17"/>
  <c r="AI417" i="17" s="1"/>
  <c r="AH603" i="17"/>
  <c r="AI603" i="17" s="1"/>
  <c r="AH490" i="17"/>
  <c r="AI490" i="17" s="1"/>
  <c r="AH373" i="17"/>
  <c r="AI373" i="17" s="1"/>
  <c r="AH613" i="17"/>
  <c r="AI613" i="17" s="1"/>
  <c r="AH220" i="17"/>
  <c r="AI220" i="17" s="1"/>
  <c r="AH111" i="17"/>
  <c r="AI111" i="17" s="1"/>
  <c r="AH40" i="17"/>
  <c r="AI40" i="17" s="1"/>
  <c r="AH438" i="17"/>
  <c r="AI438" i="17" s="1"/>
  <c r="AH291" i="17"/>
  <c r="AI291" i="17" s="1"/>
  <c r="AH182" i="17"/>
  <c r="AI182" i="17" s="1"/>
  <c r="AH477" i="17"/>
  <c r="AI477" i="17" s="1"/>
  <c r="Y129" i="17"/>
  <c r="AH591" i="17"/>
  <c r="AI591" i="17" s="1"/>
  <c r="AH78" i="17"/>
  <c r="AI78" i="17" s="1"/>
  <c r="AH153" i="17"/>
  <c r="AI153" i="17" s="1"/>
  <c r="AH604" i="17"/>
  <c r="AI604" i="17" s="1"/>
  <c r="AH152" i="17"/>
  <c r="AI152" i="17" s="1"/>
  <c r="AH434" i="17"/>
  <c r="AI434" i="17" s="1"/>
  <c r="AH386" i="17"/>
  <c r="AI386" i="17" s="1"/>
  <c r="AH171" i="17"/>
  <c r="AI171" i="17" s="1"/>
  <c r="AH391" i="17"/>
  <c r="AI391" i="17" s="1"/>
  <c r="AH260" i="17"/>
  <c r="AI260" i="17" s="1"/>
  <c r="AH282" i="17"/>
  <c r="AI282" i="17" s="1"/>
  <c r="AH77" i="17"/>
  <c r="AI77" i="17" s="1"/>
  <c r="AH407" i="17"/>
  <c r="AI407" i="17" s="1"/>
  <c r="AH38" i="17"/>
  <c r="AI38" i="17" s="1"/>
  <c r="AH400" i="17"/>
  <c r="AI400" i="17" s="1"/>
  <c r="AH239" i="17"/>
  <c r="AI239" i="17" s="1"/>
  <c r="AH311" i="17"/>
  <c r="AI311" i="17" s="1"/>
  <c r="AH70" i="17"/>
  <c r="AI70" i="17" s="1"/>
  <c r="AH385" i="17"/>
  <c r="AI385" i="17" s="1"/>
  <c r="AH69" i="17"/>
  <c r="AI69" i="17" s="1"/>
  <c r="AH206" i="17"/>
  <c r="AI206" i="17" s="1"/>
  <c r="AH207" i="17"/>
  <c r="AI207" i="17" s="1"/>
  <c r="AH416" i="17"/>
  <c r="AI416" i="17" s="1"/>
  <c r="AH98" i="17"/>
  <c r="AI98" i="17" s="1"/>
  <c r="AH356" i="17"/>
  <c r="AI356" i="17" s="1"/>
  <c r="AH401" i="17"/>
  <c r="AI401" i="17" s="1"/>
  <c r="AH350" i="17"/>
  <c r="AI350" i="17" s="1"/>
  <c r="AH238" i="17"/>
  <c r="AI238" i="17" s="1"/>
  <c r="AH163" i="17"/>
  <c r="AI163" i="17" s="1"/>
  <c r="AH536" i="17"/>
  <c r="AI536" i="17" s="1"/>
  <c r="AH384" i="17"/>
  <c r="AI384" i="17" s="1"/>
  <c r="AH594" i="17"/>
  <c r="AI594" i="17" s="1"/>
  <c r="AH39" i="17"/>
  <c r="AI39" i="17" s="1"/>
  <c r="AH343" i="17"/>
  <c r="AI343" i="17" s="1"/>
  <c r="AH73" i="17"/>
  <c r="AI73" i="17" s="1"/>
  <c r="AH151" i="17"/>
  <c r="AI151" i="17" s="1"/>
  <c r="AH426" i="17"/>
  <c r="AI426" i="17" s="1"/>
  <c r="AH423" i="17"/>
  <c r="AI423" i="17" s="1"/>
  <c r="AH150" i="17"/>
  <c r="AI150" i="17" s="1"/>
  <c r="AH237" i="17"/>
  <c r="AI237" i="17" s="1"/>
  <c r="AH133" i="17"/>
  <c r="AI133" i="17" s="1"/>
  <c r="AH379" i="17"/>
  <c r="AI379" i="17" s="1"/>
  <c r="AH74" i="17"/>
  <c r="AI74" i="17" s="1"/>
  <c r="AH230" i="17"/>
  <c r="AI230" i="17" s="1"/>
  <c r="AH42" i="17"/>
  <c r="AI42" i="17" s="1"/>
  <c r="AH41" i="17"/>
  <c r="AI41" i="17" s="1"/>
  <c r="AH577" i="17"/>
  <c r="AI577" i="17" s="1"/>
  <c r="Y230" i="17"/>
  <c r="AH421" i="17"/>
  <c r="AI421" i="17" s="1"/>
  <c r="AH388" i="17"/>
  <c r="AI388" i="17" s="1"/>
  <c r="AH112" i="17"/>
  <c r="AI112" i="17" s="1"/>
  <c r="AH437" i="17"/>
  <c r="AI437" i="17" s="1"/>
  <c r="AH68" i="17"/>
  <c r="AI68" i="17" s="1"/>
  <c r="Y427" i="17"/>
  <c r="Y417" i="17"/>
  <c r="Y209" i="17"/>
  <c r="Y535" i="17"/>
  <c r="Y298" i="17"/>
  <c r="Y69" i="17"/>
  <c r="Y579" i="17"/>
  <c r="Y583" i="17"/>
  <c r="Y87" i="17"/>
  <c r="Y188" i="17"/>
  <c r="AH363" i="17"/>
  <c r="AI363" i="17" s="1"/>
  <c r="AH214" i="17"/>
  <c r="AI214" i="17" s="1"/>
  <c r="Y184" i="17"/>
  <c r="Y423" i="17"/>
  <c r="Y306" i="17"/>
  <c r="Y21" i="17"/>
  <c r="Y562" i="17"/>
  <c r="AH560" i="17"/>
  <c r="AI560" i="17" s="1"/>
  <c r="AH333" i="17"/>
  <c r="AI333" i="17" s="1"/>
  <c r="AH271" i="17"/>
  <c r="AI271" i="17" s="1"/>
  <c r="AH579" i="17"/>
  <c r="AI579" i="17" s="1"/>
  <c r="AH362" i="17"/>
  <c r="AI362" i="17" s="1"/>
  <c r="AH361" i="17"/>
  <c r="AI361" i="17" s="1"/>
  <c r="AH537" i="17"/>
  <c r="AI537" i="17" s="1"/>
  <c r="Y86" i="17"/>
  <c r="AH344" i="17"/>
  <c r="AI344" i="17" s="1"/>
  <c r="AH128" i="17"/>
  <c r="AI128" i="17" s="1"/>
  <c r="AH297" i="17"/>
  <c r="AI297" i="17" s="1"/>
  <c r="AH62" i="17"/>
  <c r="AI62" i="17" s="1"/>
  <c r="AH533" i="17"/>
  <c r="AI533" i="17" s="1"/>
  <c r="AH520" i="17"/>
  <c r="AI520" i="17" s="1"/>
  <c r="AH35" i="17"/>
  <c r="AI35" i="17" s="1"/>
  <c r="AH93" i="17"/>
  <c r="AI93" i="17" s="1"/>
  <c r="AH199" i="17"/>
  <c r="AI199" i="17" s="1"/>
  <c r="AH175" i="17"/>
  <c r="AI175" i="17" s="1"/>
  <c r="AH534" i="17"/>
  <c r="AI534" i="17" s="1"/>
  <c r="AH200" i="17"/>
  <c r="AI200" i="17" s="1"/>
  <c r="AH190" i="17"/>
  <c r="AI190" i="17" s="1"/>
  <c r="AH270" i="17"/>
  <c r="AI270" i="17" s="1"/>
  <c r="AH82" i="17"/>
  <c r="AI82" i="17" s="1"/>
  <c r="AH538" i="17"/>
  <c r="AI538" i="17" s="1"/>
  <c r="AH302" i="17"/>
  <c r="AI302" i="17" s="1"/>
  <c r="AH355" i="17"/>
  <c r="AI355" i="17" s="1"/>
  <c r="AH52" i="17"/>
  <c r="AI52" i="17" s="1"/>
  <c r="AH219" i="17"/>
  <c r="AI219" i="17" s="1"/>
  <c r="AH334" i="17"/>
  <c r="AI334" i="17" s="1"/>
  <c r="AH137" i="17"/>
  <c r="AI137" i="17" s="1"/>
  <c r="AH325" i="17"/>
  <c r="AI325" i="17" s="1"/>
  <c r="AH360" i="17"/>
  <c r="AI360" i="17" s="1"/>
  <c r="AH283" i="17"/>
  <c r="AI283" i="17" s="1"/>
  <c r="AH63" i="17"/>
  <c r="AI63" i="17" s="1"/>
  <c r="AH326" i="17"/>
  <c r="AI326" i="17" s="1"/>
  <c r="AH576" i="17"/>
  <c r="AI576" i="17" s="1"/>
  <c r="AH593" i="17"/>
  <c r="AI593" i="17" s="1"/>
  <c r="AH592" i="17"/>
  <c r="AI592" i="17" s="1"/>
  <c r="AH316" i="17"/>
  <c r="AI316" i="17" s="1"/>
  <c r="AH101" i="17"/>
  <c r="AI101" i="17" s="1"/>
  <c r="AH90" i="17"/>
  <c r="AI90" i="17" s="1"/>
  <c r="AH410" i="17"/>
  <c r="AI410" i="17" s="1"/>
  <c r="AH294" i="17"/>
  <c r="AI294" i="17" s="1"/>
  <c r="AH413" i="17"/>
  <c r="AI413" i="17" s="1"/>
  <c r="AH234" i="17"/>
  <c r="AI234" i="17" s="1"/>
  <c r="AH58" i="17"/>
  <c r="AI58" i="17" s="1"/>
  <c r="AH233" i="17"/>
  <c r="AI233" i="17" s="1"/>
  <c r="AH459" i="17"/>
  <c r="AI459" i="17" s="1"/>
  <c r="AH590" i="17"/>
  <c r="AI590" i="17" s="1"/>
  <c r="AH405" i="17"/>
  <c r="AI405" i="17" s="1"/>
  <c r="AH92" i="17"/>
  <c r="AI92" i="17" s="1"/>
  <c r="AH453" i="17"/>
  <c r="AI453" i="17" s="1"/>
  <c r="AH259" i="17"/>
  <c r="AI259" i="17" s="1"/>
  <c r="AH132" i="17"/>
  <c r="AI132" i="17" s="1"/>
  <c r="AH482" i="17"/>
  <c r="AI482" i="17" s="1"/>
  <c r="AH457" i="17"/>
  <c r="AI457" i="17" s="1"/>
  <c r="AH146" i="17"/>
  <c r="AI146" i="17" s="1"/>
  <c r="AH135" i="17"/>
  <c r="AI135" i="17" s="1"/>
  <c r="AH266" i="17"/>
  <c r="AI266" i="17" s="1"/>
  <c r="AH99" i="17"/>
  <c r="AI99" i="17" s="1"/>
  <c r="AH205" i="17"/>
  <c r="AI205" i="17" s="1"/>
  <c r="AH213" i="17"/>
  <c r="AI213" i="17" s="1"/>
  <c r="AH469" i="17"/>
  <c r="AI469" i="17" s="1"/>
  <c r="AH397" i="17"/>
  <c r="AI397" i="17" s="1"/>
  <c r="AH156" i="17"/>
  <c r="AI156" i="17" s="1"/>
  <c r="AH569" i="17"/>
  <c r="AI569" i="17" s="1"/>
  <c r="AH288" i="17"/>
  <c r="AI288" i="17" s="1"/>
  <c r="AH122" i="17"/>
  <c r="AI122" i="17" s="1"/>
  <c r="AH145" i="17"/>
  <c r="AI145" i="17" s="1"/>
  <c r="AH470" i="17"/>
  <c r="AI470" i="17" s="1"/>
  <c r="AH37" i="17"/>
  <c r="AI37" i="17" s="1"/>
  <c r="AH585" i="17"/>
  <c r="AI585" i="17" s="1"/>
  <c r="AH464" i="17"/>
  <c r="AI464" i="17" s="1"/>
  <c r="AH393" i="17"/>
  <c r="AI393" i="17" s="1"/>
  <c r="AH211" i="17"/>
  <c r="AI211" i="17" s="1"/>
  <c r="AH501" i="17"/>
  <c r="AI501" i="17" s="1"/>
  <c r="AH380" i="17"/>
  <c r="AI380" i="17" s="1"/>
  <c r="AH309" i="17"/>
  <c r="AI309" i="17" s="1"/>
  <c r="AH512" i="17"/>
  <c r="AI512" i="17" s="1"/>
  <c r="AH241" i="17"/>
  <c r="AI241" i="17" s="1"/>
  <c r="AH123" i="17"/>
  <c r="AI123" i="17" s="1"/>
  <c r="AH540" i="17"/>
  <c r="AI540" i="17" s="1"/>
  <c r="AH448" i="17"/>
  <c r="AI448" i="17" s="1"/>
  <c r="AH500" i="17"/>
  <c r="AI500" i="17" s="1"/>
  <c r="AH499" i="17"/>
  <c r="AI499" i="17" s="1"/>
  <c r="AH483" i="17"/>
  <c r="AI483" i="17" s="1"/>
  <c r="Y130" i="17"/>
  <c r="AH597" i="17"/>
  <c r="AI597" i="17" s="1"/>
  <c r="AH166" i="17"/>
  <c r="AI166" i="17" s="1"/>
  <c r="AH442" i="17"/>
  <c r="AI442" i="17" s="1"/>
  <c r="AH67" i="17"/>
  <c r="AI67" i="17" s="1"/>
  <c r="AH411" i="17"/>
  <c r="AI411" i="17" s="1"/>
  <c r="AH329" i="17"/>
  <c r="AI329" i="17" s="1"/>
  <c r="AH255" i="17"/>
  <c r="AI255" i="17" s="1"/>
  <c r="AH289" i="17"/>
  <c r="AI289" i="17" s="1"/>
  <c r="AH484" i="17"/>
  <c r="AI484" i="17" s="1"/>
  <c r="AH607" i="17"/>
  <c r="AI607" i="17" s="1"/>
  <c r="AH26" i="17"/>
  <c r="AI26" i="17" s="1"/>
  <c r="AH203" i="17"/>
  <c r="AI203" i="17" s="1"/>
  <c r="AH348" i="17"/>
  <c r="AI348" i="17" s="1"/>
  <c r="AH253" i="17"/>
  <c r="AI253" i="17" s="1"/>
  <c r="AH97" i="17"/>
  <c r="AI97" i="17" s="1"/>
  <c r="AH55" i="17"/>
  <c r="AI55" i="17" s="1"/>
  <c r="AH515" i="17"/>
  <c r="AI515" i="17" s="1"/>
  <c r="AH265" i="17"/>
  <c r="AI265" i="17" s="1"/>
  <c r="AH278" i="17"/>
  <c r="AI278" i="17" s="1"/>
  <c r="AH277" i="17"/>
  <c r="AI277" i="17" s="1"/>
  <c r="AH354" i="17"/>
  <c r="AI354" i="17" s="1"/>
  <c r="AH15" i="17"/>
  <c r="AI15" i="17" s="1"/>
  <c r="AH158" i="17"/>
  <c r="AI158" i="17" s="1"/>
  <c r="AH290" i="17"/>
  <c r="AI290" i="17" s="1"/>
  <c r="AH319" i="17"/>
  <c r="AI319" i="17" s="1"/>
  <c r="AH109" i="17"/>
  <c r="AI109" i="17" s="1"/>
  <c r="AH193" i="17"/>
  <c r="AI193" i="17" s="1"/>
  <c r="AH235" i="17"/>
  <c r="AI235" i="17" s="1"/>
  <c r="AH115" i="17"/>
  <c r="AI115" i="17" s="1"/>
  <c r="AH120" i="17"/>
  <c r="AI120" i="17" s="1"/>
  <c r="AH528" i="17"/>
  <c r="AI528" i="17" s="1"/>
  <c r="AH61" i="17"/>
  <c r="AI61" i="17" s="1"/>
  <c r="AH460" i="17"/>
  <c r="AI460" i="17" s="1"/>
  <c r="AH548" i="17"/>
  <c r="AI548" i="17" s="1"/>
  <c r="AH121" i="17"/>
  <c r="AI121" i="17" s="1"/>
  <c r="AH286" i="17"/>
  <c r="AI286" i="17" s="1"/>
  <c r="AH566" i="17"/>
  <c r="AI566" i="17" s="1"/>
  <c r="AH439" i="17"/>
  <c r="AI439" i="17" s="1"/>
  <c r="AH71" i="17"/>
  <c r="AI71" i="17" s="1"/>
  <c r="AH307" i="17"/>
  <c r="AI307" i="17" s="1"/>
  <c r="AH299" i="17"/>
  <c r="AI299" i="17" s="1"/>
  <c r="AH609" i="17"/>
  <c r="AI609" i="17" s="1"/>
  <c r="AH162" i="17"/>
  <c r="AI162" i="17" s="1"/>
  <c r="AH320" i="17"/>
  <c r="AI320" i="17" s="1"/>
  <c r="AH487" i="17"/>
  <c r="AI487" i="17" s="1"/>
  <c r="AH516" i="17"/>
  <c r="AI516" i="17" s="1"/>
  <c r="AH359" i="17"/>
  <c r="AI359" i="17" s="1"/>
  <c r="AH20" i="17"/>
  <c r="AI20" i="17" s="1"/>
  <c r="AH186" i="17"/>
  <c r="AI186" i="17" s="1"/>
  <c r="AH59" i="17"/>
  <c r="AI59" i="17" s="1"/>
  <c r="AH357" i="17"/>
  <c r="AI357" i="17" s="1"/>
  <c r="AH107" i="17"/>
  <c r="AI107" i="17" s="1"/>
  <c r="AH184" i="17"/>
  <c r="AI184" i="17" s="1"/>
  <c r="AH66" i="17"/>
  <c r="AI66" i="17" s="1"/>
  <c r="AH300" i="17"/>
  <c r="AI300" i="17" s="1"/>
  <c r="AH284" i="17"/>
  <c r="AI284" i="17" s="1"/>
  <c r="AH508" i="17"/>
  <c r="AI508" i="17" s="1"/>
  <c r="AH554" i="17"/>
  <c r="AI554" i="17" s="1"/>
  <c r="AH412" i="17"/>
  <c r="AI412" i="17" s="1"/>
  <c r="AH375" i="17"/>
  <c r="AI375" i="17" s="1"/>
  <c r="AH293" i="17"/>
  <c r="AI293" i="17" s="1"/>
  <c r="AH441" i="17"/>
  <c r="AI441" i="17" s="1"/>
  <c r="AH440" i="17"/>
  <c r="AI440" i="17" s="1"/>
  <c r="AH494" i="17"/>
  <c r="AI494" i="17" s="1"/>
  <c r="AH49" i="17"/>
  <c r="AI49" i="17" s="1"/>
  <c r="AH308" i="17"/>
  <c r="AI308" i="17" s="1"/>
  <c r="AH225" i="17"/>
  <c r="AI225" i="17" s="1"/>
  <c r="AH436" i="17"/>
  <c r="AI436" i="17" s="1"/>
  <c r="AH351" i="17"/>
  <c r="AI351" i="17" s="1"/>
  <c r="AH224" i="17"/>
  <c r="AI224" i="17" s="1"/>
  <c r="AH418" i="17"/>
  <c r="AI418" i="17" s="1"/>
  <c r="AH415" i="17"/>
  <c r="AI415" i="17" s="1"/>
  <c r="AH565" i="17"/>
  <c r="AI565" i="17" s="1"/>
  <c r="AH574" i="17"/>
  <c r="AI574" i="17" s="1"/>
  <c r="AH496" i="17"/>
  <c r="AI496" i="17" s="1"/>
  <c r="AH563" i="17"/>
  <c r="AI563" i="17" s="1"/>
  <c r="AH251" i="17"/>
  <c r="AI251" i="17" s="1"/>
  <c r="AH57" i="17"/>
  <c r="AI57" i="17" s="1"/>
  <c r="AH139" i="17"/>
  <c r="AI139" i="17" s="1"/>
  <c r="AH349" i="17"/>
  <c r="AI349" i="17" s="1"/>
  <c r="AH72" i="17"/>
  <c r="AI72" i="17" s="1"/>
  <c r="AH539" i="17"/>
  <c r="AI539" i="17" s="1"/>
  <c r="AH567" i="17"/>
  <c r="AI567" i="17" s="1"/>
  <c r="AH419" i="17"/>
  <c r="AI419" i="17" s="1"/>
  <c r="AH555" i="17"/>
  <c r="AI555" i="17" s="1"/>
  <c r="AH147" i="17"/>
  <c r="AI147" i="17" s="1"/>
  <c r="Y293" i="17"/>
  <c r="AH340" i="17"/>
  <c r="AI340" i="17" s="1"/>
  <c r="AH517" i="17"/>
  <c r="AI517" i="17" s="1"/>
  <c r="AH389" i="17"/>
  <c r="AI389" i="17" s="1"/>
  <c r="AH337" i="17"/>
  <c r="AI337" i="17" s="1"/>
  <c r="AH148" i="17"/>
  <c r="AI148" i="17" s="1"/>
  <c r="AH94" i="17"/>
  <c r="AI94" i="17" s="1"/>
  <c r="AH323" i="17"/>
  <c r="AI323" i="17" s="1"/>
  <c r="AH287" i="17"/>
  <c r="AI287" i="17" s="1"/>
  <c r="AH23" i="17"/>
  <c r="AI23" i="17" s="1"/>
  <c r="AH130" i="17"/>
  <c r="AI130" i="17" s="1"/>
  <c r="AH185" i="17"/>
  <c r="AI185" i="17" s="1"/>
  <c r="AH174" i="17"/>
  <c r="AI174" i="17" s="1"/>
  <c r="AH187" i="17"/>
  <c r="AI187" i="17" s="1"/>
  <c r="AH196" i="17"/>
  <c r="AI196" i="17" s="1"/>
  <c r="AH345" i="17"/>
  <c r="AI345" i="17" s="1"/>
  <c r="AH370" i="17"/>
  <c r="AI370" i="17" s="1"/>
  <c r="AH564" i="17"/>
  <c r="AI564" i="17" s="1"/>
  <c r="AH575" i="17"/>
  <c r="AI575" i="17" s="1"/>
  <c r="AH433" i="17"/>
  <c r="AI433" i="17" s="1"/>
  <c r="AH530" i="17"/>
  <c r="AI530" i="17" s="1"/>
  <c r="AH435" i="17"/>
  <c r="AI435" i="17" s="1"/>
  <c r="AH189" i="17"/>
  <c r="AI189" i="17" s="1"/>
  <c r="AH589" i="17"/>
  <c r="AI589" i="17" s="1"/>
  <c r="AH173" i="17"/>
  <c r="AI173" i="17" s="1"/>
  <c r="AH13" i="17"/>
  <c r="AI13" i="17" s="1"/>
  <c r="AH481" i="17"/>
  <c r="AI481" i="17" s="1"/>
  <c r="AH402" i="17"/>
  <c r="AI402" i="17" s="1"/>
  <c r="AH599" i="17"/>
  <c r="AI599" i="17" s="1"/>
  <c r="AH495" i="17"/>
  <c r="AI495" i="17" s="1"/>
  <c r="AH314" i="17"/>
  <c r="AI314" i="17" s="1"/>
  <c r="AH258" i="17"/>
  <c r="AI258" i="17" s="1"/>
  <c r="AH431" i="17"/>
  <c r="AI431" i="17" s="1"/>
  <c r="AH472" i="17"/>
  <c r="AI472" i="17" s="1"/>
  <c r="AH280" i="17"/>
  <c r="AI280" i="17" s="1"/>
  <c r="AH274" i="17"/>
  <c r="AI274" i="17" s="1"/>
  <c r="AH471" i="17"/>
  <c r="AI471" i="17" s="1"/>
  <c r="AH369" i="17"/>
  <c r="AI369" i="17" s="1"/>
  <c r="AH527" i="17"/>
  <c r="AI527" i="17" s="1"/>
  <c r="AH454" i="17"/>
  <c r="AI454" i="17" s="1"/>
  <c r="AH315" i="17"/>
  <c r="AI315" i="17" s="1"/>
  <c r="AH429" i="17"/>
  <c r="AI429" i="17" s="1"/>
  <c r="AH17" i="17"/>
  <c r="AI17" i="17" s="1"/>
  <c r="AH414" i="17"/>
  <c r="AI414" i="17" s="1"/>
  <c r="AH324" i="17"/>
  <c r="AI324" i="17" s="1"/>
  <c r="AH392" i="17"/>
  <c r="AI392" i="17" s="1"/>
  <c r="AH149" i="17"/>
  <c r="AI149" i="17" s="1"/>
  <c r="AH124" i="17"/>
  <c r="AI124" i="17" s="1"/>
  <c r="AH24" i="17"/>
  <c r="AI24" i="17" s="1"/>
  <c r="AH404" i="17"/>
  <c r="AI404" i="17" s="1"/>
  <c r="AH598" i="17"/>
  <c r="AI598" i="17" s="1"/>
  <c r="AH612" i="17"/>
  <c r="AI612" i="17" s="1"/>
  <c r="AH498" i="17"/>
  <c r="AI498" i="17" s="1"/>
  <c r="AH212" i="17"/>
  <c r="AI212" i="17" s="1"/>
  <c r="AH568" i="17"/>
  <c r="AI568" i="17" s="1"/>
  <c r="AH582" i="17"/>
  <c r="AI582" i="17" s="1"/>
  <c r="AH25" i="17"/>
  <c r="AI25" i="17" s="1"/>
  <c r="AH172" i="17"/>
  <c r="AI172" i="17" s="1"/>
  <c r="AH506" i="17"/>
  <c r="AI506" i="17" s="1"/>
  <c r="AH553" i="17"/>
  <c r="AI553" i="17" s="1"/>
  <c r="AH56" i="17"/>
  <c r="AI56" i="17" s="1"/>
  <c r="AH562" i="17"/>
  <c r="AI562" i="17" s="1"/>
  <c r="AH22" i="17"/>
  <c r="AI22" i="17" s="1"/>
  <c r="AH505" i="17"/>
  <c r="AI505" i="17" s="1"/>
  <c r="AH113" i="17"/>
  <c r="AI113" i="17" s="1"/>
  <c r="AH138" i="17"/>
  <c r="AI138" i="17" s="1"/>
  <c r="AH34" i="17"/>
  <c r="AI34" i="17" s="1"/>
  <c r="AH310" i="17"/>
  <c r="AI310" i="17" s="1"/>
  <c r="AH267" i="17"/>
  <c r="AI267" i="17" s="1"/>
  <c r="AH492" i="17"/>
  <c r="AI492" i="17" s="1"/>
  <c r="AH281" i="17"/>
  <c r="AI281" i="17" s="1"/>
  <c r="AH254" i="17"/>
  <c r="AI254" i="17" s="1"/>
  <c r="AH250" i="17"/>
  <c r="AI250" i="17" s="1"/>
  <c r="AH432" i="17"/>
  <c r="AI432" i="17" s="1"/>
  <c r="AH236" i="17"/>
  <c r="AI236" i="17" s="1"/>
  <c r="AH198" i="17"/>
  <c r="AI198" i="17" s="1"/>
  <c r="AH144" i="17"/>
  <c r="AI144" i="17" s="1"/>
  <c r="AH526" i="17"/>
  <c r="AI526" i="17" s="1"/>
  <c r="AH552" i="17"/>
  <c r="AI552" i="17" s="1"/>
  <c r="AH321" i="17"/>
  <c r="AI321" i="17" s="1"/>
  <c r="AH428" i="17"/>
  <c r="AI428" i="17" s="1"/>
  <c r="AH338" i="17"/>
  <c r="AI338" i="17" s="1"/>
  <c r="AH497" i="17"/>
  <c r="AI497" i="17" s="1"/>
  <c r="AH458" i="17"/>
  <c r="AI458" i="17" s="1"/>
  <c r="AH600" i="17"/>
  <c r="AI600" i="17" s="1"/>
  <c r="AH303" i="17"/>
  <c r="AI303" i="17" s="1"/>
  <c r="AH232" i="17"/>
  <c r="AI232" i="17" s="1"/>
  <c r="AH427" i="17"/>
  <c r="AI427" i="17" s="1"/>
  <c r="AH493" i="17"/>
  <c r="AI493" i="17" s="1"/>
  <c r="AH304" i="17"/>
  <c r="AI304" i="17" s="1"/>
  <c r="AH322" i="17"/>
  <c r="AI322" i="17" s="1"/>
  <c r="AH81" i="17"/>
  <c r="AI81" i="17" s="1"/>
  <c r="AH514" i="17"/>
  <c r="AI514" i="17" s="1"/>
  <c r="AH390" i="17"/>
  <c r="AI390" i="17" s="1"/>
  <c r="AH570" i="17"/>
  <c r="AI570" i="17" s="1"/>
  <c r="AH48" i="17"/>
  <c r="AI48" i="17" s="1"/>
  <c r="AH46" i="17"/>
  <c r="AI46" i="17" s="1"/>
  <c r="AH102" i="17"/>
  <c r="AI102" i="17" s="1"/>
  <c r="AH217" i="17"/>
  <c r="AI217" i="17" s="1"/>
  <c r="AH275" i="17"/>
  <c r="AI275" i="17" s="1"/>
  <c r="AH394" i="17"/>
  <c r="AI394" i="17" s="1"/>
  <c r="AH420" i="17"/>
  <c r="AI420" i="17" s="1"/>
  <c r="AH161" i="17"/>
  <c r="AI161" i="17" s="1"/>
  <c r="AH228" i="17"/>
  <c r="AI228" i="17" s="1"/>
  <c r="AH54" i="17"/>
  <c r="AI54" i="17" s="1"/>
  <c r="AH610" i="17"/>
  <c r="AI610" i="17" s="1"/>
  <c r="AH502" i="17"/>
  <c r="AI502" i="17" s="1"/>
  <c r="AH50" i="17"/>
  <c r="AI50" i="17" s="1"/>
  <c r="AH529" i="17"/>
  <c r="AI529" i="17" s="1"/>
  <c r="AH381" i="17"/>
  <c r="AI381" i="17" s="1"/>
  <c r="AH19" i="17"/>
  <c r="AI19" i="17" s="1"/>
  <c r="AH545" i="17"/>
  <c r="AI545" i="17" s="1"/>
  <c r="AH136" i="17"/>
  <c r="AI136" i="17" s="1"/>
  <c r="AH204" i="17"/>
  <c r="AI204" i="17" s="1"/>
  <c r="AH358" i="17"/>
  <c r="AI358" i="17" s="1"/>
  <c r="AH446" i="17"/>
  <c r="AI446" i="17" s="1"/>
  <c r="AH489" i="17"/>
  <c r="AI489" i="17" s="1"/>
  <c r="AH572" i="17"/>
  <c r="AI572" i="17" s="1"/>
  <c r="AH14" i="17"/>
  <c r="AI14" i="17" s="1"/>
  <c r="AH100" i="17"/>
  <c r="AI100" i="17" s="1"/>
  <c r="AH245" i="17"/>
  <c r="AI245" i="17" s="1"/>
  <c r="AH76" i="17"/>
  <c r="AI76" i="17" s="1"/>
  <c r="AH463" i="17"/>
  <c r="AI463" i="17" s="1"/>
  <c r="AH531" i="17"/>
  <c r="AI531" i="17" s="1"/>
  <c r="AH194" i="17"/>
  <c r="AI194" i="17" s="1"/>
  <c r="AH79" i="17"/>
  <c r="AI79" i="17" s="1"/>
  <c r="AH242" i="17"/>
  <c r="AI242" i="17" s="1"/>
  <c r="AH332" i="17"/>
  <c r="AI332" i="17" s="1"/>
  <c r="AH550" i="17"/>
  <c r="AI550" i="17" s="1"/>
  <c r="AH89" i="17"/>
  <c r="AI89" i="17" s="1"/>
  <c r="AH330" i="17"/>
  <c r="AI330" i="17" s="1"/>
  <c r="AH36" i="17"/>
  <c r="AI36" i="17" s="1"/>
  <c r="AH571" i="17"/>
  <c r="AI571" i="17" s="1"/>
  <c r="AH587" i="17"/>
  <c r="AI587" i="17" s="1"/>
  <c r="AH301" i="17"/>
  <c r="AI301" i="17" s="1"/>
  <c r="AH305" i="17"/>
  <c r="AI305" i="17" s="1"/>
  <c r="AH231" i="17"/>
  <c r="AI231" i="17" s="1"/>
  <c r="AH525" i="17"/>
  <c r="AI525" i="17" s="1"/>
  <c r="AH32" i="17"/>
  <c r="AI32" i="17" s="1"/>
  <c r="AH544" i="17"/>
  <c r="AI544" i="17" s="1"/>
  <c r="AH218" i="17"/>
  <c r="AI218" i="17" s="1"/>
  <c r="AH462" i="17"/>
  <c r="AI462" i="17" s="1"/>
  <c r="AH33" i="17"/>
  <c r="AI33" i="17" s="1"/>
  <c r="AH75" i="17"/>
  <c r="AI75" i="17" s="1"/>
  <c r="AH84" i="17"/>
  <c r="AI84" i="17" s="1"/>
  <c r="AH461" i="17"/>
  <c r="AI461" i="17" s="1"/>
  <c r="AH169" i="17"/>
  <c r="AI169" i="17" s="1"/>
  <c r="AH366" i="17"/>
  <c r="AI366" i="17" s="1"/>
  <c r="AH31" i="17"/>
  <c r="AI31" i="17" s="1"/>
  <c r="AH573" i="17"/>
  <c r="AI573" i="17" s="1"/>
  <c r="AH154" i="17"/>
  <c r="AI154" i="17" s="1"/>
  <c r="AH346" i="17"/>
  <c r="AI346" i="17" s="1"/>
  <c r="AH507" i="17"/>
  <c r="AI507" i="17" s="1"/>
  <c r="AH382" i="17"/>
  <c r="AI382" i="17" s="1"/>
  <c r="AH596" i="17"/>
  <c r="AI596" i="17" s="1"/>
  <c r="AH18" i="17"/>
  <c r="AI18" i="17" s="1"/>
  <c r="AH155" i="17"/>
  <c r="AI155" i="17" s="1"/>
  <c r="AH95" i="17"/>
  <c r="AI95" i="17" s="1"/>
  <c r="AH125" i="17"/>
  <c r="AI125" i="17" s="1"/>
  <c r="AH549" i="17"/>
  <c r="AI549" i="17" s="1"/>
  <c r="AH541" i="17"/>
  <c r="AI541" i="17" s="1"/>
  <c r="AH179" i="17"/>
  <c r="AI179" i="17" s="1"/>
  <c r="AH197" i="17"/>
  <c r="AI197" i="17" s="1"/>
  <c r="AH606" i="17"/>
  <c r="AI606" i="17" s="1"/>
  <c r="AH108" i="17"/>
  <c r="AI108" i="17" s="1"/>
  <c r="AH395" i="17"/>
  <c r="AI395" i="17" s="1"/>
  <c r="AH444" i="17"/>
  <c r="AI444" i="17" s="1"/>
  <c r="AH588" i="17"/>
  <c r="AI588" i="17" s="1"/>
  <c r="AH51" i="17"/>
  <c r="AI51" i="17" s="1"/>
  <c r="AH532" i="17"/>
  <c r="AI532" i="17" s="1"/>
  <c r="AH167" i="17"/>
  <c r="AI167" i="17" s="1"/>
  <c r="AH240" i="17"/>
  <c r="AI240" i="17" s="1"/>
  <c r="AH168" i="17"/>
  <c r="AI168" i="17" s="1"/>
  <c r="AH246" i="17"/>
  <c r="AI246" i="17" s="1"/>
  <c r="AH195" i="17"/>
  <c r="AI195" i="17" s="1"/>
  <c r="AH170" i="17"/>
  <c r="AI170" i="17" s="1"/>
  <c r="AH551" i="17"/>
  <c r="AI551" i="17" s="1"/>
  <c r="AH488" i="17"/>
  <c r="AI488" i="17" s="1"/>
  <c r="AH114" i="17"/>
  <c r="AI114" i="17" s="1"/>
  <c r="AH85" i="17"/>
  <c r="AI85" i="17" s="1"/>
  <c r="AH374" i="17"/>
  <c r="AI374" i="17" s="1"/>
  <c r="AH409" i="17"/>
  <c r="AI409" i="17" s="1"/>
  <c r="AH601" i="17"/>
  <c r="AI601" i="17" s="1"/>
  <c r="AH262" i="17"/>
  <c r="AI262" i="17" s="1"/>
  <c r="AH222" i="17"/>
  <c r="AI222" i="17" s="1"/>
  <c r="AH248" i="17"/>
  <c r="AI248" i="17" s="1"/>
  <c r="AH157" i="17"/>
  <c r="AI157" i="17" s="1"/>
  <c r="AH273" i="17"/>
  <c r="AI273" i="17" s="1"/>
  <c r="AH408" i="17"/>
  <c r="AI408" i="17" s="1"/>
  <c r="AH559" i="17"/>
  <c r="AI559" i="17" s="1"/>
  <c r="AH105" i="17"/>
  <c r="AI105" i="17" s="1"/>
  <c r="AH511" i="17"/>
  <c r="AI511" i="17" s="1"/>
  <c r="AH223" i="17"/>
  <c r="AI223" i="17" s="1"/>
  <c r="AH181" i="17"/>
  <c r="AI181" i="17" s="1"/>
  <c r="AH455" i="17"/>
  <c r="AI455" i="17" s="1"/>
  <c r="AH29" i="17"/>
  <c r="AI29" i="17" s="1"/>
  <c r="AH244" i="17"/>
  <c r="AI244" i="17" s="1"/>
  <c r="AH611" i="17"/>
  <c r="AI611" i="17" s="1"/>
  <c r="AH473" i="17"/>
  <c r="AI473" i="17" s="1"/>
  <c r="AH83" i="17"/>
  <c r="AI83" i="17" s="1"/>
  <c r="AH227" i="17"/>
  <c r="AI227" i="17" s="1"/>
  <c r="AH510" i="17"/>
  <c r="AI510" i="17" s="1"/>
  <c r="AH272" i="17"/>
  <c r="AI272" i="17" s="1"/>
  <c r="AH479" i="17"/>
  <c r="AI479" i="17" s="1"/>
  <c r="AH353" i="17"/>
  <c r="AI353" i="17" s="1"/>
  <c r="AH226" i="17"/>
  <c r="AI226" i="17" s="1"/>
  <c r="AH474" i="17"/>
  <c r="AI474" i="17" s="1"/>
  <c r="AH243" i="17"/>
  <c r="AI243" i="17" s="1"/>
  <c r="AH456" i="17"/>
  <c r="AI456" i="17" s="1"/>
  <c r="AH180" i="17"/>
  <c r="AI180" i="17" s="1"/>
  <c r="AH352" i="17"/>
  <c r="AI352" i="17" s="1"/>
  <c r="AH261" i="17"/>
  <c r="AI261" i="17" s="1"/>
  <c r="AH542" i="17"/>
  <c r="AI542" i="17" s="1"/>
  <c r="AH478" i="17"/>
  <c r="AI478" i="17" s="1"/>
  <c r="AH543" i="17"/>
  <c r="AI543" i="17" s="1"/>
  <c r="AH285" i="17"/>
  <c r="AI285" i="17" s="1"/>
  <c r="AH249" i="17"/>
  <c r="AI249" i="17" s="1"/>
  <c r="AH605" i="17"/>
  <c r="AI605" i="17" s="1"/>
  <c r="AH247" i="17"/>
  <c r="AI247" i="17" s="1"/>
  <c r="AH221" i="17"/>
  <c r="AI221" i="17" s="1"/>
  <c r="AH602" i="17"/>
  <c r="AI602" i="17" s="1"/>
  <c r="AH80" i="17"/>
  <c r="AI80" i="17" s="1"/>
  <c r="AH331" i="17"/>
  <c r="AI331" i="17" s="1"/>
  <c r="AH201" i="17"/>
  <c r="AI201" i="17" s="1"/>
  <c r="AH268" i="17"/>
  <c r="AI268" i="17" s="1"/>
  <c r="AH521" i="17"/>
  <c r="AI521" i="17" s="1"/>
  <c r="AH87" i="17"/>
  <c r="AI87" i="17" s="1"/>
  <c r="AH522" i="17"/>
  <c r="AI522" i="17" s="1"/>
  <c r="AH480" i="17"/>
  <c r="AI480" i="17" s="1"/>
  <c r="AH557" i="17"/>
  <c r="AI557" i="17" s="1"/>
  <c r="AH447" i="17"/>
  <c r="AI447" i="17" s="1"/>
  <c r="AH141" i="17"/>
  <c r="AI141" i="17" s="1"/>
  <c r="AH425" i="17"/>
  <c r="AI425" i="17" s="1"/>
  <c r="AH30" i="17"/>
  <c r="AI30" i="17" s="1"/>
  <c r="AH430" i="17"/>
  <c r="AI430" i="17" s="1"/>
  <c r="AH142" i="17"/>
  <c r="AI142" i="17" s="1"/>
  <c r="AH103" i="17"/>
  <c r="AI103" i="17" s="1"/>
  <c r="AH177" i="17"/>
  <c r="AI177" i="17" s="1"/>
  <c r="AH608" i="17"/>
  <c r="AI608" i="17" s="1"/>
  <c r="AH518" i="17"/>
  <c r="AI518" i="17" s="1"/>
  <c r="AH524" i="17"/>
  <c r="AI524" i="17" s="1"/>
  <c r="AH96" i="17"/>
  <c r="AI96" i="17" s="1"/>
  <c r="AH264" i="17"/>
  <c r="AI264" i="17" s="1"/>
  <c r="AH191" i="17"/>
  <c r="AI191" i="17" s="1"/>
  <c r="AH581" i="17"/>
  <c r="AI581" i="17" s="1"/>
  <c r="AH339" i="17"/>
  <c r="AI339" i="17" s="1"/>
  <c r="AH547" i="17"/>
  <c r="AI547" i="17" s="1"/>
  <c r="AH371" i="17"/>
  <c r="AI371" i="17" s="1"/>
  <c r="AH347" i="17"/>
  <c r="AI347" i="17" s="1"/>
  <c r="AH372" i="17"/>
  <c r="AI372" i="17" s="1"/>
  <c r="AH16" i="17"/>
  <c r="AI16" i="17" s="1"/>
  <c r="AH47" i="17"/>
  <c r="AI47" i="17" s="1"/>
  <c r="AH445" i="17"/>
  <c r="AI445" i="17" s="1"/>
  <c r="Y117" i="17"/>
  <c r="AH580" i="17"/>
  <c r="AI580" i="17" s="1"/>
  <c r="AH202" i="17"/>
  <c r="AI202" i="17" s="1"/>
  <c r="AH558" i="17"/>
  <c r="AI558" i="17" s="1"/>
  <c r="AH210" i="17"/>
  <c r="AI210" i="17" s="1"/>
  <c r="AH523" i="17"/>
  <c r="AI523" i="17" s="1"/>
  <c r="AH504" i="17"/>
  <c r="AI504" i="17" s="1"/>
  <c r="AH452" i="17"/>
  <c r="AI452" i="17" s="1"/>
  <c r="AH160" i="17"/>
  <c r="AI160" i="17" s="1"/>
  <c r="AH398" i="17"/>
  <c r="AI398" i="17" s="1"/>
  <c r="AH88" i="17"/>
  <c r="AI88" i="17" s="1"/>
  <c r="AH164" i="17"/>
  <c r="AI164" i="17" s="1"/>
  <c r="AH159" i="17"/>
  <c r="AI159" i="17" s="1"/>
  <c r="AH165" i="17"/>
  <c r="AI165" i="17" s="1"/>
  <c r="AH486" i="17"/>
  <c r="AI486" i="17" s="1"/>
  <c r="AH467" i="17"/>
  <c r="AI467" i="17" s="1"/>
  <c r="AH546" i="17"/>
  <c r="AI546" i="17" s="1"/>
  <c r="AH335" i="17"/>
  <c r="AI335" i="17" s="1"/>
  <c r="AH192" i="17"/>
  <c r="AI192" i="17" s="1"/>
  <c r="AH118" i="17"/>
  <c r="AI118" i="17" s="1"/>
  <c r="AH178" i="17"/>
  <c r="AI178" i="17" s="1"/>
  <c r="AH45" i="17"/>
  <c r="AI45" i="17" s="1"/>
  <c r="AH595" i="17"/>
  <c r="AI595" i="17" s="1"/>
  <c r="AH443" i="17"/>
  <c r="AI443" i="17" s="1"/>
  <c r="AH399" i="17"/>
  <c r="AI399" i="17" s="1"/>
  <c r="AH586" i="17"/>
  <c r="AI586" i="17" s="1"/>
  <c r="AH143" i="17"/>
  <c r="AI143" i="17" s="1"/>
  <c r="AH263" i="17"/>
  <c r="AI263" i="17" s="1"/>
  <c r="AH327" i="17"/>
  <c r="AI327" i="17" s="1"/>
  <c r="AH403" i="17"/>
  <c r="AI403" i="17" s="1"/>
  <c r="AH176" i="17"/>
  <c r="AI176" i="17" s="1"/>
  <c r="AH44" i="17"/>
  <c r="AI44" i="17" s="1"/>
  <c r="AH378" i="17"/>
  <c r="AI378" i="17" s="1"/>
  <c r="AH28" i="17"/>
  <c r="AI28" i="17" s="1"/>
  <c r="AH256" i="17"/>
  <c r="AI256" i="17" s="1"/>
  <c r="AH257" i="17"/>
  <c r="AI257" i="17" s="1"/>
  <c r="AH485" i="17"/>
  <c r="AI485" i="17" s="1"/>
  <c r="AH328" i="17"/>
  <c r="AI328" i="17" s="1"/>
  <c r="AH451" i="17"/>
  <c r="AI451" i="17" s="1"/>
  <c r="AH556" i="17"/>
  <c r="AI556" i="17" s="1"/>
  <c r="AH295" i="17"/>
  <c r="AI295" i="17" s="1"/>
  <c r="AH450" i="17"/>
  <c r="AI450" i="17" s="1"/>
  <c r="AH313" i="17"/>
  <c r="AI313" i="17" s="1"/>
  <c r="AH43" i="17"/>
  <c r="AI43" i="17" s="1"/>
  <c r="AH209" i="17"/>
  <c r="AI209" i="17" s="1"/>
  <c r="AH377" i="17"/>
  <c r="AI377" i="17" s="1"/>
  <c r="AH476" i="17"/>
  <c r="AI476" i="17" s="1"/>
  <c r="AH131" i="17"/>
  <c r="AI131" i="17" s="1"/>
  <c r="AH60" i="17"/>
  <c r="AI60" i="17" s="1"/>
  <c r="AH64" i="17"/>
  <c r="AI64" i="17" s="1"/>
  <c r="AH216" i="17"/>
  <c r="AI216" i="17" s="1"/>
  <c r="AH119" i="17"/>
  <c r="AI119" i="17" s="1"/>
  <c r="AH424" i="17"/>
  <c r="AI424" i="17" s="1"/>
  <c r="AH215" i="17"/>
  <c r="AI215" i="17" s="1"/>
  <c r="AH117" i="17"/>
  <c r="AI117" i="17" s="1"/>
  <c r="AH65" i="17"/>
  <c r="AI65" i="17" s="1"/>
  <c r="AH509" i="17"/>
  <c r="AI509" i="17" s="1"/>
  <c r="AH53" i="17"/>
  <c r="AI53" i="17" s="1"/>
  <c r="AH519" i="17"/>
  <c r="AI519" i="17" s="1"/>
  <c r="AH365" i="17"/>
  <c r="AI365" i="17" s="1"/>
  <c r="AH336" i="17"/>
  <c r="AI336" i="17" s="1"/>
  <c r="AH364" i="17"/>
  <c r="AI364" i="17" s="1"/>
  <c r="AH126" i="17"/>
  <c r="AI126" i="17" s="1"/>
  <c r="AH312" i="17"/>
  <c r="AI312" i="17" s="1"/>
  <c r="AH104" i="17"/>
  <c r="AI104" i="17" s="1"/>
  <c r="AH106" i="17"/>
  <c r="AI106" i="17" s="1"/>
  <c r="AH127" i="17"/>
  <c r="AI127" i="17" s="1"/>
  <c r="AH376" i="17"/>
  <c r="AI376" i="17" s="1"/>
  <c r="AH503" i="17"/>
  <c r="AI503" i="17" s="1"/>
  <c r="AH296" i="17"/>
  <c r="AI296" i="17" s="1"/>
  <c r="AH140" i="17"/>
  <c r="AI140" i="17" s="1"/>
  <c r="AH475" i="17"/>
  <c r="AI475" i="17" s="1"/>
  <c r="AH276" i="17"/>
  <c r="AI276" i="17" s="1"/>
  <c r="AH466" i="17"/>
  <c r="AI466" i="17" s="1"/>
  <c r="AH27" i="17"/>
  <c r="AI27" i="17" s="1"/>
  <c r="AH342" i="17"/>
  <c r="AI342" i="17" s="1"/>
  <c r="AH341" i="17"/>
  <c r="AI341" i="17" s="1"/>
  <c r="AH449" i="17"/>
  <c r="AI449" i="17" s="1"/>
  <c r="AH269" i="17"/>
  <c r="AI269" i="17" s="1"/>
  <c r="AF625" i="17"/>
  <c r="AI13" i="27" l="1"/>
  <c r="AK13" i="27" s="1"/>
  <c r="M16" i="29"/>
  <c r="M17" i="29" s="1"/>
  <c r="G12" i="28"/>
  <c r="B304" i="2"/>
  <c r="AI9" i="17"/>
  <c r="A426" i="2" s="1"/>
  <c r="AI7" i="17"/>
  <c r="U4" i="17" s="1"/>
  <c r="A424" i="2" l="1"/>
  <c r="B424" i="2"/>
  <c r="U5" i="17"/>
  <c r="B425" i="2" s="1"/>
  <c r="AN13" i="27"/>
  <c r="AM13" i="27"/>
  <c r="G14" i="28"/>
  <c r="A639" i="17"/>
  <c r="A640" i="17"/>
  <c r="A617" i="17"/>
  <c r="D424" i="2"/>
  <c r="A425" i="2" l="1"/>
  <c r="F617" i="17"/>
  <c r="Q617" i="17"/>
  <c r="P617" i="17"/>
  <c r="O617" i="17"/>
  <c r="R617" i="17"/>
  <c r="G617" i="17"/>
  <c r="H617" i="17"/>
  <c r="K617" i="17"/>
  <c r="N617" i="17"/>
  <c r="T617" i="17"/>
  <c r="L617" i="17"/>
  <c r="M617" i="17"/>
  <c r="J617" i="17"/>
  <c r="E617" i="17"/>
  <c r="S617" i="17"/>
  <c r="D617" i="17"/>
  <c r="A618" i="17"/>
  <c r="A619" i="17" s="1"/>
  <c r="C617" i="17"/>
  <c r="I617" i="17"/>
  <c r="U617" i="17" l="1"/>
  <c r="V617" i="17"/>
  <c r="V620" i="17" s="1"/>
  <c r="AB617" i="17"/>
  <c r="AF617" i="17"/>
  <c r="AC617" i="17"/>
  <c r="AE617" i="17"/>
  <c r="W617"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LM(2)5148/-Q1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LM5148/-Q1 and LM25148/-Q1 synchronous buck controller family</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A4, Timothy Hegarty, Texas Instruments, Inc.</t>
        </r>
      </text>
    </comment>
    <comment ref="N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t>
        </r>
        <r>
          <rPr>
            <b/>
            <sz val="9"/>
            <color indexed="81"/>
            <rFont val="Tahoma"/>
            <family val="2"/>
          </rPr>
          <t>Rev A4,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Switching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by connecting an appropriate SYNC IN signal to the PFM/SYNC pin.
The frequency set by RT can be [100kHz - 2.2MHz] but can be synced ±20% of this freee-running frequency.
</t>
        </r>
        <r>
          <rPr>
            <b/>
            <sz val="9"/>
            <color indexed="81"/>
            <rFont val="Tahoma"/>
            <family val="2"/>
          </rPr>
          <t xml:space="preserve">The text in the cell is flagged red if:
</t>
        </r>
        <r>
          <rPr>
            <b/>
            <sz val="9"/>
            <color indexed="10"/>
            <rFont val="Tahoma"/>
            <family val="2"/>
          </rPr>
          <t xml:space="preserve">
- The frequency is below 100 kHz
- The frequency is above 2.2 MHz</t>
        </r>
        <r>
          <rPr>
            <sz val="11"/>
            <color indexed="81"/>
            <rFont val="Tahoma"/>
            <family val="2"/>
          </rPr>
          <t xml:space="preserve">
</t>
        </r>
      </text>
    </comment>
    <comment ref="F16"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140% of full load current.</t>
        </r>
      </text>
    </comment>
    <comment ref="F17"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t>
        </r>
      </text>
    </comment>
    <comment ref="F19"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0"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1"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2"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3"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6"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ramp contribution.</t>
        </r>
      </text>
    </comment>
    <comment ref="F27"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r>
      </text>
    </comment>
    <comment ref="F28"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63" authorId="0" shapeId="0" xr:uid="{00000000-0006-0000-0000-000019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A000000}">
      <text>
        <r>
          <rPr>
            <b/>
            <sz val="9"/>
            <color indexed="81"/>
            <rFont val="Tahoma"/>
            <family val="2"/>
          </rPr>
          <t>Upper Feedback Resistor, 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0" authorId="0" shapeId="0" xr:uid="{00000000-0006-0000-0000-00001B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2" authorId="2" shapeId="0" xr:uid="{00000000-0006-0000-0000-00001C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2" authorId="2" shapeId="0" xr:uid="{C182675C-ABAA-40F1-99D5-DF03B9AAB4E3}">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83" authorId="2" shapeId="0" xr:uid="{00000000-0006-0000-0000-00001E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3" authorId="2" shapeId="0" xr:uid="{B6E26810-6EF6-4DBF-BD19-DEA2AA833064}">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84" authorId="2" shapeId="0" xr:uid="{00000000-0006-0000-0000-000020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4" authorId="2" shapeId="0" xr:uid="{04662617-41D7-4C12-ABFA-264758775BB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85" authorId="2" shapeId="0" xr:uid="{00000000-0006-0000-0000-000022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5" authorId="2" shapeId="0" xr:uid="{1C760FFD-2819-47D2-900D-818CBB129C26}">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86" authorId="2" shapeId="0" xr:uid="{B8F3C8E2-E019-4295-81F8-334052B0F657}">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87" authorId="2" shapeId="0" xr:uid="{00000000-0006-0000-0000-000025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7" authorId="2" shapeId="0" xr:uid="{00000000-0006-0000-0000-000026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8" authorId="2"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8" authorId="2"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89" authorId="2"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89" authorId="2"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0" authorId="2"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0" authorId="2"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1" authorId="2"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1" authorId="2"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2"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3"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3"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6" authorId="1" shapeId="0" xr:uid="{00000000-0006-0000-0000-000032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7" authorId="1" shapeId="0" xr:uid="{00000000-0006-0000-0000-000033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2" authorId="1" shapeId="0" xr:uid="{00000000-0006-0000-0000-000034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3" authorId="1" shapeId="0" xr:uid="{00000000-0006-0000-0000-000035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1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1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9" authorId="1" shapeId="0" xr:uid="{00000000-0006-0000-01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P9" authorId="1" shapeId="0" xr:uid="{00000000-0006-0000-01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Q9" authorId="1" shapeId="0" xr:uid="{00000000-0006-0000-0100-000005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2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2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8" authorId="1" shapeId="0" xr:uid="{00000000-0006-0000-02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H8" authorId="1" shapeId="0" xr:uid="{00000000-0006-0000-02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sharedStrings.xml><?xml version="1.0" encoding="utf-8"?>
<sst xmlns="http://schemas.openxmlformats.org/spreadsheetml/2006/main" count="1594" uniqueCount="953">
  <si>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</si>
  <si>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</si>
  <si>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</si>
  <si>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</si>
  <si>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</si>
  <si>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</si>
  <si>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</si>
  <si>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</si>
  <si>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</si>
  <si>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</si>
  <si>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</si>
  <si>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</si>
  <si>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</si>
  <si>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</si>
  <si>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</si>
  <si>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</si>
  <si>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</si>
  <si>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</si>
  <si>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</si>
  <si>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</si>
  <si>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</si>
  <si>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</si>
  <si>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</si>
  <si>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</si>
  <si>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</si>
  <si>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</si>
  <si>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</si>
  <si>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</si>
  <si>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</si>
  <si>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</si>
  <si>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</si>
  <si>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</si>
  <si>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</si>
  <si>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</si>
  <si>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</si>
  <si>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</si>
  <si>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</si>
  <si>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</si>
  <si>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</si>
  <si>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</si>
  <si>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</si>
  <si>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</si>
  <si>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</si>
  <si>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</si>
  <si>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</si>
  <si>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</si>
  <si>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</si>
  <si>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</si>
  <si>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</si>
  <si>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</si>
  <si>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</si>
  <si>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</si>
  <si>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</si>
  <si>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</si>
  <si>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</si>
  <si>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</si>
  <si>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</si>
  <si>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</si>
  <si>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</si>
  <si>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</si>
  <si>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</si>
  <si>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</si>
  <si>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</si>
  <si>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</si>
  <si>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</si>
  <si>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</si>
  <si>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</si>
  <si>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</si>
  <si>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</si>
  <si>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</si>
  <si>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</si>
  <si>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</si>
  <si>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</si>
  <si>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</si>
  <si>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</si>
  <si>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</si>
  <si>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</si>
  <si>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</si>
  <si>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</si>
  <si>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</si>
  <si>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</si>
  <si>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</si>
  <si>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</si>
  <si>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</si>
  <si>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</si>
  <si>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</si>
  <si>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</si>
  <si>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</si>
  <si>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</si>
  <si>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</si>
  <si>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</si>
  <si>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</si>
  <si>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</si>
  <si>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</si>
  <si>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</si>
  <si>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</si>
  <si>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</si>
  <si>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</si>
  <si>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</si>
  <si>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</si>
  <si>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</si>
  <si>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</si>
  <si>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</si>
  <si>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</si>
  <si>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</si>
  <si>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</si>
  <si>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</si>
  <si>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</si>
  <si>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</si>
  <si>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</si>
  <si>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</si>
  <si>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</si>
  <si>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</si>
  <si>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</si>
  <si>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</si>
  <si>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</si>
  <si>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</si>
  <si>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</si>
  <si>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</si>
  <si>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</si>
  <si>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</si>
  <si>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</si>
  <si>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</si>
  <si>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</si>
  <si>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</si>
  <si>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</si>
  <si>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</si>
  <si>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</si>
  <si>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</si>
  <si>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</si>
  <si>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</si>
  <si>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</si>
  <si>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</si>
  <si>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</si>
  <si>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</si>
  <si>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</si>
  <si>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</si>
  <si>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</si>
  <si>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</si>
  <si>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</si>
  <si>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</si>
  <si>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</si>
  <si>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</si>
  <si>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</si>
  <si>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</si>
  <si>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</si>
  <si>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</si>
  <si>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</si>
  <si>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Tss</t>
  </si>
  <si>
    <t>Iss</t>
  </si>
  <si>
    <t>Css</t>
  </si>
  <si>
    <t>C1</t>
  </si>
  <si>
    <t>C2</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</si>
  <si>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</si>
  <si>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</si>
  <si>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</si>
  <si>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</si>
  <si>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</si>
  <si>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</si>
  <si>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</si>
  <si>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</si>
  <si>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</si>
  <si>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</si>
  <si>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</si>
  <si>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</si>
  <si>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</si>
  <si>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</si>
  <si>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</si>
  <si>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</si>
  <si>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</si>
  <si>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</si>
  <si>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</si>
  <si>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</si>
  <si>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</si>
  <si>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</si>
  <si>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</si>
  <si>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</si>
  <si>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</si>
  <si>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</si>
  <si>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</si>
  <si>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</si>
  <si>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</si>
  <si>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</si>
  <si>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</si>
  <si>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</si>
  <si>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</si>
  <si>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</si>
  <si>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</si>
  <si>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</si>
  <si>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</si>
  <si>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</si>
  <si>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</si>
  <si>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</si>
  <si>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</si>
  <si>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</si>
  <si>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</si>
  <si>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</si>
  <si>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</si>
  <si>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</si>
  <si>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</si>
  <si>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</si>
  <si>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</si>
  <si>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</si>
  <si>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</si>
  <si>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</si>
  <si>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</si>
  <si>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</si>
  <si>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</si>
  <si>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</si>
  <si>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</si>
  <si>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</si>
  <si>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</si>
  <si>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</si>
  <si>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</si>
  <si>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</si>
  <si>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</si>
  <si>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</si>
  <si>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</si>
  <si>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</si>
  <si>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</si>
  <si>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</si>
  <si>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</si>
  <si>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</si>
  <si>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</si>
  <si>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</si>
  <si>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</si>
  <si>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</si>
  <si>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</si>
  <si>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</si>
  <si>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</si>
  <si>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</si>
  <si>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</si>
  <si>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</si>
  <si>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</si>
  <si>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</si>
  <si>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</si>
  <si>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</si>
  <si>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</si>
  <si>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</si>
  <si>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</si>
  <si>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</si>
  <si>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</si>
  <si>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</si>
  <si>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</si>
  <si>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</si>
  <si>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</si>
  <si>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</si>
  <si>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</si>
  <si>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</si>
  <si>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</si>
  <si>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</si>
  <si>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</si>
  <si>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</si>
  <si>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</si>
  <si>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</si>
  <si>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</si>
  <si>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</si>
  <si>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</si>
  <si>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</si>
  <si>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</si>
  <si>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</si>
  <si>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</si>
  <si>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</si>
  <si>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</si>
  <si>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</si>
  <si>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</si>
  <si>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</si>
  <si>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</si>
  <si>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</si>
  <si>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</si>
  <si>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</si>
  <si>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</si>
  <si>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</si>
  <si>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</si>
  <si>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</si>
  <si>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</si>
  <si>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</si>
  <si>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</si>
  <si>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</si>
  <si>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</si>
  <si>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</si>
  <si>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</si>
  <si>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</si>
  <si>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</si>
  <si>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</si>
  <si>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</si>
  <si>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</si>
  <si>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</si>
  <si>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</si>
  <si>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</si>
  <si>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</si>
  <si>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</si>
  <si>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</si>
  <si>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</si>
  <si>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</si>
  <si>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</si>
  <si>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</si>
  <si>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</si>
  <si>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</si>
  <si>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</si>
  <si>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</si>
  <si>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</si>
  <si>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</si>
  <si>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</si>
  <si>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</si>
  <si>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</si>
  <si>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</si>
  <si>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</si>
  <si>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</si>
  <si>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</si>
  <si>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</si>
  <si>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</si>
  <si>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</si>
  <si>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</si>
  <si>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</si>
  <si>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</si>
  <si>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</si>
  <si>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</si>
  <si>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</si>
  <si>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</si>
  <si>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</si>
  <si>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</si>
  <si>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</si>
  <si>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</si>
  <si>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</si>
  <si>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</si>
  <si>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</si>
  <si>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</si>
  <si>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</si>
  <si>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</si>
  <si>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</si>
  <si>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</si>
  <si>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</si>
  <si>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</si>
  <si>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</si>
  <si>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</si>
  <si>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</si>
  <si>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</si>
  <si>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</si>
  <si>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</si>
  <si>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</si>
  <si>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</si>
  <si>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</si>
  <si>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</si>
  <si>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</si>
  <si>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</si>
  <si>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</si>
  <si>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</si>
  <si>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</si>
  <si>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</si>
  <si>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</si>
  <si>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</si>
  <si>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</si>
  <si>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</si>
  <si>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</si>
  <si>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</si>
  <si>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</si>
  <si>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</si>
  <si>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</si>
  <si>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</si>
  <si>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</si>
  <si>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</si>
  <si>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</si>
  <si>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</si>
  <si>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</si>
  <si>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</si>
  <si>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</si>
  <si>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</si>
  <si>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</si>
  <si>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</si>
  <si>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</si>
  <si>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</si>
  <si>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</si>
  <si>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</si>
  <si>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</si>
  <si>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</si>
  <si>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</si>
  <si>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</si>
  <si>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</si>
  <si>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</si>
  <si>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</si>
  <si>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</si>
  <si>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</si>
  <si>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</si>
  <si>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</si>
  <si>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</si>
  <si>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</si>
  <si>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</si>
  <si>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</si>
  <si>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</si>
  <si>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</si>
  <si>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</si>
  <si>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</si>
  <si>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</si>
  <si>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</si>
  <si>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</si>
  <si>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</si>
  <si>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</si>
  <si>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</si>
  <si>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</si>
  <si>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</si>
  <si>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</si>
  <si>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</si>
  <si>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</si>
  <si>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</si>
  <si>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</si>
  <si>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</si>
  <si>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</si>
  <si>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</si>
  <si>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</si>
  <si>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</si>
  <si>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</si>
  <si>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</si>
  <si>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</si>
  <si>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</si>
  <si>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</si>
  <si>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</si>
  <si>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</si>
  <si>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</si>
  <si>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</si>
  <si>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</si>
  <si>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</si>
  <si>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</si>
  <si>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</si>
  <si>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</si>
  <si>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</si>
  <si>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</si>
  <si>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</si>
  <si>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</si>
  <si>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</si>
  <si>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</si>
  <si>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</si>
  <si>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</si>
  <si>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</si>
  <si>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</si>
  <si>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</si>
  <si>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</si>
  <si>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</si>
  <si>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</si>
  <si>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</si>
  <si>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</si>
  <si>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</si>
  <si>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</si>
  <si>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</si>
  <si>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</si>
  <si>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</si>
  <si>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</si>
  <si>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</si>
  <si>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</si>
  <si>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</si>
  <si>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</si>
  <si>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</si>
  <si>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</si>
  <si>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</si>
  <si>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</si>
  <si>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</si>
  <si>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</si>
  <si>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</si>
  <si>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</si>
  <si>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</si>
  <si>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</si>
  <si>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</si>
  <si>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</si>
  <si>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</si>
  <si>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</si>
  <si>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</si>
  <si>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</si>
  <si>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</si>
  <si>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</si>
  <si>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</si>
  <si>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</si>
  <si>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</si>
  <si>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</si>
  <si>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</si>
  <si>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</si>
  <si>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</si>
  <si>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</si>
  <si>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</si>
  <si>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</si>
  <si>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</si>
  <si>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</si>
  <si>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</si>
  <si>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</si>
  <si>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</si>
  <si>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</si>
  <si>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</si>
  <si>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</si>
  <si>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</si>
  <si>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</si>
  <si>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</si>
  <si>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</si>
  <si>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</si>
  <si>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</si>
  <si>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</si>
  <si>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</si>
  <si>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</si>
  <si>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</si>
  <si>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</si>
  <si>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</si>
  <si>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</si>
  <si>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</si>
  <si>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</si>
  <si>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</si>
  <si>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</si>
  <si>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</si>
  <si>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</si>
  <si>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</si>
  <si>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</si>
  <si>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t>High-side FET</t>
  </si>
  <si>
    <t>Low-side FET</t>
  </si>
  <si>
    <t>Drain-Source Resistance of Low-side FET</t>
  </si>
  <si>
    <t xml:space="preserve">Drain-Source Resistance of Top FET </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</si>
  <si>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</si>
  <si>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</si>
  <si>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</si>
  <si>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</si>
  <si>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</si>
  <si>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</si>
  <si>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</si>
  <si>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</si>
  <si>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</si>
  <si>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</si>
  <si>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</si>
  <si>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</si>
  <si>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</si>
  <si>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</si>
  <si>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</si>
  <si>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</si>
  <si>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</si>
  <si>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</si>
  <si>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</si>
  <si>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</si>
  <si>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</si>
  <si>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</si>
  <si>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</si>
  <si>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</si>
  <si>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</si>
  <si>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</si>
  <si>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</si>
  <si>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</si>
  <si>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</si>
  <si>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</si>
  <si>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</si>
  <si>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</si>
  <si>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</si>
  <si>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</si>
  <si>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</si>
  <si>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</si>
  <si>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</si>
  <si>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</si>
  <si>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</si>
  <si>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</si>
  <si>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</si>
  <si>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</si>
  <si>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</si>
  <si>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</si>
  <si>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</si>
  <si>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</si>
  <si>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</si>
  <si>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</si>
  <si>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</si>
  <si>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</si>
  <si>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</si>
  <si>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</si>
  <si>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</si>
  <si>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</si>
  <si>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</si>
  <si>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</si>
  <si>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</si>
  <si>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</si>
  <si>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</si>
  <si>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</si>
  <si>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</si>
  <si>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</si>
  <si>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</si>
  <si>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</si>
  <si>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</si>
  <si>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</si>
  <si>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</si>
  <si>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</si>
  <si>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10% load</t>
  </si>
  <si>
    <t>100% load</t>
  </si>
  <si>
    <t>50% load</t>
  </si>
  <si>
    <t>VIN range</t>
  </si>
  <si>
    <t>1 = Yes, 2 = No</t>
  </si>
  <si>
    <t>http://www.ti.com/product/lm5175</t>
  </si>
  <si>
    <t>VAR</t>
  </si>
  <si>
    <t>Step 4: Output Capacitors</t>
  </si>
  <si>
    <t>Shunt or inductor DCR current sensing</t>
  </si>
  <si>
    <t>FPWM or DEM (DEMB)</t>
  </si>
  <si>
    <t>Single or dual output (MODE)</t>
  </si>
  <si>
    <t>With/without dither (DITH)</t>
  </si>
  <si>
    <t>3.3V or 5V fixed (FB1/2)</t>
  </si>
  <si>
    <t xml:space="preserve">Tie to VDDA or AGND for FPWM/DEM, respectively. </t>
  </si>
  <si>
    <t>VIN_nom</t>
  </si>
  <si>
    <t>Load resistance - Channel 1</t>
  </si>
  <si>
    <t>Calculate input power assuming finite efficiency</t>
  </si>
  <si>
    <t>Single/Dual Yes/No</t>
  </si>
  <si>
    <t>Output voltage - channel 1</t>
  </si>
  <si>
    <t>Output current - channel 1</t>
  </si>
  <si>
    <t>Switching period</t>
  </si>
  <si>
    <t>Reference voltage</t>
  </si>
  <si>
    <t>Frequency set resistor</t>
  </si>
  <si>
    <t>Nominal switching frequency - determines RT resistor (SYNCIN must be 80-120% of this)</t>
  </si>
  <si>
    <t>L_slopecomp</t>
  </si>
  <si>
    <t>Inductor copper temerature</t>
  </si>
  <si>
    <t>Channel 1</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</si>
  <si>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</si>
  <si>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</si>
  <si>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</si>
  <si>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</si>
  <si>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</si>
  <si>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</si>
  <si>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</si>
  <si>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</si>
  <si>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</si>
  <si>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</si>
  <si>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</si>
  <si>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</si>
  <si>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</si>
  <si>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</si>
  <si>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</si>
  <si>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</si>
  <si>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</si>
  <si>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Lo</t>
  </si>
  <si>
    <t>Note this is power loss at full load - not loss near OCP!</t>
  </si>
  <si>
    <t>Ripple current at Vin(max)</t>
  </si>
  <si>
    <t>FPWM</t>
  </si>
  <si>
    <t>Step 6b: Other Components - Dither, Hiccup, DEMB, MODE</t>
  </si>
  <si>
    <t>Tres</t>
  </si>
  <si>
    <t>Cres</t>
  </si>
  <si>
    <t>Cres_u</t>
  </si>
  <si>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</si>
  <si>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</si>
  <si>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</si>
  <si>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</si>
  <si>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</si>
  <si>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</si>
  <si>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</si>
  <si>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</si>
  <si>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VCC</t>
  </si>
  <si>
    <t>mc*(1-d)</t>
  </si>
  <si>
    <t>This along with Rcea1 will set a zero at Fcrossover/5 to optimize phase margin</t>
  </si>
  <si>
    <r>
      <t>R</t>
    </r>
    <r>
      <rPr>
        <b/>
        <vertAlign val="subscript"/>
        <sz val="10"/>
        <rFont val="Arial"/>
        <family val="2"/>
      </rPr>
      <t>C1</t>
    </r>
  </si>
  <si>
    <t>3.3V</t>
  </si>
  <si>
    <t>5V</t>
  </si>
  <si>
    <t>Adjustable</t>
  </si>
  <si>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</si>
  <si>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</si>
  <si>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</si>
  <si>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</si>
  <si>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</si>
  <si>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</si>
  <si>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</si>
  <si>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</si>
  <si>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</si>
  <si>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</si>
  <si>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</si>
  <si>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</si>
  <si>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</si>
  <si>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</si>
  <si>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</si>
  <si>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</si>
  <si>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High- &amp; low-side MOSFETs - Ch1</t>
  </si>
  <si>
    <t>with 170mA current limit</t>
  </si>
  <si>
    <t>Quiescent Current of LM5143-Q1 Controller (One channel disabled)</t>
  </si>
  <si>
    <t>Controller Characteristics</t>
  </si>
  <si>
    <t>Gate Charge at VCC = 5V</t>
  </si>
  <si>
    <t>Drain-Source Resistances of Channel 1 FETs</t>
  </si>
  <si>
    <t>Junction-to-Ambient Resistance</t>
  </si>
  <si>
    <t>Transconductance</t>
  </si>
  <si>
    <t>Threshold Voltage</t>
  </si>
  <si>
    <t>Switch Point Voltage of FETs</t>
  </si>
  <si>
    <t>Control MOSFET Loss</t>
  </si>
  <si>
    <t>SYNC MOSFET Loss</t>
  </si>
  <si>
    <t>BUCK CONTROLLER POWER DESIGN TOOL</t>
  </si>
  <si>
    <t>High-side</t>
  </si>
  <si>
    <t>0508</t>
  </si>
  <si>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</si>
  <si>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</si>
  <si>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</si>
  <si>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</si>
  <si>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</si>
  <si>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</si>
  <si>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</si>
  <si>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</si>
  <si>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</si>
  <si>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</si>
  <si>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</si>
  <si>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</si>
  <si>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</si>
  <si>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</si>
  <si>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</si>
  <si>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</si>
  <si>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</si>
  <si>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</si>
  <si>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</si>
  <si>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</si>
  <si>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</si>
  <si>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</si>
  <si>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</si>
  <si>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</si>
  <si>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</si>
  <si>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</si>
  <si>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</si>
  <si>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</si>
  <si>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</si>
  <si>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</si>
  <si>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</si>
  <si>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</si>
  <si>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I_VCC</t>
  </si>
  <si>
    <t>LDO Loss Saved from Gate Drive Current (ext VCC)</t>
  </si>
  <si>
    <t>IC Power Dissipation</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</si>
  <si>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</si>
  <si>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</si>
  <si>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</si>
  <si>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</si>
  <si>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</si>
  <si>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</si>
  <si>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</si>
  <si>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</si>
  <si>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</si>
  <si>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</si>
  <si>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</si>
  <si>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</si>
  <si>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</si>
  <si>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</si>
  <si>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</si>
  <si>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</si>
  <si>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</si>
  <si>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</si>
  <si>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</si>
  <si>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</si>
  <si>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</si>
  <si>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</si>
  <si>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</si>
  <si>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14ns for LM513-Q1</t>
  </si>
  <si>
    <t>Power MOSFETs</t>
  </si>
  <si>
    <t>Load Pole Frequency</t>
  </si>
  <si>
    <t>ESR Zero Frequency</t>
  </si>
  <si>
    <t xml:space="preserve">Inductor DCR </t>
  </si>
  <si>
    <t>Output Voltage Ripple Spec</t>
  </si>
  <si>
    <t>Minimum Output Capacitance</t>
  </si>
  <si>
    <r>
      <t>C</t>
    </r>
    <r>
      <rPr>
        <vertAlign val="subscript"/>
        <sz val="10"/>
        <rFont val="Arial"/>
        <family val="2"/>
      </rPr>
      <t>BOOT</t>
    </r>
  </si>
  <si>
    <r>
      <t>C</t>
    </r>
    <r>
      <rPr>
        <vertAlign val="subscript"/>
        <sz val="10"/>
        <rFont val="Arial"/>
        <family val="2"/>
      </rPr>
      <t>VCC</t>
    </r>
    <r>
      <rPr>
        <sz val="10"/>
        <rFont val="Arial"/>
        <family val="2"/>
      </rPr>
      <t>,</t>
    </r>
    <r>
      <rPr>
        <sz val="10"/>
        <rFont val="Arial"/>
        <family val="2"/>
      </rPr>
      <t xml:space="preserve"> C</t>
    </r>
    <r>
      <rPr>
        <vertAlign val="subscript"/>
        <sz val="10"/>
        <rFont val="Arial"/>
        <family val="2"/>
      </rPr>
      <t>VCCX</t>
    </r>
  </si>
  <si>
    <r>
      <t>L</t>
    </r>
    <r>
      <rPr>
        <vertAlign val="subscript"/>
        <sz val="10"/>
        <rFont val="Arial"/>
        <family val="2"/>
      </rPr>
      <t>O</t>
    </r>
  </si>
  <si>
    <r>
      <t>R</t>
    </r>
    <r>
      <rPr>
        <vertAlign val="subscript"/>
        <sz val="10"/>
        <rFont val="Arial"/>
        <family val="2"/>
      </rPr>
      <t>S</t>
    </r>
  </si>
  <si>
    <t xml:space="preserve">   ** Tie VCCX to GND if not used **</t>
  </si>
  <si>
    <r>
      <t>Inductance, L</t>
    </r>
    <r>
      <rPr>
        <b/>
        <vertAlign val="subscript"/>
        <sz val="10"/>
        <color theme="1"/>
        <rFont val="Arial"/>
        <family val="2"/>
      </rPr>
      <t>O</t>
    </r>
    <r>
      <rPr>
        <b/>
        <sz val="10"/>
        <color theme="1"/>
        <rFont val="Arial"/>
        <family val="2"/>
      </rPr>
      <t xml:space="preserve"> </t>
    </r>
  </si>
  <si>
    <t>OSC setting</t>
  </si>
  <si>
    <t>Rt1</t>
  </si>
  <si>
    <t>Output Voltage Setting</t>
  </si>
  <si>
    <t>Schematic setting</t>
  </si>
  <si>
    <t>Cd</t>
  </si>
  <si>
    <t>Step 3: Buck Inductance</t>
  </si>
  <si>
    <t>Step 2: Current Sense Resistor</t>
  </si>
  <si>
    <r>
      <t>R</t>
    </r>
    <r>
      <rPr>
        <vertAlign val="subscript"/>
        <sz val="10"/>
        <rFont val="Arial"/>
        <family val="2"/>
      </rPr>
      <t>CS</t>
    </r>
  </si>
  <si>
    <t>VQFN-24</t>
  </si>
  <si>
    <r>
      <t>Output Capacitance (derated), C</t>
    </r>
    <r>
      <rPr>
        <b/>
        <vertAlign val="subscript"/>
        <sz val="10"/>
        <rFont val="Arial"/>
        <family val="2"/>
      </rPr>
      <t>OUT</t>
    </r>
    <r>
      <rPr>
        <b/>
        <sz val="10"/>
        <rFont val="Arial"/>
        <family val="2"/>
      </rPr>
      <t xml:space="preserve"> </t>
    </r>
  </si>
  <si>
    <r>
      <t>Input Capacitance (derated), C</t>
    </r>
    <r>
      <rPr>
        <b/>
        <vertAlign val="subscript"/>
        <sz val="10"/>
        <color theme="1"/>
        <rFont val="Arial"/>
        <family val="2"/>
      </rPr>
      <t>IN</t>
    </r>
    <r>
      <rPr>
        <b/>
        <sz val="10"/>
        <color theme="1"/>
        <rFont val="Arial"/>
        <family val="2"/>
      </rPr>
      <t xml:space="preserve"> </t>
    </r>
  </si>
  <si>
    <t>mc = 1 + Se/Sn for peak current-mode buck</t>
  </si>
  <si>
    <t>External Compensation</t>
  </si>
  <si>
    <t>Internal Compensation</t>
  </si>
  <si>
    <t>COMP_TYPE</t>
  </si>
  <si>
    <t>Step 8: AEF</t>
  </si>
  <si>
    <t>Cinj_AEF</t>
  </si>
  <si>
    <t>Rdamp_AEF</t>
  </si>
  <si>
    <t>Gop_AEF</t>
  </si>
  <si>
    <t>n</t>
  </si>
  <si>
    <t>Cdamp_AEF</t>
  </si>
  <si>
    <t>dBuV</t>
  </si>
  <si>
    <t>VinRipple_dBuV</t>
  </si>
  <si>
    <t>CISPR 25 limit</t>
  </si>
  <si>
    <t>Attenuation required</t>
  </si>
  <si>
    <t>Filter Frequency Required</t>
  </si>
  <si>
    <t>Lfilter</t>
  </si>
  <si>
    <t>Ccomp_AEF</t>
  </si>
  <si>
    <t>Rcomp_AEF</t>
  </si>
  <si>
    <t>Csen_AEF</t>
  </si>
  <si>
    <t>Passive</t>
  </si>
  <si>
    <t>INFILTER_TYPE</t>
  </si>
  <si>
    <t>No Input Filter</t>
  </si>
  <si>
    <t>AEF Input Filter</t>
  </si>
  <si>
    <t>Passive LC Filter</t>
  </si>
  <si>
    <t>Filter Attenuation</t>
  </si>
  <si>
    <t>Attenuation at Fsw</t>
  </si>
  <si>
    <t>dB-µV</t>
  </si>
  <si>
    <t>VIN Ripple</t>
  </si>
  <si>
    <t>jω</t>
  </si>
  <si>
    <t>Numerator</t>
  </si>
  <si>
    <t>Denominator</t>
  </si>
  <si>
    <t>Magnitude</t>
  </si>
  <si>
    <t>Phase</t>
  </si>
  <si>
    <t>-jω^3</t>
  </si>
  <si>
    <t>-ω^2</t>
  </si>
  <si>
    <t>Gop</t>
  </si>
  <si>
    <t>AEF Numerator</t>
  </si>
  <si>
    <t>AEF Denominator</t>
  </si>
  <si>
    <t>Cin_Passive</t>
  </si>
  <si>
    <t>Rdamp_Passive</t>
  </si>
  <si>
    <t>Cdamp_Pssv</t>
  </si>
  <si>
    <t>Cdamp_Passive</t>
  </si>
  <si>
    <t>Conducted EMC at Fsw</t>
  </si>
  <si>
    <t>Fsw Conducted EMC</t>
  </si>
  <si>
    <t>dB</t>
  </si>
  <si>
    <t xml:space="preserve">                           LM5149-Q1 Synchronous Buck Controller Design Tool</t>
  </si>
  <si>
    <t>Passive Cf</t>
  </si>
  <si>
    <t>Suggested Cdamp</t>
  </si>
  <si>
    <t>Suggested Rdamp</t>
  </si>
  <si>
    <t>Chosen Inductor</t>
  </si>
  <si>
    <t>Chosen Cdamp</t>
  </si>
  <si>
    <t>Chosen Rdamp</t>
  </si>
  <si>
    <t>Suggested Inductor</t>
  </si>
  <si>
    <t>Choose Filter</t>
  </si>
  <si>
    <t>AEF Filter Inductor</t>
  </si>
  <si>
    <t>Cdamp</t>
  </si>
  <si>
    <t>Rdamp</t>
  </si>
  <si>
    <t>(kHz)</t>
  </si>
  <si>
    <t>SetVout_IntComp_nAEF</t>
  </si>
  <si>
    <t>SetVout_ExtComp_AEF</t>
  </si>
  <si>
    <t>SetVout_IntComp_AEF</t>
  </si>
  <si>
    <t>SetVout_ExtComp_nAEF</t>
  </si>
  <si>
    <t>AdjVout_IntComp_nAEF</t>
  </si>
  <si>
    <t>AdjVout_IntComp_AEF</t>
  </si>
  <si>
    <t>AdjVout_ExtComp_nAEF</t>
  </si>
  <si>
    <t>AdjVout_ExtComp_AEF</t>
  </si>
  <si>
    <t>12V</t>
  </si>
  <si>
    <t>Cinj</t>
  </si>
  <si>
    <t>Internal Values</t>
  </si>
  <si>
    <t>Internal Comp Crossover</t>
  </si>
  <si>
    <t>Error Amp Pole Frequency</t>
  </si>
  <si>
    <t>RT resistor to AGND</t>
  </si>
  <si>
    <t>Rd</t>
  </si>
  <si>
    <t>Feedback Gain</t>
  </si>
  <si>
    <t>p1p2</t>
  </si>
  <si>
    <t>Feedback natural frequencies</t>
  </si>
  <si>
    <t>wff</t>
  </si>
  <si>
    <t>wfbt</t>
  </si>
  <si>
    <t>wfbb</t>
  </si>
  <si>
    <t>w1</t>
  </si>
  <si>
    <t>Rff</t>
  </si>
  <si>
    <t>Cff</t>
  </si>
  <si>
    <t>Cfb</t>
  </si>
  <si>
    <t>Cfb*(Rff+RFBT)/(Rff*RFBT))</t>
  </si>
  <si>
    <t>zterm1</t>
  </si>
  <si>
    <t>pterm3</t>
  </si>
  <si>
    <t>pterm4</t>
  </si>
  <si>
    <t>Afbr</t>
  </si>
  <si>
    <t>wfft</t>
  </si>
  <si>
    <t>dBµV</t>
  </si>
  <si>
    <t>Chooses CISPR conducted limit 35 at 2.1MHz and 50 at 440kHz</t>
  </si>
  <si>
    <t>Margin of attenuation req</t>
  </si>
  <si>
    <t>assume 40db/decade drop and set frequency based on attenuation</t>
  </si>
  <si>
    <t>user input</t>
  </si>
  <si>
    <t>AEF Comp network &amp; sense is specifically defined at 2.2MHz at 440kHz</t>
  </si>
  <si>
    <t>n should be 2 or 3</t>
  </si>
  <si>
    <t>PFM</t>
  </si>
  <si>
    <t>FPWM/PFM</t>
  </si>
  <si>
    <r>
      <t>Configuration Resistor, R</t>
    </r>
    <r>
      <rPr>
        <vertAlign val="subscript"/>
        <sz val="10"/>
        <rFont val="Arial"/>
        <family val="2"/>
      </rPr>
      <t>CNFG</t>
    </r>
  </si>
  <si>
    <t>Enable Hysteresis Current</t>
  </si>
  <si>
    <t>10 µA Hysteresis Current</t>
  </si>
  <si>
    <t>Turn ON Voltage</t>
  </si>
  <si>
    <t>Hysteresis Voltage</t>
  </si>
  <si>
    <t>Upper FB resistor</t>
  </si>
  <si>
    <t>Lower FB resister</t>
  </si>
  <si>
    <t>Standard upper FB resistor</t>
  </si>
  <si>
    <t>Standard lower FB resistor</t>
  </si>
  <si>
    <t>Rent</t>
  </si>
  <si>
    <t>Renb</t>
  </si>
  <si>
    <t>UVLO Divider</t>
  </si>
  <si>
    <t>No UVLO Divider</t>
  </si>
  <si>
    <t>UVLO_TYPE</t>
  </si>
  <si>
    <t>RENT</t>
  </si>
  <si>
    <t>RENB</t>
  </si>
  <si>
    <t>Passive EMI at Fsw</t>
  </si>
  <si>
    <t>AEF EMI at Fsw</t>
  </si>
  <si>
    <t>0.1-10</t>
  </si>
  <si>
    <t>AEF</t>
  </si>
  <si>
    <t>Lfilter Passive</t>
  </si>
  <si>
    <t>Cfilter Passive</t>
  </si>
  <si>
    <t>Cdamp passive</t>
  </si>
  <si>
    <t>Rdamp passive</t>
  </si>
  <si>
    <t>1-10</t>
  </si>
  <si>
    <t>AEFCompare</t>
  </si>
  <si>
    <t>AEF comparison Values</t>
  </si>
  <si>
    <t>AEF Attenuation at Fsw</t>
  </si>
  <si>
    <t>Passive Attenuation at Fsw</t>
  </si>
  <si>
    <r>
      <t>C</t>
    </r>
    <r>
      <rPr>
        <vertAlign val="subscript"/>
        <sz val="10"/>
        <rFont val="Arial"/>
        <family val="2"/>
      </rPr>
      <t>DAMP</t>
    </r>
  </si>
  <si>
    <r>
      <t>R</t>
    </r>
    <r>
      <rPr>
        <vertAlign val="subscript"/>
        <sz val="10"/>
        <rFont val="Arial"/>
        <family val="2"/>
      </rPr>
      <t>DAMP</t>
    </r>
  </si>
  <si>
    <t>Slope comp</t>
  </si>
  <si>
    <t>RCNFG</t>
  </si>
  <si>
    <t>VCCX</t>
  </si>
  <si>
    <r>
      <t>Upper Enable Resistor, R</t>
    </r>
    <r>
      <rPr>
        <vertAlign val="subscript"/>
        <sz val="10"/>
        <rFont val="Arial"/>
        <family val="2"/>
      </rPr>
      <t>UV1</t>
    </r>
  </si>
  <si>
    <r>
      <t>Lower Enable Resistor, R</t>
    </r>
    <r>
      <rPr>
        <vertAlign val="subscript"/>
        <sz val="10"/>
        <rFont val="Arial"/>
        <family val="2"/>
      </rPr>
      <t>UV2</t>
    </r>
  </si>
  <si>
    <r>
      <t>Design tab - L</t>
    </r>
    <r>
      <rPr>
        <vertAlign val="subscript"/>
        <sz val="10"/>
        <color theme="1"/>
        <rFont val="Arial"/>
        <family val="2"/>
      </rPr>
      <t>AEF</t>
    </r>
  </si>
  <si>
    <r>
      <t>Design tab - C</t>
    </r>
    <r>
      <rPr>
        <vertAlign val="subscript"/>
        <sz val="10"/>
        <rFont val="Arial"/>
        <family val="2"/>
      </rPr>
      <t>INJ</t>
    </r>
  </si>
  <si>
    <r>
      <t>Design tab - C</t>
    </r>
    <r>
      <rPr>
        <vertAlign val="subscript"/>
        <sz val="10"/>
        <rFont val="Arial"/>
        <family val="2"/>
      </rPr>
      <t>DAMP</t>
    </r>
  </si>
  <si>
    <r>
      <t>Design tab - R</t>
    </r>
    <r>
      <rPr>
        <vertAlign val="subscript"/>
        <sz val="10"/>
        <rFont val="Arial"/>
        <family val="2"/>
      </rPr>
      <t>DAMP</t>
    </r>
  </si>
  <si>
    <r>
      <t>L</t>
    </r>
    <r>
      <rPr>
        <vertAlign val="subscript"/>
        <sz val="10"/>
        <color theme="1"/>
        <rFont val="Arial"/>
        <family val="2"/>
      </rPr>
      <t>AEF</t>
    </r>
  </si>
  <si>
    <r>
      <t>C</t>
    </r>
    <r>
      <rPr>
        <vertAlign val="subscript"/>
        <sz val="10"/>
        <rFont val="Arial"/>
        <family val="2"/>
      </rPr>
      <t>INJ</t>
    </r>
  </si>
  <si>
    <r>
      <t>Chosen L</t>
    </r>
    <r>
      <rPr>
        <vertAlign val="subscript"/>
        <sz val="10"/>
        <color theme="1"/>
        <rFont val="Arial"/>
        <family val="2"/>
      </rPr>
      <t>IN</t>
    </r>
  </si>
  <si>
    <r>
      <t>Chosen R</t>
    </r>
    <r>
      <rPr>
        <vertAlign val="subscript"/>
        <sz val="10"/>
        <rFont val="Arial"/>
        <family val="2"/>
      </rPr>
      <t>DAMP</t>
    </r>
  </si>
  <si>
    <r>
      <t>Chosen C</t>
    </r>
    <r>
      <rPr>
        <vertAlign val="subscript"/>
        <sz val="10"/>
        <rFont val="Arial"/>
        <family val="2"/>
      </rPr>
      <t>DAMP</t>
    </r>
  </si>
  <si>
    <r>
      <t>Chosen C</t>
    </r>
    <r>
      <rPr>
        <vertAlign val="subscript"/>
        <sz val="10"/>
        <rFont val="Arial"/>
        <family val="2"/>
      </rPr>
      <t>F</t>
    </r>
  </si>
  <si>
    <r>
      <t>Suggested R</t>
    </r>
    <r>
      <rPr>
        <vertAlign val="subscript"/>
        <sz val="10"/>
        <rFont val="Arial"/>
        <family val="2"/>
      </rPr>
      <t>DAMP</t>
    </r>
  </si>
  <si>
    <r>
      <t>Suggested C</t>
    </r>
    <r>
      <rPr>
        <vertAlign val="subscript"/>
        <sz val="10"/>
        <rFont val="Arial"/>
        <family val="2"/>
      </rPr>
      <t>DAMP</t>
    </r>
  </si>
  <si>
    <r>
      <t>Suggested C</t>
    </r>
    <r>
      <rPr>
        <vertAlign val="subscript"/>
        <sz val="10"/>
        <rFont val="Arial"/>
        <family val="2"/>
      </rPr>
      <t>F</t>
    </r>
  </si>
  <si>
    <r>
      <t>Suggested L</t>
    </r>
    <r>
      <rPr>
        <vertAlign val="subscript"/>
        <sz val="10"/>
        <color theme="1"/>
        <rFont val="Arial"/>
        <family val="2"/>
      </rPr>
      <t>IN</t>
    </r>
    <r>
      <rPr>
        <sz val="10"/>
        <color theme="1"/>
        <rFont val="Arial"/>
        <family val="2"/>
      </rPr>
      <t xml:space="preserve"> Inductor</t>
    </r>
  </si>
  <si>
    <t>Rd_AEF</t>
  </si>
  <si>
    <t>Cinmin_Vinmin</t>
  </si>
  <si>
    <t>Vinripple2_Vinmin</t>
  </si>
  <si>
    <t>Cinmin_Vinnom</t>
  </si>
  <si>
    <t>Vinripple2_Vinnom</t>
  </si>
  <si>
    <t xml:space="preserve">                           LM(2)5149-Q1 Synchronous Buck Controller Design Tool</t>
  </si>
  <si>
    <t>VIN Ripple at Fsw</t>
  </si>
  <si>
    <t xml:space="preserve"> LM25149-Q1 Quickstart Design Tool</t>
  </si>
  <si>
    <t>LM25149-Q1EVM-2100 PCB Layout</t>
  </si>
  <si>
    <t>IC</t>
  </si>
  <si>
    <t>Step 5: Input Capacitors</t>
  </si>
  <si>
    <t xml:space="preserve">                      LM(2)5148/-Q1 Synchronous Buck Controller Design Tool</t>
  </si>
  <si>
    <r>
      <t>mV</t>
    </r>
    <r>
      <rPr>
        <b/>
        <vertAlign val="subscript"/>
        <sz val="10"/>
        <rFont val="Arial"/>
        <family val="2"/>
      </rPr>
      <t>PK=PK</t>
    </r>
  </si>
  <si>
    <r>
      <t>mV</t>
    </r>
    <r>
      <rPr>
        <vertAlign val="subscript"/>
        <sz val="10"/>
        <rFont val="Arial"/>
        <family val="2"/>
      </rPr>
      <t>PK-PK</t>
    </r>
  </si>
  <si>
    <r>
      <t>A</t>
    </r>
    <r>
      <rPr>
        <vertAlign val="subscript"/>
        <sz val="10"/>
        <rFont val="Arial"/>
        <family val="2"/>
      </rPr>
      <t>RMS</t>
    </r>
  </si>
  <si>
    <r>
      <t>mV</t>
    </r>
    <r>
      <rPr>
        <b/>
        <vertAlign val="subscript"/>
        <sz val="10"/>
        <rFont val="Arial"/>
        <family val="2"/>
      </rPr>
      <t>PK-PK</t>
    </r>
  </si>
  <si>
    <t>Input Voltage UVLO Turn On</t>
  </si>
  <si>
    <t>Input Voltage UVLO Turn Off</t>
  </si>
  <si>
    <t>Output Setting</t>
  </si>
  <si>
    <t>DRSS Enabled</t>
  </si>
  <si>
    <t>DRSS Disabled</t>
  </si>
  <si>
    <t>DRSS Yes/No</t>
  </si>
  <si>
    <t>LM5148</t>
  </si>
  <si>
    <t>LM5148-Q1</t>
  </si>
  <si>
    <t>LM25148</t>
  </si>
  <si>
    <t>LM25148-Q1</t>
  </si>
  <si>
    <t>VARIANT</t>
  </si>
  <si>
    <t>VIN-MAX</t>
  </si>
  <si>
    <t>VOUT-MAX</t>
  </si>
  <si>
    <t>Core loss</t>
  </si>
  <si>
    <t xml:space="preserve">   ** Tie PFM to VDDA for PFM, AGND for FPWM **</t>
  </si>
  <si>
    <r>
      <t>C</t>
    </r>
    <r>
      <rPr>
        <vertAlign val="subscript"/>
        <sz val="10"/>
        <rFont val="Arial"/>
        <family val="2"/>
      </rPr>
      <t>COMP</t>
    </r>
  </si>
  <si>
    <r>
      <t>C</t>
    </r>
    <r>
      <rPr>
        <vertAlign val="subscript"/>
        <sz val="10"/>
        <rFont val="Arial"/>
        <family val="2"/>
      </rPr>
      <t>HF</t>
    </r>
  </si>
  <si>
    <r>
      <t>R</t>
    </r>
    <r>
      <rPr>
        <vertAlign val="subscript"/>
        <sz val="10"/>
        <rFont val="Arial"/>
        <family val="2"/>
      </rPr>
      <t>COMP</t>
    </r>
  </si>
  <si>
    <r>
      <t>R</t>
    </r>
    <r>
      <rPr>
        <vertAlign val="subscript"/>
        <sz val="10"/>
        <rFont val="Arial"/>
        <family val="2"/>
      </rPr>
      <t>PG</t>
    </r>
  </si>
  <si>
    <t>CinEsrMax_Vinmin</t>
  </si>
  <si>
    <t>'852, '824</t>
  </si>
  <si>
    <t>Step 6: Precision Enable, DRSS, FPWM / PFM</t>
  </si>
  <si>
    <t>Inductance for Ideal Slope Comp</t>
  </si>
  <si>
    <r>
      <t>Estimate Core Loss at V</t>
    </r>
    <r>
      <rPr>
        <b/>
        <vertAlign val="subscript"/>
        <sz val="10"/>
        <rFont val="Arial"/>
        <family val="2"/>
      </rPr>
      <t>IN(nom)</t>
    </r>
  </si>
  <si>
    <r>
      <t>Shunt Resistance, R</t>
    </r>
    <r>
      <rPr>
        <b/>
        <vertAlign val="subscript"/>
        <sz val="10"/>
        <color theme="1"/>
        <rFont val="Arial"/>
        <family val="2"/>
      </rPr>
      <t>S</t>
    </r>
  </si>
  <si>
    <t>Recommended Shunt Resistance</t>
  </si>
  <si>
    <t>Max Power Loss in Shunt</t>
  </si>
  <si>
    <r>
      <t xml:space="preserve">** Effective input and output capacitances should be appropriately </t>
    </r>
    <r>
      <rPr>
        <u/>
        <sz val="10"/>
        <color rgb="FFFF0000"/>
        <rFont val="Arial"/>
        <family val="2"/>
      </rPr>
      <t>derated</t>
    </r>
    <r>
      <rPr>
        <sz val="10"/>
        <rFont val="Arial"/>
        <family val="2"/>
      </rPr>
      <t xml:space="preserve"> for applied voltage and temperature, particularly with ceramics **</t>
    </r>
  </si>
  <si>
    <t>High-Efficiency Synchronous Buck Regulator 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</si>
</sst>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Inductor, &quot;General&quot;-µH, 10%&quot;"/>
    <numFmt numFmtId="178" formatCode="0.0%"/>
    <numFmt numFmtId="179" formatCode="0.0E+00"/>
    <numFmt numFmtId="180" formatCode="General&quot;m&quot;"/>
    <numFmt numFmtId="181" formatCode="0.0.E+00"/>
    <numFmt numFmtId="182" formatCode="&quot;MOSFET, N-CH, 40V, &quot;General&quot;mΩ&quot;"/>
    <numFmt numFmtId="183" formatCode="&quot;Capacitor, Ceramic, &quot;General&quot;µF, 25V, X7R, 20%&quot;"/>
    <numFmt numFmtId="184" formatCode="&quot;Capacitor, Ceramic, &quot;General&quot;nF, 16V, X7R, 10%&quot;"/>
    <numFmt numFmtId="185" formatCode="&quot;Capacitor, Ceramic, &quot;General&quot;pF, 50V, NP0, 5%&quot;"/>
    <numFmt numFmtId="186" formatCode="&quot;Capacitor, Ceramic, &quot;General&quot;µF, 50V, X7R, 20%&quot;"/>
    <numFmt numFmtId="187" formatCode="&quot;Capacitor, Ceramic, &quot;General&quot;µF, 10V, X7R, 20%&quot;"/>
    <numFmt numFmtId="188" formatCode="&quot;Resistor, Chip, &quot;General&quot;kΩ, 1/16W, 1%&quot;"/>
    <numFmt numFmtId="189" formatCode="&quot;Resistor, Chip, &quot;General&quot;Ω, 1/16W, 1%&quot;"/>
    <numFmt numFmtId="190" formatCode="&quot;Resistor, Chip, &quot;General&quot;mΩ, 2W, 1%&quot;"/>
  </numFmts>
  <fonts count="9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b/>
      <sz val="10"/>
      <color rgb="FFCC00FF"/>
      <name val="Arial"/>
      <family val="2"/>
    </font>
    <font>
      <sz val="10"/>
      <color theme="0"/>
      <name val="Arial"/>
      <family val="2"/>
    </font>
    <font>
      <sz val="10"/>
      <color rgb="FFE8FCFE"/>
      <name val="Arial"/>
      <family val="2"/>
    </font>
    <font>
      <sz val="11"/>
      <name val="Calibri"/>
      <family val="2"/>
    </font>
    <font>
      <b/>
      <sz val="10"/>
      <color theme="0"/>
      <name val="Arial"/>
      <family val="2"/>
    </font>
    <font>
      <sz val="14"/>
      <name val="Calibri"/>
      <family val="2"/>
    </font>
    <font>
      <sz val="11"/>
      <color rgb="FF9C0006"/>
      <name val="Calibri"/>
      <family val="2"/>
      <scheme val="minor"/>
    </font>
    <font>
      <b/>
      <sz val="12"/>
      <name val="Arial"/>
      <family val="2"/>
    </font>
    <font>
      <b/>
      <sz val="14"/>
      <name val="Arial"/>
      <family val="2"/>
    </font>
    <font>
      <b/>
      <sz val="12"/>
      <color theme="0"/>
      <name val="Arial"/>
      <family val="2"/>
    </font>
    <font>
      <u/>
      <sz val="10"/>
      <color rgb="FFFF0000"/>
      <name val="Arial"/>
      <family val="2"/>
    </font>
  </fonts>
  <fills count="2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s>
  <cellStyleXfs count="7">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0" fontId="90" fillId="27" borderId="0" applyNumberFormat="0" applyBorder="0" applyAlignment="0" applyProtection="0"/>
  </cellStyleXfs>
  <cellXfs count="892">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0"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3" fillId="9" borderId="0" xfId="0" applyFont="1" applyFill="1"/>
    <xf numFmtId="1" fontId="3" fillId="19" borderId="0" xfId="0" applyNumberFormat="1" applyFont="1" applyFill="1" applyProtection="1">
      <protection locked="0"/>
    </xf>
    <xf numFmtId="0" fontId="55"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5" fillId="16" borderId="0" xfId="0" applyFont="1" applyFill="1"/>
    <xf numFmtId="1" fontId="52" fillId="9" borderId="0" xfId="0" applyNumberFormat="1" applyFont="1" applyFill="1" applyAlignment="1">
      <alignment horizontal="right"/>
    </xf>
    <xf numFmtId="0" fontId="57" fillId="15" borderId="19" xfId="0" applyFont="1" applyFill="1" applyBorder="1"/>
    <xf numFmtId="0" fontId="55"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58" fillId="9" borderId="0" xfId="0" applyFont="1" applyFill="1"/>
    <xf numFmtId="0" fontId="2" fillId="9" borderId="0" xfId="0" applyFont="1" applyFill="1" applyAlignment="1">
      <alignment horizontal="left"/>
    </xf>
    <xf numFmtId="0" fontId="56" fillId="19" borderId="0" xfId="0" applyFont="1" applyFill="1" applyAlignment="1" applyProtection="1">
      <alignment horizontal="right"/>
      <protection locked="0" hidden="1"/>
    </xf>
    <xf numFmtId="0" fontId="59" fillId="15" borderId="19" xfId="0" applyFont="1" applyFill="1" applyBorder="1"/>
    <xf numFmtId="0" fontId="22" fillId="9" borderId="28" xfId="0" applyFont="1" applyFill="1" applyBorder="1"/>
    <xf numFmtId="1" fontId="2" fillId="9" borderId="0" xfId="0" applyNumberFormat="1" applyFont="1" applyFill="1"/>
    <xf numFmtId="0" fontId="61"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1"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6" fillId="19" borderId="41" xfId="0" applyFont="1" applyFill="1" applyBorder="1" applyAlignment="1" applyProtection="1">
      <alignment horizontal="right"/>
      <protection locked="0" hidden="1"/>
    </xf>
    <xf numFmtId="0" fontId="56" fillId="9" borderId="42" xfId="0" applyFont="1" applyFill="1" applyBorder="1" applyAlignment="1">
      <alignment horizontal="left"/>
    </xf>
    <xf numFmtId="0" fontId="56"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6" fillId="19" borderId="45" xfId="0" applyFont="1" applyFill="1" applyBorder="1" applyAlignment="1" applyProtection="1">
      <alignment horizontal="right"/>
      <protection locked="0" hidden="1"/>
    </xf>
    <xf numFmtId="0" fontId="56"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57"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2" fillId="9" borderId="48" xfId="0" applyFont="1" applyFill="1" applyBorder="1"/>
    <xf numFmtId="0" fontId="65" fillId="9" borderId="0" xfId="0" applyFont="1" applyFill="1"/>
    <xf numFmtId="0" fontId="65" fillId="9" borderId="29" xfId="0" applyFont="1" applyFill="1" applyBorder="1"/>
    <xf numFmtId="171" fontId="65" fillId="18" borderId="0" xfId="0" applyNumberFormat="1" applyFont="1" applyFill="1" applyAlignment="1">
      <alignment horizontal="center"/>
    </xf>
    <xf numFmtId="0" fontId="65" fillId="18" borderId="0" xfId="0" applyFont="1" applyFill="1"/>
    <xf numFmtId="171" fontId="65" fillId="3" borderId="0" xfId="0" applyNumberFormat="1" applyFont="1" applyFill="1" applyAlignment="1">
      <alignment horizontal="center"/>
    </xf>
    <xf numFmtId="0" fontId="65" fillId="3" borderId="0" xfId="0" applyFont="1" applyFill="1"/>
    <xf numFmtId="0" fontId="63"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4" fillId="9" borderId="28" xfId="0" applyFont="1" applyFill="1" applyBorder="1" applyAlignment="1">
      <alignment vertical="center"/>
    </xf>
    <xf numFmtId="0" fontId="63" fillId="9" borderId="0" xfId="0" applyFont="1" applyFill="1" applyAlignment="1">
      <alignment horizontal="right" vertical="center"/>
    </xf>
    <xf numFmtId="0" fontId="63" fillId="0" borderId="0" xfId="0" applyFont="1" applyAlignment="1">
      <alignment horizontal="left" vertical="center"/>
    </xf>
    <xf numFmtId="0" fontId="2" fillId="0" borderId="1" xfId="0" applyFont="1" applyBorder="1"/>
    <xf numFmtId="0" fontId="2" fillId="0" borderId="28" xfId="0" applyFont="1" applyBorder="1"/>
    <xf numFmtId="0" fontId="68"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76"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0"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1"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1" fillId="16" borderId="2" xfId="0" applyFont="1" applyFill="1" applyBorder="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1"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1"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0" fillId="16" borderId="0" xfId="0" applyFont="1" applyFill="1" applyAlignment="1">
      <alignment horizontal="center"/>
    </xf>
    <xf numFmtId="168" fontId="2" fillId="9" borderId="0" xfId="0" applyNumberFormat="1" applyFont="1" applyFill="1"/>
    <xf numFmtId="2" fontId="0" fillId="2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58"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68" fillId="0" borderId="77" xfId="0" applyFont="1" applyBorder="1"/>
    <xf numFmtId="1" fontId="58" fillId="0" borderId="0" xfId="0" applyNumberFormat="1" applyFont="1"/>
    <xf numFmtId="0" fontId="75" fillId="0" borderId="0" xfId="0" applyFont="1"/>
    <xf numFmtId="167" fontId="58"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1" fillId="0" borderId="0" xfId="0" applyNumberFormat="1" applyFont="1"/>
    <xf numFmtId="0" fontId="61" fillId="0" borderId="0" xfId="0" applyFont="1"/>
    <xf numFmtId="0" fontId="68"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78"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1" fillId="0" borderId="0" xfId="0" applyNumberFormat="1" applyFont="1"/>
    <xf numFmtId="179" fontId="3" fillId="12" borderId="0" xfId="0" applyNumberFormat="1" applyFont="1" applyFill="1"/>
    <xf numFmtId="179" fontId="2" fillId="4" borderId="0" xfId="0" applyNumberFormat="1" applyFont="1" applyFill="1"/>
    <xf numFmtId="179" fontId="30" fillId="4" borderId="0" xfId="0" applyNumberFormat="1" applyFont="1" applyFill="1"/>
    <xf numFmtId="179" fontId="0" fillId="12" borderId="0" xfId="0" applyNumberFormat="1" applyFill="1"/>
    <xf numFmtId="179"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0"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68"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3" fillId="9" borderId="77" xfId="0" applyFont="1" applyFill="1" applyBorder="1"/>
    <xf numFmtId="0" fontId="2" fillId="9" borderId="77" xfId="0" applyFont="1" applyFill="1" applyBorder="1"/>
    <xf numFmtId="0" fontId="2" fillId="9" borderId="76" xfId="0" applyFont="1" applyFill="1" applyBorder="1"/>
    <xf numFmtId="0" fontId="74"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3" fillId="9" borderId="77" xfId="0" applyFont="1" applyFill="1" applyBorder="1" applyAlignment="1">
      <alignment horizontal="left"/>
    </xf>
    <xf numFmtId="0" fontId="3" fillId="4" borderId="0" xfId="0" applyFont="1" applyFill="1"/>
    <xf numFmtId="0" fontId="69" fillId="3" borderId="49" xfId="3" applyFont="1" applyFill="1" applyBorder="1" applyAlignment="1">
      <alignment horizontal="center" vertical="center"/>
    </xf>
    <xf numFmtId="0" fontId="69" fillId="3" borderId="50" xfId="3" applyFont="1" applyFill="1" applyBorder="1" applyAlignment="1">
      <alignment horizontal="center" vertical="center"/>
    </xf>
    <xf numFmtId="0" fontId="69" fillId="3" borderId="50" xfId="3" applyFont="1" applyFill="1" applyBorder="1" applyAlignment="1">
      <alignment horizontal="left" vertical="center"/>
    </xf>
    <xf numFmtId="168" fontId="0" fillId="0" borderId="0" xfId="0" applyNumberFormat="1" applyAlignment="1">
      <alignment horizontal="left"/>
    </xf>
    <xf numFmtId="0" fontId="63"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5"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67"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78" fillId="25" borderId="0" xfId="2" applyFont="1" applyFill="1" applyBorder="1" applyAlignment="1" applyProtection="1">
      <alignment horizontal="left" vertical="center"/>
    </xf>
    <xf numFmtId="0" fontId="78" fillId="25" borderId="0" xfId="2" applyFont="1" applyFill="1" applyAlignment="1" applyProtection="1"/>
    <xf numFmtId="167" fontId="3" fillId="24" borderId="0" xfId="0" applyNumberFormat="1" applyFont="1" applyFill="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79" fontId="3" fillId="0" borderId="0" xfId="0" applyNumberFormat="1" applyFont="1"/>
    <xf numFmtId="2" fontId="30" fillId="0" borderId="0" xfId="0" applyNumberFormat="1" applyFont="1"/>
    <xf numFmtId="0" fontId="70"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0" fillId="22" borderId="0" xfId="0" applyNumberFormat="1" applyFont="1" applyFill="1"/>
    <xf numFmtId="0" fontId="60"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0" fillId="0" borderId="0" xfId="0" applyFont="1" applyAlignment="1">
      <alignment horizontal="left"/>
    </xf>
    <xf numFmtId="0" fontId="58" fillId="0" borderId="0" xfId="0" applyFont="1" applyAlignment="1">
      <alignment horizontal="right"/>
    </xf>
    <xf numFmtId="0" fontId="58"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78" fontId="0" fillId="0" borderId="0" xfId="0" applyNumberFormat="1"/>
    <xf numFmtId="0" fontId="3" fillId="0" borderId="28" xfId="0" applyFont="1" applyBorder="1" applyAlignment="1">
      <alignment horizontal="center"/>
    </xf>
    <xf numFmtId="167" fontId="77"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58" fillId="2" borderId="6" xfId="0" applyFont="1" applyFill="1" applyBorder="1" applyAlignment="1">
      <alignment horizontal="center" vertical="center" wrapText="1"/>
    </xf>
    <xf numFmtId="168" fontId="75" fillId="0" borderId="0" xfId="0" applyNumberFormat="1" applyFont="1"/>
    <xf numFmtId="10" fontId="75" fillId="0" borderId="0" xfId="0" applyNumberFormat="1" applyFont="1" applyAlignment="1">
      <alignment horizontal="center"/>
    </xf>
    <xf numFmtId="168" fontId="2" fillId="16" borderId="0" xfId="0" applyNumberFormat="1" applyFont="1" applyFill="1"/>
    <xf numFmtId="0" fontId="3" fillId="9" borderId="45" xfId="0" applyFont="1" applyFill="1" applyBorder="1" applyAlignment="1">
      <alignment horizontal="left" vertical="center"/>
    </xf>
    <xf numFmtId="0" fontId="60" fillId="0" borderId="28" xfId="0" applyFont="1" applyBorder="1"/>
    <xf numFmtId="1" fontId="63" fillId="0" borderId="0" xfId="0" applyNumberFormat="1" applyFont="1"/>
    <xf numFmtId="167" fontId="7" fillId="0" borderId="0" xfId="0" applyNumberFormat="1" applyFont="1"/>
    <xf numFmtId="2" fontId="60" fillId="9" borderId="2" xfId="1" applyNumberFormat="1" applyFont="1" applyFill="1" applyBorder="1" applyAlignment="1" applyProtection="1">
      <alignment horizontal="right"/>
    </xf>
    <xf numFmtId="0" fontId="17" fillId="16" borderId="41" xfId="0" applyFont="1" applyFill="1" applyBorder="1"/>
    <xf numFmtId="0" fontId="17" fillId="16" borderId="45" xfId="0" applyFont="1" applyFill="1" applyBorder="1"/>
    <xf numFmtId="0" fontId="60" fillId="16" borderId="45" xfId="0" applyFont="1" applyFill="1" applyBorder="1" applyAlignment="1">
      <alignment horizontal="center"/>
    </xf>
    <xf numFmtId="168" fontId="2" fillId="9" borderId="45" xfId="0" applyNumberFormat="1" applyFont="1" applyFill="1" applyBorder="1" applyAlignment="1">
      <alignment vertical="center"/>
    </xf>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178" fontId="8" fillId="0" borderId="0" xfId="0" applyNumberFormat="1" applyFont="1"/>
    <xf numFmtId="0" fontId="2" fillId="16" borderId="45" xfId="0" applyFont="1" applyFill="1" applyBorder="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79" fontId="0" fillId="4" borderId="0" xfId="0" applyNumberFormat="1" applyFill="1"/>
    <xf numFmtId="0" fontId="2" fillId="23" borderId="0" xfId="0" applyFont="1" applyFill="1"/>
    <xf numFmtId="0" fontId="80" fillId="9" borderId="45" xfId="0" applyFont="1" applyFill="1" applyBorder="1" applyAlignment="1">
      <alignment horizontal="right" vertical="center"/>
    </xf>
    <xf numFmtId="0" fontId="84" fillId="0" borderId="0" xfId="0" applyFont="1" applyAlignment="1">
      <alignment horizontal="left"/>
    </xf>
    <xf numFmtId="1" fontId="2" fillId="9" borderId="0" xfId="0" applyNumberFormat="1" applyFont="1" applyFill="1" applyAlignment="1">
      <alignment horizontal="right"/>
    </xf>
    <xf numFmtId="0" fontId="84" fillId="0" borderId="0" xfId="0" applyFont="1" applyAlignment="1">
      <alignment horizontal="right"/>
    </xf>
    <xf numFmtId="0" fontId="61"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3"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3" fillId="9" borderId="45" xfId="0" applyNumberFormat="1" applyFont="1" applyFill="1" applyBorder="1" applyAlignment="1">
      <alignment horizontal="left" vertical="center"/>
    </xf>
    <xf numFmtId="0" fontId="3" fillId="9" borderId="80" xfId="0" applyFont="1" applyFill="1" applyBorder="1"/>
    <xf numFmtId="0" fontId="63" fillId="9" borderId="0" xfId="0" applyFont="1" applyFill="1" applyAlignment="1">
      <alignment horizontal="right"/>
    </xf>
    <xf numFmtId="0" fontId="63" fillId="9" borderId="0" xfId="0" applyFont="1" applyFill="1" applyAlignment="1">
      <alignment horizontal="left"/>
    </xf>
    <xf numFmtId="0" fontId="63"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9" borderId="45" xfId="0" applyFont="1" applyFill="1" applyBorder="1" applyAlignment="1" applyProtection="1">
      <alignment horizontal="right" vertical="center"/>
      <protection locked="0"/>
    </xf>
    <xf numFmtId="0" fontId="17" fillId="16" borderId="80" xfId="0" applyFont="1" applyFill="1" applyBorder="1"/>
    <xf numFmtId="0" fontId="3" fillId="16" borderId="0" xfId="0" applyFont="1" applyFill="1" applyAlignment="1">
      <alignment horizontal="right" vertical="center"/>
    </xf>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58" fillId="2" borderId="82" xfId="0" applyFont="1" applyFill="1" applyBorder="1" applyAlignment="1">
      <alignment horizontal="center" vertical="center" wrapText="1"/>
    </xf>
    <xf numFmtId="168"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58" fillId="0" borderId="0" xfId="0" applyNumberFormat="1" applyFont="1"/>
    <xf numFmtId="0" fontId="2" fillId="16" borderId="0" xfId="0" applyFont="1" applyFill="1" applyAlignment="1">
      <alignment horizontal="right" vertical="top" readingOrder="1"/>
    </xf>
    <xf numFmtId="0" fontId="63" fillId="16" borderId="0" xfId="0" applyFont="1" applyFill="1" applyAlignment="1">
      <alignment horizontal="right"/>
    </xf>
    <xf numFmtId="0" fontId="2" fillId="16" borderId="0" xfId="0" applyFont="1" applyFill="1" applyAlignment="1">
      <alignment vertical="center"/>
    </xf>
    <xf numFmtId="1" fontId="2" fillId="16" borderId="0" xfId="0" applyNumberFormat="1" applyFont="1" applyFill="1" applyAlignment="1">
      <alignment vertical="center"/>
    </xf>
    <xf numFmtId="168" fontId="2" fillId="16" borderId="0" xfId="0" applyNumberFormat="1" applyFont="1" applyFill="1" applyAlignment="1">
      <alignment vertical="center"/>
    </xf>
    <xf numFmtId="0" fontId="3" fillId="16" borderId="0" xfId="0" applyFont="1" applyFill="1" applyAlignment="1">
      <alignment horizontal="left" vertical="center"/>
    </xf>
    <xf numFmtId="0" fontId="2" fillId="16" borderId="0" xfId="0" applyFont="1" applyFill="1" applyAlignment="1">
      <alignment horizontal="right" vertical="center"/>
    </xf>
    <xf numFmtId="0" fontId="53" fillId="16" borderId="0" xfId="0" applyFont="1" applyFill="1"/>
    <xf numFmtId="0" fontId="2" fillId="16" borderId="0" xfId="0" applyFont="1" applyFill="1" applyAlignment="1">
      <alignment horizontal="right"/>
    </xf>
    <xf numFmtId="168" fontId="2" fillId="16" borderId="0" xfId="0" applyNumberFormat="1" applyFont="1" applyFill="1" applyAlignment="1">
      <alignment horizontal="right" vertical="center"/>
    </xf>
    <xf numFmtId="1" fontId="2" fillId="16" borderId="0" xfId="0" applyNumberFormat="1" applyFont="1" applyFill="1"/>
    <xf numFmtId="0" fontId="53" fillId="16" borderId="80" xfId="0" applyFont="1" applyFill="1" applyBorder="1"/>
    <xf numFmtId="0" fontId="54" fillId="16" borderId="80" xfId="0" applyFont="1" applyFill="1" applyBorder="1"/>
    <xf numFmtId="2" fontId="60" fillId="16" borderId="0" xfId="1" applyNumberFormat="1" applyFont="1" applyFill="1" applyBorder="1" applyAlignment="1" applyProtection="1">
      <alignment horizontal="right"/>
    </xf>
    <xf numFmtId="0" fontId="2" fillId="9" borderId="41" xfId="0" applyFont="1" applyFill="1" applyBorder="1" applyAlignment="1">
      <alignment vertical="center"/>
    </xf>
    <xf numFmtId="0" fontId="2" fillId="9" borderId="41" xfId="0" applyFont="1" applyFill="1" applyBorder="1" applyAlignment="1">
      <alignment horizontal="right" vertical="center"/>
    </xf>
    <xf numFmtId="0" fontId="61"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167" fontId="0" fillId="0" borderId="2" xfId="0" applyNumberFormat="1" applyBorder="1"/>
    <xf numFmtId="2" fontId="30" fillId="0" borderId="0" xfId="0" applyNumberFormat="1" applyFont="1" applyAlignment="1">
      <alignment horizontal="right"/>
    </xf>
    <xf numFmtId="179" fontId="2" fillId="0" borderId="0" xfId="0" applyNumberFormat="1" applyFont="1"/>
    <xf numFmtId="166" fontId="3" fillId="0" borderId="0" xfId="0" applyNumberFormat="1" applyFont="1"/>
    <xf numFmtId="2" fontId="15" fillId="0" borderId="0" xfId="0" applyNumberFormat="1" applyFont="1" applyAlignment="1">
      <alignment horizontal="right"/>
    </xf>
    <xf numFmtId="166" fontId="2" fillId="0" borderId="31" xfId="0" applyNumberFormat="1" applyFont="1" applyBorder="1"/>
    <xf numFmtId="168" fontId="2" fillId="0" borderId="0" xfId="0" applyNumberFormat="1" applyFont="1"/>
    <xf numFmtId="1" fontId="7" fillId="0" borderId="0" xfId="0" applyNumberFormat="1" applyFont="1"/>
    <xf numFmtId="0" fontId="2" fillId="0" borderId="44" xfId="0" applyFont="1" applyBorder="1"/>
    <xf numFmtId="0" fontId="2" fillId="0" borderId="45" xfId="0" applyFont="1" applyBorder="1"/>
    <xf numFmtId="2" fontId="0" fillId="0" borderId="45" xfId="0" applyNumberFormat="1" applyBorder="1"/>
    <xf numFmtId="168" fontId="2" fillId="12" borderId="45" xfId="0" applyNumberFormat="1" applyFont="1" applyFill="1" applyBorder="1"/>
    <xf numFmtId="0" fontId="2" fillId="0" borderId="0" xfId="0" quotePrefix="1" applyFont="1"/>
    <xf numFmtId="0" fontId="3" fillId="0" borderId="80" xfId="0" applyFont="1" applyBorder="1"/>
    <xf numFmtId="0" fontId="3" fillId="16" borderId="80" xfId="0" applyFont="1" applyFill="1" applyBorder="1"/>
    <xf numFmtId="1" fontId="3" fillId="16" borderId="0" xfId="0" applyNumberFormat="1" applyFont="1" applyFill="1"/>
    <xf numFmtId="1" fontId="61" fillId="16" borderId="0" xfId="0" applyNumberFormat="1" applyFont="1" applyFill="1" applyAlignment="1">
      <alignment horizontal="right" vertical="center"/>
    </xf>
    <xf numFmtId="0" fontId="61" fillId="16" borderId="0" xfId="0" applyFont="1" applyFill="1" applyAlignment="1">
      <alignment vertical="center"/>
    </xf>
    <xf numFmtId="0" fontId="2" fillId="16" borderId="0" xfId="0" applyFont="1" applyFill="1" applyAlignment="1" applyProtection="1">
      <alignment horizontal="left"/>
      <protection hidden="1"/>
    </xf>
    <xf numFmtId="0" fontId="56" fillId="9" borderId="41" xfId="0" applyFont="1" applyFill="1" applyBorder="1" applyAlignment="1" applyProtection="1">
      <alignment horizontal="left"/>
      <protection hidden="1"/>
    </xf>
    <xf numFmtId="1" fontId="2" fillId="9" borderId="41" xfId="0" applyNumberFormat="1" applyFont="1" applyFill="1" applyBorder="1" applyAlignment="1" applyProtection="1">
      <alignment horizontal="right"/>
      <protection hidden="1"/>
    </xf>
    <xf numFmtId="0" fontId="2" fillId="9" borderId="41" xfId="0" applyFont="1" applyFill="1" applyBorder="1" applyAlignment="1" applyProtection="1">
      <alignment horizontal="left"/>
      <protection hidden="1"/>
    </xf>
    <xf numFmtId="0" fontId="2" fillId="9" borderId="0" xfId="0" applyFont="1" applyFill="1" applyAlignment="1" applyProtection="1">
      <alignment horizontal="right"/>
      <protection hidden="1"/>
    </xf>
    <xf numFmtId="0" fontId="2" fillId="9" borderId="0" xfId="0" applyFont="1" applyFill="1" applyProtection="1">
      <protection hidden="1"/>
    </xf>
    <xf numFmtId="0" fontId="56" fillId="16" borderId="0" xfId="0" applyFont="1" applyFill="1" applyAlignment="1" applyProtection="1">
      <alignment horizontal="right"/>
      <protection hidden="1"/>
    </xf>
    <xf numFmtId="0" fontId="2" fillId="16" borderId="44" xfId="0" applyFont="1" applyFill="1" applyBorder="1"/>
    <xf numFmtId="0" fontId="2" fillId="16" borderId="45" xfId="0" applyFont="1" applyFill="1" applyBorder="1"/>
    <xf numFmtId="0" fontId="80" fillId="16" borderId="45" xfId="0" applyFont="1" applyFill="1" applyBorder="1" applyAlignment="1">
      <alignment horizontal="right"/>
    </xf>
    <xf numFmtId="0" fontId="80" fillId="16" borderId="46" xfId="0" applyFont="1" applyFill="1" applyBorder="1" applyAlignment="1">
      <alignment horizontal="right"/>
    </xf>
    <xf numFmtId="2" fontId="3" fillId="0" borderId="0" xfId="0" applyNumberFormat="1" applyFont="1"/>
    <xf numFmtId="0" fontId="2" fillId="9" borderId="30" xfId="0" applyFont="1" applyFill="1" applyBorder="1" applyAlignment="1">
      <alignment horizontal="right"/>
    </xf>
    <xf numFmtId="0" fontId="2" fillId="0" borderId="0" xfId="0" applyFont="1" applyAlignment="1">
      <alignment horizontal="center"/>
    </xf>
    <xf numFmtId="2" fontId="85" fillId="0" borderId="0" xfId="0" applyNumberFormat="1" applyFont="1"/>
    <xf numFmtId="1" fontId="86" fillId="0" borderId="0" xfId="0" applyNumberFormat="1" applyFont="1"/>
    <xf numFmtId="0" fontId="86" fillId="0" borderId="0" xfId="0" applyFont="1"/>
    <xf numFmtId="11" fontId="2" fillId="0" borderId="63" xfId="3" applyNumberFormat="1" applyBorder="1" applyAlignment="1">
      <alignment horizontal="center"/>
    </xf>
    <xf numFmtId="0" fontId="60" fillId="9" borderId="2" xfId="0" applyFont="1" applyFill="1" applyBorder="1" applyAlignment="1">
      <alignment horizontal="right"/>
    </xf>
    <xf numFmtId="0" fontId="2" fillId="16" borderId="75" xfId="0" applyFont="1" applyFill="1" applyBorder="1"/>
    <xf numFmtId="0" fontId="2" fillId="16" borderId="45" xfId="0" applyFont="1" applyFill="1" applyBorder="1" applyAlignment="1">
      <alignment horizontal="right"/>
    </xf>
    <xf numFmtId="0" fontId="2" fillId="16" borderId="46" xfId="0" applyFont="1" applyFill="1" applyBorder="1"/>
    <xf numFmtId="0" fontId="2" fillId="0" borderId="41" xfId="3" quotePrefix="1" applyBorder="1" applyAlignment="1">
      <alignment horizontal="right"/>
    </xf>
    <xf numFmtId="0" fontId="2" fillId="16" borderId="72" xfId="0" applyFont="1" applyFill="1" applyBorder="1"/>
    <xf numFmtId="11" fontId="87" fillId="0" borderId="0" xfId="0" applyNumberFormat="1" applyFont="1"/>
    <xf numFmtId="0" fontId="88" fillId="16" borderId="29" xfId="0" applyFont="1" applyFill="1" applyBorder="1"/>
    <xf numFmtId="0" fontId="58" fillId="16" borderId="80" xfId="0" applyFont="1" applyFill="1" applyBorder="1" applyAlignment="1">
      <alignment horizontal="right"/>
    </xf>
    <xf numFmtId="0" fontId="59" fillId="0" borderId="0" xfId="0" applyFont="1"/>
    <xf numFmtId="11" fontId="59" fillId="0" borderId="0" xfId="0" applyNumberFormat="1" applyFont="1"/>
    <xf numFmtId="1" fontId="59" fillId="0" borderId="0" xfId="0" applyNumberFormat="1" applyFont="1"/>
    <xf numFmtId="0" fontId="59" fillId="0" borderId="0" xfId="0" applyFont="1" applyAlignment="1">
      <alignment horizontal="center"/>
    </xf>
    <xf numFmtId="11" fontId="25" fillId="0" borderId="0" xfId="0" quotePrefix="1" applyNumberFormat="1" applyFont="1"/>
    <xf numFmtId="0" fontId="89" fillId="0" borderId="0" xfId="0" applyFont="1"/>
    <xf numFmtId="11" fontId="89" fillId="0" borderId="0" xfId="0" quotePrefix="1" applyNumberFormat="1" applyFont="1"/>
    <xf numFmtId="0" fontId="0" fillId="0" borderId="80" xfId="0" applyBorder="1"/>
    <xf numFmtId="0" fontId="90" fillId="27" borderId="0" xfId="6" applyNumberFormat="1"/>
    <xf numFmtId="11" fontId="90" fillId="27" borderId="0" xfId="6" applyNumberFormat="1"/>
    <xf numFmtId="181" fontId="90" fillId="27" borderId="0" xfId="6" applyNumberFormat="1"/>
    <xf numFmtId="0" fontId="7" fillId="0" borderId="80" xfId="0" applyFont="1" applyBorder="1"/>
    <xf numFmtId="0" fontId="2" fillId="19" borderId="0" xfId="0" applyFont="1" applyFill="1"/>
    <xf numFmtId="0" fontId="0" fillId="19" borderId="0" xfId="0" applyFill="1"/>
    <xf numFmtId="0" fontId="68" fillId="19" borderId="0" xfId="0" applyFont="1" applyFill="1"/>
    <xf numFmtId="11" fontId="0" fillId="19" borderId="0" xfId="0" applyNumberFormat="1" applyFill="1"/>
    <xf numFmtId="168" fontId="0" fillId="16" borderId="0" xfId="0" applyNumberFormat="1" applyFill="1"/>
    <xf numFmtId="1" fontId="2" fillId="0" borderId="8" xfId="3" applyNumberFormat="1" applyBorder="1"/>
    <xf numFmtId="11" fontId="2" fillId="0" borderId="8" xfId="3" applyNumberFormat="1" applyBorder="1"/>
    <xf numFmtId="167" fontId="2" fillId="8" borderId="8" xfId="3" applyNumberFormat="1" applyFill="1" applyBorder="1"/>
    <xf numFmtId="166" fontId="2" fillId="0" borderId="4" xfId="3" applyNumberFormat="1" applyBorder="1" applyAlignment="1">
      <alignment horizontal="center"/>
    </xf>
    <xf numFmtId="166" fontId="2" fillId="0" borderId="61" xfId="3" applyNumberFormat="1" applyBorder="1" applyAlignment="1">
      <alignment horizontal="center"/>
    </xf>
    <xf numFmtId="0" fontId="0" fillId="28" borderId="0" xfId="0" applyFill="1"/>
    <xf numFmtId="0" fontId="0" fillId="28" borderId="45" xfId="0" applyFill="1" applyBorder="1"/>
    <xf numFmtId="11" fontId="0" fillId="28" borderId="0" xfId="0" applyNumberFormat="1" applyFill="1"/>
    <xf numFmtId="11" fontId="2" fillId="8" borderId="8" xfId="3" applyNumberFormat="1" applyFill="1" applyBorder="1"/>
    <xf numFmtId="166" fontId="2" fillId="0" borderId="0" xfId="3" applyNumberFormat="1"/>
    <xf numFmtId="166" fontId="2" fillId="0" borderId="62" xfId="3" applyNumberFormat="1" applyBorder="1" applyAlignment="1">
      <alignment horizontal="center"/>
    </xf>
    <xf numFmtId="166" fontId="2" fillId="0" borderId="15" xfId="3" applyNumberFormat="1" applyBorder="1" applyAlignment="1">
      <alignment horizontal="center"/>
    </xf>
    <xf numFmtId="166" fontId="2" fillId="0" borderId="65" xfId="3" applyNumberFormat="1" applyBorder="1" applyAlignment="1">
      <alignment horizontal="center"/>
    </xf>
    <xf numFmtId="0" fontId="2" fillId="9" borderId="71" xfId="0" applyFont="1" applyFill="1" applyBorder="1"/>
    <xf numFmtId="0" fontId="2" fillId="9" borderId="4" xfId="0" applyFont="1" applyFill="1" applyBorder="1"/>
    <xf numFmtId="0" fontId="2" fillId="9" borderId="4" xfId="0" applyFont="1" applyFill="1" applyBorder="1" applyAlignment="1">
      <alignment horizontal="right" vertical="center"/>
    </xf>
    <xf numFmtId="0" fontId="60" fillId="0" borderId="80" xfId="0" applyFont="1" applyBorder="1"/>
    <xf numFmtId="11" fontId="0" fillId="0" borderId="0" xfId="0" applyNumberFormat="1" applyAlignment="1">
      <alignment horizontal="right"/>
    </xf>
    <xf numFmtId="2" fontId="0" fillId="4" borderId="0" xfId="5" applyNumberFormat="1" applyFont="1" applyFill="1" applyBorder="1"/>
    <xf numFmtId="0" fontId="54" fillId="16" borderId="0" xfId="0" applyFont="1" applyFill="1"/>
    <xf numFmtId="0" fontId="2" fillId="9" borderId="83" xfId="0" applyFont="1" applyFill="1" applyBorder="1"/>
    <xf numFmtId="0" fontId="17" fillId="3" borderId="0" xfId="3" applyFont="1" applyFill="1"/>
    <xf numFmtId="171" fontId="17" fillId="3" borderId="0" xfId="3" applyNumberFormat="1" applyFont="1" applyFill="1" applyAlignment="1">
      <alignment horizontal="center"/>
    </xf>
    <xf numFmtId="171" fontId="17" fillId="25" borderId="0" xfId="3" applyNumberFormat="1" applyFont="1" applyFill="1" applyAlignment="1">
      <alignment horizontal="center"/>
    </xf>
    <xf numFmtId="171" fontId="25" fillId="25" borderId="0" xfId="3" applyNumberFormat="1" applyFont="1" applyFill="1" applyAlignment="1">
      <alignment horizontal="center"/>
    </xf>
    <xf numFmtId="171" fontId="65" fillId="25" borderId="0" xfId="3" applyNumberFormat="1" applyFont="1" applyFill="1" applyAlignment="1">
      <alignment horizontal="center"/>
    </xf>
    <xf numFmtId="0" fontId="17" fillId="25" borderId="0" xfId="3" applyFont="1" applyFill="1"/>
    <xf numFmtId="0" fontId="2" fillId="16" borderId="41" xfId="3" applyFill="1" applyBorder="1"/>
    <xf numFmtId="0" fontId="3" fillId="9" borderId="46" xfId="3" applyFont="1" applyFill="1" applyBorder="1" applyAlignment="1">
      <alignment vertical="center"/>
    </xf>
    <xf numFmtId="0" fontId="3" fillId="16" borderId="45" xfId="3" applyFont="1" applyFill="1" applyBorder="1" applyAlignment="1">
      <alignment horizontal="right"/>
    </xf>
    <xf numFmtId="0" fontId="3" fillId="16" borderId="44" xfId="3" applyFont="1" applyFill="1" applyBorder="1"/>
    <xf numFmtId="0" fontId="2" fillId="16" borderId="29" xfId="3" applyFill="1" applyBorder="1"/>
    <xf numFmtId="0" fontId="3" fillId="9" borderId="45" xfId="3" applyFont="1" applyFill="1" applyBorder="1" applyAlignment="1">
      <alignment horizontal="right"/>
    </xf>
    <xf numFmtId="0" fontId="3" fillId="9" borderId="76" xfId="3" applyFont="1" applyFill="1" applyBorder="1"/>
    <xf numFmtId="0" fontId="3" fillId="16" borderId="41" xfId="3" applyFont="1" applyFill="1" applyBorder="1" applyAlignment="1">
      <alignment horizontal="right"/>
    </xf>
    <xf numFmtId="0" fontId="2" fillId="16" borderId="75" xfId="3" applyFill="1" applyBorder="1"/>
    <xf numFmtId="0" fontId="3" fillId="9" borderId="29" xfId="3" applyFont="1" applyFill="1" applyBorder="1"/>
    <xf numFmtId="0" fontId="3" fillId="9" borderId="0" xfId="3" applyFont="1" applyFill="1" applyAlignment="1">
      <alignment horizontal="right"/>
    </xf>
    <xf numFmtId="0" fontId="3" fillId="16" borderId="75" xfId="3" applyFont="1" applyFill="1" applyBorder="1"/>
    <xf numFmtId="0" fontId="91" fillId="9" borderId="0" xfId="3" applyFont="1" applyFill="1"/>
    <xf numFmtId="0" fontId="91" fillId="16" borderId="0" xfId="3" applyFont="1" applyFill="1"/>
    <xf numFmtId="0" fontId="2" fillId="16" borderId="45" xfId="3" applyFill="1" applyBorder="1"/>
    <xf numFmtId="0" fontId="2" fillId="9" borderId="46" xfId="3" applyFill="1" applyBorder="1" applyAlignment="1">
      <alignment vertical="center"/>
    </xf>
    <xf numFmtId="0" fontId="3" fillId="19" borderId="45" xfId="3" applyFont="1" applyFill="1" applyBorder="1" applyProtection="1">
      <protection locked="0"/>
    </xf>
    <xf numFmtId="0" fontId="2" fillId="16" borderId="45" xfId="3" applyFill="1" applyBorder="1" applyAlignment="1">
      <alignment horizontal="right"/>
    </xf>
    <xf numFmtId="2" fontId="2" fillId="9" borderId="45" xfId="3" applyNumberFormat="1" applyFill="1" applyBorder="1"/>
    <xf numFmtId="0" fontId="2" fillId="9" borderId="45" xfId="3" applyFill="1" applyBorder="1" applyAlignment="1">
      <alignment horizontal="right"/>
    </xf>
    <xf numFmtId="0" fontId="2" fillId="16" borderId="44" xfId="3" applyFill="1" applyBorder="1"/>
    <xf numFmtId="0" fontId="2" fillId="16" borderId="46" xfId="3" applyFill="1" applyBorder="1"/>
    <xf numFmtId="0" fontId="2" fillId="9" borderId="29" xfId="3" applyFill="1" applyBorder="1"/>
    <xf numFmtId="0" fontId="3" fillId="19" borderId="0" xfId="3" applyFont="1" applyFill="1" applyProtection="1">
      <protection locked="0"/>
    </xf>
    <xf numFmtId="0" fontId="2" fillId="16" borderId="0" xfId="3" applyFill="1" applyAlignment="1">
      <alignment horizontal="right"/>
    </xf>
    <xf numFmtId="0" fontId="2" fillId="9" borderId="0" xfId="3" applyFill="1" applyAlignment="1">
      <alignment horizontal="right"/>
    </xf>
    <xf numFmtId="0" fontId="2" fillId="16" borderId="80" xfId="3" applyFill="1" applyBorder="1"/>
    <xf numFmtId="0" fontId="2" fillId="9" borderId="76" xfId="3" applyFill="1" applyBorder="1"/>
    <xf numFmtId="0" fontId="3" fillId="19" borderId="41" xfId="3" applyFont="1" applyFill="1" applyBorder="1" applyProtection="1">
      <protection locked="0"/>
    </xf>
    <xf numFmtId="0" fontId="60" fillId="9" borderId="41" xfId="3" applyFont="1" applyFill="1" applyBorder="1" applyAlignment="1">
      <alignment horizontal="right"/>
    </xf>
    <xf numFmtId="0" fontId="2" fillId="16" borderId="76" xfId="3" applyFill="1" applyBorder="1"/>
    <xf numFmtId="0" fontId="92" fillId="16" borderId="41" xfId="3" applyFont="1" applyFill="1" applyBorder="1"/>
    <xf numFmtId="0" fontId="91" fillId="9" borderId="41" xfId="3" applyFont="1" applyFill="1" applyBorder="1"/>
    <xf numFmtId="0" fontId="91" fillId="9" borderId="41" xfId="3" applyFont="1" applyFill="1" applyBorder="1" applyAlignment="1">
      <alignment horizontal="right"/>
    </xf>
    <xf numFmtId="0" fontId="91" fillId="16" borderId="75" xfId="3" applyFont="1" applyFill="1" applyBorder="1"/>
    <xf numFmtId="0" fontId="27" fillId="25" borderId="45" xfId="3" applyFont="1" applyFill="1" applyBorder="1"/>
    <xf numFmtId="0" fontId="20" fillId="25" borderId="45" xfId="3" applyFont="1" applyFill="1" applyBorder="1"/>
    <xf numFmtId="0" fontId="31" fillId="25" borderId="45" xfId="3" applyFont="1" applyFill="1" applyBorder="1"/>
    <xf numFmtId="0" fontId="31" fillId="25" borderId="44" xfId="3" applyFont="1" applyFill="1" applyBorder="1"/>
    <xf numFmtId="0" fontId="29" fillId="25" borderId="0" xfId="3" applyFont="1" applyFill="1"/>
    <xf numFmtId="0" fontId="29" fillId="25" borderId="0" xfId="3" applyFont="1" applyFill="1" applyAlignment="1">
      <alignment vertical="center"/>
    </xf>
    <xf numFmtId="0" fontId="20" fillId="25" borderId="0" xfId="3" applyFont="1" applyFill="1" applyAlignment="1">
      <alignment vertical="center"/>
    </xf>
    <xf numFmtId="0" fontId="26" fillId="25" borderId="0" xfId="3" applyFont="1" applyFill="1" applyAlignment="1">
      <alignment horizontal="left"/>
    </xf>
    <xf numFmtId="0" fontId="24" fillId="25" borderId="0" xfId="3" quotePrefix="1" applyFont="1" applyFill="1" applyAlignment="1">
      <alignment vertical="center"/>
    </xf>
    <xf numFmtId="0" fontId="20" fillId="19" borderId="0" xfId="3" applyFont="1" applyFill="1" applyAlignment="1">
      <alignment vertical="center"/>
    </xf>
    <xf numFmtId="0" fontId="67" fillId="25" borderId="0" xfId="3" applyFont="1" applyFill="1" applyAlignment="1">
      <alignment horizontal="left" vertical="center"/>
    </xf>
    <xf numFmtId="0" fontId="24" fillId="25" borderId="0" xfId="3" applyFont="1" applyFill="1" applyAlignment="1">
      <alignment horizontal="left" vertical="center"/>
    </xf>
    <xf numFmtId="0" fontId="24" fillId="25" borderId="80" xfId="3" applyFont="1" applyFill="1" applyBorder="1" applyAlignment="1">
      <alignment horizontal="left" vertical="center"/>
    </xf>
    <xf numFmtId="0" fontId="26" fillId="25" borderId="80" xfId="3" applyFont="1" applyFill="1" applyBorder="1" applyAlignment="1">
      <alignment horizontal="left"/>
    </xf>
    <xf numFmtId="168" fontId="3" fillId="9" borderId="0" xfId="3" applyNumberFormat="1" applyFont="1" applyFill="1"/>
    <xf numFmtId="0" fontId="2" fillId="16" borderId="74" xfId="3" applyFill="1" applyBorder="1"/>
    <xf numFmtId="0" fontId="2" fillId="16" borderId="72" xfId="3" applyFill="1" applyBorder="1"/>
    <xf numFmtId="0" fontId="2" fillId="0" borderId="41" xfId="3" applyBorder="1"/>
    <xf numFmtId="0" fontId="2" fillId="16" borderId="0" xfId="3" quotePrefix="1" applyFill="1" applyAlignment="1">
      <alignment horizontal="right"/>
    </xf>
    <xf numFmtId="2" fontId="2" fillId="16" borderId="0" xfId="3" quotePrefix="1" applyNumberFormat="1" applyFill="1" applyAlignment="1">
      <alignment horizontal="right"/>
    </xf>
    <xf numFmtId="0" fontId="2" fillId="0" borderId="74" xfId="3" applyBorder="1"/>
    <xf numFmtId="2" fontId="2" fillId="9" borderId="45" xfId="3" applyNumberFormat="1" applyFill="1" applyBorder="1" applyAlignment="1">
      <alignment horizontal="right"/>
    </xf>
    <xf numFmtId="0" fontId="0" fillId="19" borderId="0" xfId="0" applyFill="1" applyProtection="1">
      <protection locked="0"/>
    </xf>
    <xf numFmtId="0" fontId="2" fillId="19" borderId="45" xfId="3" applyFill="1" applyBorder="1" applyAlignment="1" applyProtection="1">
      <alignment horizontal="right"/>
      <protection locked="0"/>
    </xf>
    <xf numFmtId="1" fontId="0" fillId="0" borderId="0" xfId="0" applyNumberFormat="1" applyAlignment="1">
      <alignment horizontal="left"/>
    </xf>
    <xf numFmtId="0" fontId="3" fillId="9" borderId="45" xfId="0" applyFont="1" applyFill="1" applyBorder="1" applyAlignment="1">
      <alignment horizontal="right" vertical="center"/>
    </xf>
    <xf numFmtId="168" fontId="3" fillId="9" borderId="45" xfId="3" applyNumberFormat="1" applyFont="1" applyFill="1" applyBorder="1"/>
    <xf numFmtId="168" fontId="3" fillId="16" borderId="41" xfId="3" applyNumberFormat="1" applyFont="1" applyFill="1" applyBorder="1"/>
    <xf numFmtId="168" fontId="3" fillId="16" borderId="45" xfId="3" applyNumberFormat="1" applyFont="1" applyFill="1" applyBorder="1"/>
    <xf numFmtId="168" fontId="91" fillId="9" borderId="0" xfId="3" applyNumberFormat="1" applyFont="1" applyFill="1"/>
    <xf numFmtId="168" fontId="2" fillId="9" borderId="4" xfId="0" applyNumberFormat="1" applyFont="1" applyFill="1" applyBorder="1" applyAlignment="1">
      <alignment vertical="center"/>
    </xf>
    <xf numFmtId="0" fontId="93" fillId="16" borderId="0" xfId="3" applyFont="1" applyFill="1" applyAlignment="1">
      <alignment horizontal="right"/>
    </xf>
    <xf numFmtId="168" fontId="74" fillId="16" borderId="0" xfId="3" applyNumberFormat="1" applyFont="1" applyFill="1"/>
    <xf numFmtId="0" fontId="74" fillId="16" borderId="0" xfId="3" applyFont="1" applyFill="1"/>
    <xf numFmtId="0" fontId="3" fillId="19" borderId="0" xfId="0" applyFont="1" applyFill="1"/>
    <xf numFmtId="0" fontId="58" fillId="0" borderId="0" xfId="0" quotePrefix="1" applyFont="1" applyProtection="1">
      <protection locked="0"/>
    </xf>
    <xf numFmtId="168" fontId="2" fillId="9" borderId="75" xfId="0" applyNumberFormat="1" applyFont="1" applyFill="1" applyBorder="1" applyAlignment="1">
      <alignment horizontal="right"/>
    </xf>
    <xf numFmtId="0" fontId="3" fillId="9" borderId="46" xfId="0" applyFont="1" applyFill="1" applyBorder="1" applyAlignment="1">
      <alignment vertical="center"/>
    </xf>
    <xf numFmtId="0" fontId="3" fillId="16" borderId="0" xfId="0" applyFont="1" applyFill="1" applyProtection="1">
      <protection locked="0"/>
    </xf>
    <xf numFmtId="168" fontId="3" fillId="19" borderId="45" xfId="0" applyNumberFormat="1" applyFont="1" applyFill="1" applyBorder="1" applyAlignment="1" applyProtection="1">
      <alignment vertical="center"/>
      <protection locked="0"/>
    </xf>
    <xf numFmtId="0" fontId="2" fillId="9" borderId="32" xfId="0" applyFont="1" applyFill="1" applyBorder="1" applyAlignment="1">
      <alignment vertical="top"/>
    </xf>
    <xf numFmtId="167" fontId="2" fillId="9" borderId="45" xfId="0" applyNumberFormat="1" applyFont="1" applyFill="1" applyBorder="1" applyAlignment="1">
      <alignment horizontal="right" vertical="center"/>
    </xf>
    <xf numFmtId="2" fontId="2" fillId="9" borderId="0" xfId="0" applyNumberFormat="1" applyFont="1" applyFill="1" applyAlignment="1">
      <alignment vertical="center"/>
    </xf>
    <xf numFmtId="0" fontId="63" fillId="9" borderId="0" xfId="0" applyFont="1" applyFill="1" applyAlignment="1">
      <alignment horizontal="left" vertical="center"/>
    </xf>
    <xf numFmtId="0" fontId="24" fillId="25" borderId="0" xfId="0" applyFont="1" applyFill="1" applyAlignment="1">
      <alignment horizontal="center" vertical="center"/>
    </xf>
    <xf numFmtId="0" fontId="49" fillId="17" borderId="43" xfId="0" applyFont="1" applyFill="1" applyBorder="1" applyAlignment="1">
      <alignment horizontal="left" vertical="center"/>
    </xf>
    <xf numFmtId="0" fontId="49"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49" fillId="17" borderId="75" xfId="3" applyFont="1" applyFill="1" applyBorder="1" applyAlignment="1">
      <alignment horizontal="left" vertical="top"/>
    </xf>
    <xf numFmtId="0" fontId="49" fillId="17" borderId="41" xfId="3" applyFont="1" applyFill="1" applyBorder="1" applyAlignment="1">
      <alignment horizontal="left" vertical="top"/>
    </xf>
    <xf numFmtId="0" fontId="24" fillId="25" borderId="0" xfId="3" applyFont="1" applyFill="1" applyAlignment="1">
      <alignment horizontal="center" vertical="center"/>
    </xf>
    <xf numFmtId="0" fontId="49" fillId="17" borderId="43" xfId="0" applyFont="1" applyFill="1" applyBorder="1" applyAlignment="1">
      <alignment horizontal="left" vertical="top"/>
    </xf>
    <xf numFmtId="0" fontId="49" fillId="17" borderId="41" xfId="0" applyFont="1" applyFill="1" applyBorder="1" applyAlignment="1">
      <alignment horizontal="left" vertical="top"/>
    </xf>
    <xf numFmtId="189" fontId="2" fillId="16" borderId="8" xfId="3" applyNumberFormat="1" applyFill="1" applyBorder="1" applyAlignment="1">
      <alignment horizontal="left" vertical="center"/>
    </xf>
    <xf numFmtId="189" fontId="2" fillId="16" borderId="9" xfId="3" applyNumberFormat="1" applyFill="1" applyBorder="1" applyAlignment="1">
      <alignment horizontal="left" vertical="center"/>
    </xf>
    <xf numFmtId="189"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58" fillId="9" borderId="14" xfId="3" applyFont="1" applyFill="1" applyBorder="1" applyAlignment="1">
      <alignment horizontal="left" vertical="center"/>
    </xf>
    <xf numFmtId="0" fontId="58" fillId="9" borderId="12" xfId="3" applyFont="1" applyFill="1" applyBorder="1" applyAlignment="1">
      <alignment horizontal="left" vertical="center"/>
    </xf>
    <xf numFmtId="0" fontId="2" fillId="9" borderId="78" xfId="3" applyFill="1" applyBorder="1" applyAlignment="1">
      <alignment horizontal="left" vertical="center"/>
    </xf>
    <xf numFmtId="0" fontId="2" fillId="9" borderId="10" xfId="3" applyFill="1" applyBorder="1" applyAlignment="1">
      <alignment horizontal="left" vertical="center"/>
    </xf>
    <xf numFmtId="0" fontId="2" fillId="9" borderId="16" xfId="3" applyFill="1" applyBorder="1" applyAlignment="1">
      <alignment horizontal="left" vertical="center"/>
    </xf>
    <xf numFmtId="0" fontId="2" fillId="9" borderId="69" xfId="3" applyFill="1" applyBorder="1" applyAlignment="1">
      <alignment horizontal="left" vertical="center"/>
    </xf>
    <xf numFmtId="0" fontId="2" fillId="9" borderId="4" xfId="3" applyFill="1" applyBorder="1" applyAlignment="1">
      <alignment horizontal="left" vertical="center"/>
    </xf>
    <xf numFmtId="0" fontId="2" fillId="9" borderId="17" xfId="3" applyFill="1" applyBorder="1" applyAlignment="1">
      <alignment horizontal="left" vertical="center"/>
    </xf>
    <xf numFmtId="0" fontId="58" fillId="9" borderId="14" xfId="3" applyFont="1" applyFill="1" applyBorder="1" applyAlignment="1">
      <alignment horizontal="center" vertical="center"/>
    </xf>
    <xf numFmtId="0" fontId="58"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69" fillId="3" borderId="51" xfId="3" applyFont="1" applyFill="1" applyBorder="1" applyAlignment="1">
      <alignment horizontal="left" vertical="center"/>
    </xf>
    <xf numFmtId="0" fontId="69" fillId="3" borderId="52" xfId="3" applyFont="1" applyFill="1" applyBorder="1" applyAlignment="1">
      <alignment horizontal="left" vertical="center"/>
    </xf>
    <xf numFmtId="0" fontId="69" fillId="3" borderId="53" xfId="3" applyFon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21" borderId="8" xfId="3" applyNumberFormat="1" applyFill="1" applyBorder="1" applyAlignment="1">
      <alignment horizontal="left" vertical="center"/>
    </xf>
    <xf numFmtId="190" fontId="2" fillId="21" borderId="9" xfId="3" applyNumberFormat="1" applyFill="1" applyBorder="1" applyAlignment="1">
      <alignment horizontal="left" vertical="center"/>
    </xf>
    <xf numFmtId="190"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7" fontId="2" fillId="20" borderId="15" xfId="3" applyNumberFormat="1" applyFill="1" applyBorder="1" applyAlignment="1">
      <alignment horizontal="left" vertical="center"/>
    </xf>
    <xf numFmtId="183" fontId="2" fillId="9" borderId="8" xfId="3" applyNumberFormat="1" applyFill="1" applyBorder="1" applyAlignment="1">
      <alignment horizontal="left" vertical="center"/>
    </xf>
    <xf numFmtId="183" fontId="2" fillId="9" borderId="9" xfId="3" applyNumberFormat="1" applyFill="1" applyBorder="1" applyAlignment="1">
      <alignment horizontal="left" vertical="center"/>
    </xf>
    <xf numFmtId="184" fontId="2" fillId="20" borderId="8" xfId="3" applyNumberFormat="1" applyFill="1" applyBorder="1" applyAlignment="1">
      <alignment horizontal="left" vertical="center"/>
    </xf>
    <xf numFmtId="184" fontId="2" fillId="20"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5" fontId="2" fillId="20" borderId="8" xfId="3" applyNumberFormat="1" applyFill="1" applyBorder="1" applyAlignment="1">
      <alignment horizontal="left" vertical="center"/>
    </xf>
    <xf numFmtId="185" fontId="2" fillId="20" borderId="9" xfId="3" applyNumberFormat="1" applyFill="1" applyBorder="1" applyAlignment="1">
      <alignment horizontal="left" vertical="center"/>
    </xf>
    <xf numFmtId="186" fontId="2" fillId="20" borderId="8" xfId="3" applyNumberFormat="1" applyFill="1" applyBorder="1" applyAlignment="1">
      <alignment horizontal="left" vertical="center"/>
    </xf>
    <xf numFmtId="186" fontId="2" fillId="20" borderId="9" xfId="3" applyNumberFormat="1" applyFill="1" applyBorder="1" applyAlignment="1">
      <alignment horizontal="left" vertical="center"/>
    </xf>
    <xf numFmtId="0" fontId="47" fillId="16" borderId="28" xfId="0" applyFont="1" applyFill="1" applyBorder="1" applyAlignment="1">
      <alignment horizontal="left" vertical="center"/>
    </xf>
    <xf numFmtId="0" fontId="47"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4" fillId="4" borderId="74" xfId="3" applyFont="1" applyFill="1" applyBorder="1" applyAlignment="1">
      <alignment horizontal="center" vertical="center"/>
    </xf>
    <xf numFmtId="0" fontId="74"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4"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4" fillId="4" borderId="60" xfId="3" applyFont="1" applyFill="1" applyBorder="1" applyAlignment="1">
      <alignment horizontal="center"/>
    </xf>
    <xf numFmtId="0" fontId="74" fillId="4" borderId="62" xfId="3" applyFont="1" applyFill="1" applyBorder="1" applyAlignment="1">
      <alignment horizontal="center"/>
    </xf>
    <xf numFmtId="0" fontId="3" fillId="0" borderId="57" xfId="3" applyFont="1" applyBorder="1" applyAlignment="1">
      <alignment horizontal="center"/>
    </xf>
    <xf numFmtId="0" fontId="74" fillId="4" borderId="55" xfId="3" applyFont="1" applyFill="1" applyBorder="1" applyAlignment="1">
      <alignment horizontal="center"/>
    </xf>
    <xf numFmtId="0" fontId="74" fillId="4" borderId="56" xfId="3" applyFont="1" applyFill="1" applyBorder="1" applyAlignment="1">
      <alignment horizontal="center"/>
    </xf>
    <xf numFmtId="0" fontId="74"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0" borderId="51" xfId="3" applyFont="1" applyBorder="1" applyAlignment="1">
      <alignment horizontal="center"/>
    </xf>
    <xf numFmtId="0" fontId="3" fillId="24" borderId="0" xfId="0" applyFont="1" applyFill="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59" fillId="0" borderId="0" xfId="0" applyFont="1" applyAlignment="1">
      <alignment horizontal="center"/>
    </xf>
    <xf numFmtId="2" fontId="3" fillId="0" borderId="0" xfId="0" applyNumberFormat="1" applyFont="1" applyAlignment="1">
      <alignment horizontal="center"/>
    </xf>
    <xf numFmtId="2" fontId="2" fillId="0" borderId="0" xfId="0" applyNumberFormat="1" applyFont="1" applyAlignment="1">
      <alignment horizontal="center"/>
    </xf>
  </cellXfs>
  <cellStyles count="7">
    <cellStyle name="Bad" xfId="6" builtinId="27"/>
    <cellStyle name="Comma" xfId="1" builtinId="3"/>
    <cellStyle name="Comma 2" xfId="5" xr:uid="{00000000-0005-0000-0000-000002000000}"/>
    <cellStyle name="Hyperlink" xfId="2" builtinId="8"/>
    <cellStyle name="Normal" xfId="0" builtinId="0"/>
    <cellStyle name="Normal 2" xfId="3" xr:uid="{00000000-0005-0000-0000-000005000000}"/>
    <cellStyle name="Normal 3" xfId="4" xr:uid="{00000000-0005-0000-0000-000006000000}"/>
  </cellStyles>
  <dxfs count="35">
    <dxf>
      <font>
        <color theme="0"/>
      </font>
      <fill>
        <patternFill patternType="none">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i val="0"/>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E8FCFE"/>
      <color rgb="FFC00000"/>
      <color rgb="FF99CC00"/>
      <color rgb="FFFF9900"/>
      <color rgb="FF0000FF"/>
      <color rgb="FFCC00FF"/>
      <color rgb="FFC0C0C0"/>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103.76250593059312</c:v>
                </c:pt>
                <c:pt idx="1">
                  <c:v>103.23535706288351</c:v>
                </c:pt>
                <c:pt idx="2">
                  <c:v>102.67618092377404</c:v>
                </c:pt>
                <c:pt idx="3">
                  <c:v>102.0872226364047</c:v>
                </c:pt>
                <c:pt idx="4">
                  <c:v>101.47135536702841</c:v>
                </c:pt>
                <c:pt idx="5">
                  <c:v>100.83010923526786</c:v>
                </c:pt>
                <c:pt idx="6">
                  <c:v>100.16695189492432</c:v>
                </c:pt>
                <c:pt idx="7">
                  <c:v>99.483962775938522</c:v>
                </c:pt>
                <c:pt idx="8">
                  <c:v>98.784026515101303</c:v>
                </c:pt>
                <c:pt idx="9">
                  <c:v>98.068828847444308</c:v>
                </c:pt>
                <c:pt idx="10">
                  <c:v>97.340796871649275</c:v>
                </c:pt>
                <c:pt idx="11">
                  <c:v>96.601646186074518</c:v>
                </c:pt>
                <c:pt idx="12">
                  <c:v>95.852589563444454</c:v>
                </c:pt>
                <c:pt idx="13">
                  <c:v>95.095760210768418</c:v>
                </c:pt>
                <c:pt idx="14">
                  <c:v>94.331786413678955</c:v>
                </c:pt>
                <c:pt idx="15">
                  <c:v>93.562022060260617</c:v>
                </c:pt>
                <c:pt idx="16">
                  <c:v>92.787317594529966</c:v>
                </c:pt>
                <c:pt idx="17">
                  <c:v>92.008562329541519</c:v>
                </c:pt>
                <c:pt idx="18">
                  <c:v>91.226191288913085</c:v>
                </c:pt>
                <c:pt idx="19">
                  <c:v>90.440973963695626</c:v>
                </c:pt>
                <c:pt idx="20">
                  <c:v>89.653225662563727</c:v>
                </c:pt>
                <c:pt idx="21">
                  <c:v>88.863503598963959</c:v>
                </c:pt>
                <c:pt idx="22">
                  <c:v>88.071971469922772</c:v>
                </c:pt>
                <c:pt idx="23">
                  <c:v>87.279103076374128</c:v>
                </c:pt>
                <c:pt idx="24">
                  <c:v>86.48492847539417</c:v>
                </c:pt>
                <c:pt idx="25">
                  <c:v>85.68976326598937</c:v>
                </c:pt>
                <c:pt idx="26">
                  <c:v>84.893581892674419</c:v>
                </c:pt>
                <c:pt idx="27">
                  <c:v>84.096769841522303</c:v>
                </c:pt>
                <c:pt idx="28">
                  <c:v>83.299404905577944</c:v>
                </c:pt>
                <c:pt idx="29">
                  <c:v>82.502071610107507</c:v>
                </c:pt>
                <c:pt idx="30">
                  <c:v>81.703493112073389</c:v>
                </c:pt>
                <c:pt idx="31">
                  <c:v>80.904841974602249</c:v>
                </c:pt>
                <c:pt idx="32">
                  <c:v>80.105620925237204</c:v>
                </c:pt>
                <c:pt idx="33">
                  <c:v>79.306432699802883</c:v>
                </c:pt>
                <c:pt idx="34">
                  <c:v>78.506684076513139</c:v>
                </c:pt>
                <c:pt idx="35">
                  <c:v>77.706838736160194</c:v>
                </c:pt>
                <c:pt idx="36">
                  <c:v>76.906778922690961</c:v>
                </c:pt>
                <c:pt idx="37">
                  <c:v>76.106069169439536</c:v>
                </c:pt>
                <c:pt idx="38">
                  <c:v>75.305458199267306</c:v>
                </c:pt>
                <c:pt idx="39">
                  <c:v>74.50427724921424</c:v>
                </c:pt>
                <c:pt idx="40">
                  <c:v>73.702794304744032</c:v>
                </c:pt>
                <c:pt idx="41">
                  <c:v>72.900893008074618</c:v>
                </c:pt>
                <c:pt idx="42">
                  <c:v>72.098622174924159</c:v>
                </c:pt>
                <c:pt idx="43">
                  <c:v>71.295667736600009</c:v>
                </c:pt>
                <c:pt idx="44">
                  <c:v>70.492145838991604</c:v>
                </c:pt>
                <c:pt idx="45">
                  <c:v>69.687774949399582</c:v>
                </c:pt>
                <c:pt idx="46">
                  <c:v>68.882572288470143</c:v>
                </c:pt>
                <c:pt idx="47">
                  <c:v>68.076188948130337</c:v>
                </c:pt>
                <c:pt idx="48">
                  <c:v>67.268612286198177</c:v>
                </c:pt>
                <c:pt idx="49">
                  <c:v>66.459382902038172</c:v>
                </c:pt>
                <c:pt idx="50">
                  <c:v>65.648322867330705</c:v>
                </c:pt>
                <c:pt idx="51">
                  <c:v>64.83488190060298</c:v>
                </c:pt>
                <c:pt idx="52">
                  <c:v>64.018890155313144</c:v>
                </c:pt>
                <c:pt idx="53">
                  <c:v>63.199809201820578</c:v>
                </c:pt>
                <c:pt idx="54">
                  <c:v>62.377553186850633</c:v>
                </c:pt>
                <c:pt idx="55">
                  <c:v>61.550025394787838</c:v>
                </c:pt>
                <c:pt idx="56">
                  <c:v>60.717553039461748</c:v>
                </c:pt>
                <c:pt idx="57">
                  <c:v>59.878610387114023</c:v>
                </c:pt>
                <c:pt idx="58">
                  <c:v>59.032683348216935</c:v>
                </c:pt>
                <c:pt idx="59">
                  <c:v>58.17784030993208</c:v>
                </c:pt>
                <c:pt idx="60">
                  <c:v>57.313102481712789</c:v>
                </c:pt>
                <c:pt idx="61">
                  <c:v>56.436698066638954</c:v>
                </c:pt>
                <c:pt idx="62">
                  <c:v>55.546316980233613</c:v>
                </c:pt>
                <c:pt idx="63">
                  <c:v>54.640801350839226</c:v>
                </c:pt>
                <c:pt idx="64">
                  <c:v>53.717266197880434</c:v>
                </c:pt>
                <c:pt idx="65">
                  <c:v>52.773782359587585</c:v>
                </c:pt>
                <c:pt idx="66">
                  <c:v>51.807945476585502</c:v>
                </c:pt>
                <c:pt idx="67">
                  <c:v>50.817596024818307</c:v>
                </c:pt>
                <c:pt idx="68">
                  <c:v>49.800273281453364</c:v>
                </c:pt>
                <c:pt idx="69">
                  <c:v>48.754322859060871</c:v>
                </c:pt>
                <c:pt idx="70">
                  <c:v>47.677983404921719</c:v>
                </c:pt>
                <c:pt idx="71">
                  <c:v>46.57042000207251</c:v>
                </c:pt>
                <c:pt idx="72">
                  <c:v>45.430951979656633</c:v>
                </c:pt>
                <c:pt idx="73">
                  <c:v>44.260118157678193</c:v>
                </c:pt>
                <c:pt idx="74">
                  <c:v>43.058630594027449</c:v>
                </c:pt>
                <c:pt idx="75">
                  <c:v>41.828448317403392</c:v>
                </c:pt>
                <c:pt idx="76">
                  <c:v>40.571796979351326</c:v>
                </c:pt>
                <c:pt idx="77">
                  <c:v>39.292272370498964</c:v>
                </c:pt>
                <c:pt idx="78">
                  <c:v>37.993619830363329</c:v>
                </c:pt>
                <c:pt idx="79">
                  <c:v>36.680933182163272</c:v>
                </c:pt>
                <c:pt idx="80">
                  <c:v>35.356621713372014</c:v>
                </c:pt>
                <c:pt idx="81">
                  <c:v>34.027408125620234</c:v>
                </c:pt>
                <c:pt idx="82">
                  <c:v>32.697403401515913</c:v>
                </c:pt>
                <c:pt idx="83">
                  <c:v>31.372573898804205</c:v>
                </c:pt>
                <c:pt idx="84">
                  <c:v>30.056810751984745</c:v>
                </c:pt>
                <c:pt idx="85">
                  <c:v>28.755542927576595</c:v>
                </c:pt>
                <c:pt idx="86">
                  <c:v>27.472906028693242</c:v>
                </c:pt>
                <c:pt idx="87">
                  <c:v>26.212101712814079</c:v>
                </c:pt>
                <c:pt idx="88">
                  <c:v>24.977636736502781</c:v>
                </c:pt>
                <c:pt idx="89">
                  <c:v>23.771151431462968</c:v>
                </c:pt>
                <c:pt idx="90">
                  <c:v>22.595020198582301</c:v>
                </c:pt>
                <c:pt idx="91">
                  <c:v>21.450280305552898</c:v>
                </c:pt>
                <c:pt idx="92">
                  <c:v>20.337465093258025</c:v>
                </c:pt>
                <c:pt idx="93">
                  <c:v>19.25591795141727</c:v>
                </c:pt>
                <c:pt idx="94">
                  <c:v>18.990453340271731</c:v>
                </c:pt>
                <c:pt idx="95">
                  <c:v>18.85761373850211</c:v>
                </c:pt>
                <c:pt idx="96">
                  <c:v>18.726761321326045</c:v>
                </c:pt>
                <c:pt idx="97">
                  <c:v>18.594877102754271</c:v>
                </c:pt>
                <c:pt idx="98">
                  <c:v>18.464963060400851</c:v>
                </c:pt>
                <c:pt idx="99">
                  <c:v>18.333989099903654</c:v>
                </c:pt>
                <c:pt idx="100">
                  <c:v>18.204968997124489</c:v>
                </c:pt>
                <c:pt idx="101">
                  <c:v>18.074960978701384</c:v>
                </c:pt>
                <c:pt idx="102">
                  <c:v>17.94688821915425</c:v>
                </c:pt>
                <c:pt idx="103">
                  <c:v>17.817707652751601</c:v>
                </c:pt>
                <c:pt idx="104">
                  <c:v>17.690447224874688</c:v>
                </c:pt>
                <c:pt idx="105">
                  <c:v>17.562152253558658</c:v>
                </c:pt>
                <c:pt idx="106">
                  <c:v>17.435759987620479</c:v>
                </c:pt>
                <c:pt idx="107">
                  <c:v>17.308401416740889</c:v>
                </c:pt>
                <c:pt idx="108">
                  <c:v>17.182926049642248</c:v>
                </c:pt>
                <c:pt idx="109">
                  <c:v>17.056462416934281</c:v>
                </c:pt>
                <c:pt idx="110">
                  <c:v>16.931863155439981</c:v>
                </c:pt>
                <c:pt idx="111">
                  <c:v>16.806173711118721</c:v>
                </c:pt>
                <c:pt idx="112">
                  <c:v>16.682332807772791</c:v>
                </c:pt>
                <c:pt idx="113">
                  <c:v>16.557470865793515</c:v>
                </c:pt>
                <c:pt idx="114">
                  <c:v>16.43443956610286</c:v>
                </c:pt>
                <c:pt idx="115">
                  <c:v>16.310373460507492</c:v>
                </c:pt>
                <c:pt idx="116">
                  <c:v>16.188120534391736</c:v>
                </c:pt>
                <c:pt idx="117">
                  <c:v>16.064821365141928</c:v>
                </c:pt>
                <c:pt idx="118">
                  <c:v>15.943318286884594</c:v>
                </c:pt>
                <c:pt idx="119">
                  <c:v>15.820833400351045</c:v>
                </c:pt>
                <c:pt idx="120">
                  <c:v>15.70012571098067</c:v>
                </c:pt>
                <c:pt idx="121">
                  <c:v>15.578424642638398</c:v>
                </c:pt>
                <c:pt idx="122">
                  <c:v>15.458482348461899</c:v>
                </c:pt>
                <c:pt idx="123">
                  <c:v>15.337467551242428</c:v>
                </c:pt>
                <c:pt idx="124">
                  <c:v>15.218195513536596</c:v>
                </c:pt>
                <c:pt idx="125">
                  <c:v>15.097914796404069</c:v>
                </c:pt>
                <c:pt idx="126">
                  <c:v>14.97935908831673</c:v>
                </c:pt>
                <c:pt idx="127">
                  <c:v>14.859788608382926</c:v>
                </c:pt>
                <c:pt idx="128">
                  <c:v>14.741925726600343</c:v>
                </c:pt>
                <c:pt idx="129">
                  <c:v>14.623043539093</c:v>
                </c:pt>
                <c:pt idx="130">
                  <c:v>14.505851844076915</c:v>
                </c:pt>
                <c:pt idx="131">
                  <c:v>14.387637738378864</c:v>
                </c:pt>
                <c:pt idx="132">
                  <c:v>14.329161220004972</c:v>
                </c:pt>
                <c:pt idx="133">
                  <c:v>14.271097295237254</c:v>
                </c:pt>
                <c:pt idx="134">
                  <c:v>14.212074580272882</c:v>
                </c:pt>
                <c:pt idx="135">
                  <c:v>14.153472383301962</c:v>
                </c:pt>
                <c:pt idx="136">
                  <c:v>14.095284850045573</c:v>
                </c:pt>
                <c:pt idx="137">
                  <c:v>14.037506242166351</c:v>
                </c:pt>
                <c:pt idx="138">
                  <c:v>13.978832934609592</c:v>
                </c:pt>
                <c:pt idx="139">
                  <c:v>13.920575550435954</c:v>
                </c:pt>
                <c:pt idx="140">
                  <c:v>13.862728309277433</c:v>
                </c:pt>
                <c:pt idx="141">
                  <c:v>13.805285545394796</c:v>
                </c:pt>
                <c:pt idx="142">
                  <c:v>13.746893797504043</c:v>
                </c:pt>
                <c:pt idx="143">
                  <c:v>13.688914277123661</c:v>
                </c:pt>
                <c:pt idx="144">
                  <c:v>13.631341260677912</c:v>
                </c:pt>
                <c:pt idx="145">
                  <c:v>13.574169138323143</c:v>
                </c:pt>
                <c:pt idx="146">
                  <c:v>13.516081870438629</c:v>
                </c:pt>
                <c:pt idx="147">
                  <c:v>13.45840275533309</c:v>
                </c:pt>
                <c:pt idx="148">
                  <c:v>13.401126135569925</c:v>
                </c:pt>
                <c:pt idx="149">
                  <c:v>13.344246466267087</c:v>
                </c:pt>
                <c:pt idx="150">
                  <c:v>13.286456815913963</c:v>
                </c:pt>
                <c:pt idx="151">
                  <c:v>13.229071290264542</c:v>
                </c:pt>
                <c:pt idx="152">
                  <c:v>13.172084298457428</c:v>
                </c:pt>
                <c:pt idx="153">
                  <c:v>13.115490360962831</c:v>
                </c:pt>
                <c:pt idx="154">
                  <c:v>13.057965611580967</c:v>
                </c:pt>
                <c:pt idx="155">
                  <c:v>13.000841368717673</c:v>
                </c:pt>
                <c:pt idx="156">
                  <c:v>12.944112100946306</c:v>
                </c:pt>
                <c:pt idx="157">
                  <c:v>12.887772387105077</c:v>
                </c:pt>
                <c:pt idx="158">
                  <c:v>12.83050882090631</c:v>
                </c:pt>
                <c:pt idx="159">
                  <c:v>12.773642151772037</c:v>
                </c:pt>
                <c:pt idx="160">
                  <c:v>12.71716690880011</c:v>
                </c:pt>
                <c:pt idx="161">
                  <c:v>12.66107773022599</c:v>
                </c:pt>
                <c:pt idx="162">
                  <c:v>12.604096873149144</c:v>
                </c:pt>
                <c:pt idx="163">
                  <c:v>12.54750896995542</c:v>
                </c:pt>
                <c:pt idx="164">
                  <c:v>12.491308618321998</c:v>
                </c:pt>
                <c:pt idx="165">
                  <c:v>12.435490523691914</c:v>
                </c:pt>
                <c:pt idx="166">
                  <c:v>12.378738649250804</c:v>
                </c:pt>
                <c:pt idx="167">
                  <c:v>12.322376490791838</c:v>
                </c:pt>
                <c:pt idx="168">
                  <c:v>12.266398701190441</c:v>
                </c:pt>
                <c:pt idx="169">
                  <c:v>12.210800040041153</c:v>
                </c:pt>
                <c:pt idx="170">
                  <c:v>12.154394353734839</c:v>
                </c:pt>
                <c:pt idx="171">
                  <c:v>12.098373518157846</c:v>
                </c:pt>
                <c:pt idx="172">
                  <c:v>12.042732275724351</c:v>
                </c:pt>
                <c:pt idx="173">
                  <c:v>11.987465473581906</c:v>
                </c:pt>
                <c:pt idx="174">
                  <c:v>11.931188822701408</c:v>
                </c:pt>
                <c:pt idx="175">
                  <c:v>11.875295087209651</c:v>
                </c:pt>
                <c:pt idx="176">
                  <c:v>11.819779040145541</c:v>
                </c:pt>
                <c:pt idx="177">
                  <c:v>11.764635558829184</c:v>
                </c:pt>
                <c:pt idx="178">
                  <c:v>11.708517260995796</c:v>
                </c:pt>
                <c:pt idx="179">
                  <c:v>11.652779513603964</c:v>
                </c:pt>
                <c:pt idx="180">
                  <c:v>11.597417130064613</c:v>
                </c:pt>
                <c:pt idx="181">
                  <c:v>11.542425027333927</c:v>
                </c:pt>
                <c:pt idx="182">
                  <c:v>11.486709379512408</c:v>
                </c:pt>
                <c:pt idx="183">
                  <c:v>11.431368606983499</c:v>
                </c:pt>
                <c:pt idx="184">
                  <c:v>11.3763976316328</c:v>
                </c:pt>
                <c:pt idx="185">
                  <c:v>11.321791476326018</c:v>
                </c:pt>
                <c:pt idx="186">
                  <c:v>11.266061180749196</c:v>
                </c:pt>
                <c:pt idx="187">
                  <c:v>11.210705673394886</c:v>
                </c:pt>
                <c:pt idx="188">
                  <c:v>11.155719872064155</c:v>
                </c:pt>
                <c:pt idx="189">
                  <c:v>11.10109879592877</c:v>
                </c:pt>
                <c:pt idx="190">
                  <c:v>11.04580551087604</c:v>
                </c:pt>
                <c:pt idx="191">
                  <c:v>10.990880870636541</c:v>
                </c:pt>
                <c:pt idx="192">
                  <c:v>10.936319912143235</c:v>
                </c:pt>
                <c:pt idx="193">
                  <c:v>10.882117770808421</c:v>
                </c:pt>
                <c:pt idx="194">
                  <c:v>10.826862650323527</c:v>
                </c:pt>
                <c:pt idx="195">
                  <c:v>10.771975335208348</c:v>
                </c:pt>
                <c:pt idx="196">
                  <c:v>10.717450875175595</c:v>
                </c:pt>
                <c:pt idx="197">
                  <c:v>10.663284418314456</c:v>
                </c:pt>
                <c:pt idx="198">
                  <c:v>10.608296734133123</c:v>
                </c:pt>
                <c:pt idx="199">
                  <c:v>10.553672962789332</c:v>
                </c:pt>
                <c:pt idx="200">
                  <c:v>10.499408228781682</c:v>
                </c:pt>
                <c:pt idx="201">
                  <c:v>10.44549775322608</c:v>
                </c:pt>
                <c:pt idx="202">
                  <c:v>10.390792909416209</c:v>
                </c:pt>
                <c:pt idx="203">
                  <c:v>10.336447888244004</c:v>
                </c:pt>
                <c:pt idx="204">
                  <c:v>10.282457893298124</c:v>
                </c:pt>
                <c:pt idx="205">
                  <c:v>10.228818222895706</c:v>
                </c:pt>
                <c:pt idx="206">
                  <c:v>10.174224166052174</c:v>
                </c:pt>
                <c:pt idx="207">
                  <c:v>10.119988096633907</c:v>
                </c:pt>
                <c:pt idx="208">
                  <c:v>10.066105252791292</c:v>
                </c:pt>
                <c:pt idx="209">
                  <c:v>10.012570966666763</c:v>
                </c:pt>
                <c:pt idx="210">
                  <c:v>9.9579331484497828</c:v>
                </c:pt>
                <c:pt idx="211">
                  <c:v>9.9036534890715142</c:v>
                </c:pt>
                <c:pt idx="212">
                  <c:v>9.8497272218828975</c:v>
                </c:pt>
                <c:pt idx="213">
                  <c:v>9.7961496745064398</c:v>
                </c:pt>
                <c:pt idx="214">
                  <c:v>9.7418586027869143</c:v>
                </c:pt>
                <c:pt idx="215">
                  <c:v>9.6879207631339543</c:v>
                </c:pt>
                <c:pt idx="216">
                  <c:v>9.6343314857587252</c:v>
                </c:pt>
                <c:pt idx="217">
                  <c:v>9.5810861927406243</c:v>
                </c:pt>
                <c:pt idx="218">
                  <c:v>9.5269779985153829</c:v>
                </c:pt>
                <c:pt idx="219">
                  <c:v>9.4732202508433598</c:v>
                </c:pt>
                <c:pt idx="220">
                  <c:v>9.4198083345464099</c:v>
                </c:pt>
                <c:pt idx="221">
                  <c:v>9.36673772500626</c:v>
                </c:pt>
                <c:pt idx="222">
                  <c:v>9.3128321979824147</c:v>
                </c:pt>
                <c:pt idx="223">
                  <c:v>9.2592740818849446</c:v>
                </c:pt>
                <c:pt idx="224">
                  <c:v>9.2060588212835945</c:v>
                </c:pt>
                <c:pt idx="225">
                  <c:v>9.1531819498537104</c:v>
                </c:pt>
                <c:pt idx="226">
                  <c:v>9.0993338373124359</c:v>
                </c:pt>
                <c:pt idx="227">
                  <c:v>9.0458319677459258</c:v>
                </c:pt>
                <c:pt idx="228">
                  <c:v>8.992671809108586</c:v>
                </c:pt>
                <c:pt idx="229">
                  <c:v>8.9398489179394272</c:v>
                </c:pt>
                <c:pt idx="230">
                  <c:v>8.8326691781292954</c:v>
                </c:pt>
                <c:pt idx="231">
                  <c:v>8.7795918666245196</c:v>
                </c:pt>
                <c:pt idx="232">
                  <c:v>8.7268503470538921</c:v>
                </c:pt>
                <c:pt idx="233">
                  <c:v>8.6732001288506932</c:v>
                </c:pt>
                <c:pt idx="234">
                  <c:v>8.6198927464813959</c:v>
                </c:pt>
                <c:pt idx="235">
                  <c:v>8.5669237364588788</c:v>
                </c:pt>
                <c:pt idx="236">
                  <c:v>8.5142887222362553</c:v>
                </c:pt>
                <c:pt idx="237">
                  <c:v>8.4609255280207538</c:v>
                </c:pt>
                <c:pt idx="238">
                  <c:v>8.4079010832120424</c:v>
                </c:pt>
                <c:pt idx="239">
                  <c:v>8.3552110050804895</c:v>
                </c:pt>
                <c:pt idx="240">
                  <c:v>8.3028509957996199</c:v>
                </c:pt>
                <c:pt idx="241">
                  <c:v>8.2494906570114104</c:v>
                </c:pt>
                <c:pt idx="242">
                  <c:v>8.1964685896591458</c:v>
                </c:pt>
                <c:pt idx="243">
                  <c:v>8.1437804219504724</c:v>
                </c:pt>
                <c:pt idx="244">
                  <c:v>8.0914218667511211</c:v>
                </c:pt>
                <c:pt idx="245">
                  <c:v>8.0382392841800492</c:v>
                </c:pt>
                <c:pt idx="246">
                  <c:v>7.9853922884810293</c:v>
                </c:pt>
                <c:pt idx="247">
                  <c:v>7.9328765615273849</c:v>
                </c:pt>
                <c:pt idx="248">
                  <c:v>7.8806878684979385</c:v>
                </c:pt>
                <c:pt idx="249">
                  <c:v>7.82756103502415</c:v>
                </c:pt>
                <c:pt idx="250">
                  <c:v>7.7747686455383915</c:v>
                </c:pt>
                <c:pt idx="251">
                  <c:v>7.7223064059513131</c:v>
                </c:pt>
                <c:pt idx="252">
                  <c:v>7.6701701048795945</c:v>
                </c:pt>
                <c:pt idx="253">
                  <c:v>7.6172624563097155</c:v>
                </c:pt>
                <c:pt idx="254">
                  <c:v>7.5646860672620351</c:v>
                </c:pt>
                <c:pt idx="255">
                  <c:v>7.5124367068284332</c:v>
                </c:pt>
                <c:pt idx="256">
                  <c:v>7.4605102252006086</c:v>
                </c:pt>
                <c:pt idx="257">
                  <c:v>7.4075697658661195</c:v>
                </c:pt>
                <c:pt idx="258">
                  <c:v>7.3549605362715775</c:v>
                </c:pt>
                <c:pt idx="259">
                  <c:v>7.3026783083930553</c:v>
                </c:pt>
                <c:pt idx="260">
                  <c:v>7.2507189352320083</c:v>
                </c:pt>
                <c:pt idx="261">
                  <c:v>7.1979083725522717</c:v>
                </c:pt>
                <c:pt idx="262">
                  <c:v>7.1454269833366437</c:v>
                </c:pt>
                <c:pt idx="263">
                  <c:v>7.0932705811406729</c:v>
                </c:pt>
                <c:pt idx="264">
                  <c:v>7.0414350594793307</c:v>
                </c:pt>
                <c:pt idx="265">
                  <c:v>6.9887750988853705</c:v>
                </c:pt>
                <c:pt idx="266">
                  <c:v>6.93644200824337</c:v>
                </c:pt>
                <c:pt idx="267">
                  <c:v>6.8844316472744005</c:v>
                </c:pt>
                <c:pt idx="268">
                  <c:v>6.83273995447367</c:v>
                </c:pt>
                <c:pt idx="269">
                  <c:v>6.7801258141004395</c:v>
                </c:pt>
                <c:pt idx="270">
                  <c:v>6.7278375440513862</c:v>
                </c:pt>
                <c:pt idx="271">
                  <c:v>6.675871025434521</c:v>
                </c:pt>
                <c:pt idx="272">
                  <c:v>6.6242222175696384</c:v>
                </c:pt>
                <c:pt idx="273">
                  <c:v>6.5716801787107642</c:v>
                </c:pt>
                <c:pt idx="274">
                  <c:v>6.5194626893583791</c:v>
                </c:pt>
                <c:pt idx="275">
                  <c:v>6.467565658033231</c:v>
                </c:pt>
                <c:pt idx="276">
                  <c:v>6.4159850707488797</c:v>
                </c:pt>
                <c:pt idx="277">
                  <c:v>6.3636571058562819</c:v>
                </c:pt>
                <c:pt idx="278">
                  <c:v>6.3116506328143016</c:v>
                </c:pt>
                <c:pt idx="279">
                  <c:v>6.2599616200814108</c:v>
                </c:pt>
                <c:pt idx="280">
                  <c:v>6.2085861120707513</c:v>
                </c:pt>
                <c:pt idx="281">
                  <c:v>6.1561412238809723</c:v>
                </c:pt>
                <c:pt idx="282">
                  <c:v>6.1040188342590787</c:v>
                </c:pt>
                <c:pt idx="283">
                  <c:v>6.0522148951898522</c:v>
                </c:pt>
                <c:pt idx="284">
                  <c:v>6.0007254349870873</c:v>
                </c:pt>
                <c:pt idx="285">
                  <c:v>5.9485373332641629</c:v>
                </c:pt>
                <c:pt idx="286">
                  <c:v>5.8966681661877693</c:v>
                </c:pt>
                <c:pt idx="287">
                  <c:v>5.8451139547830033</c:v>
                </c:pt>
                <c:pt idx="288">
                  <c:v>5.7938707946361836</c:v>
                </c:pt>
                <c:pt idx="289">
                  <c:v>5.741621586789889</c:v>
                </c:pt>
                <c:pt idx="290">
                  <c:v>5.6896916357063585</c:v>
                </c:pt>
                <c:pt idx="291">
                  <c:v>5.6380769586624258</c:v>
                </c:pt>
                <c:pt idx="292">
                  <c:v>5.5867736475425254</c:v>
                </c:pt>
                <c:pt idx="293">
                  <c:v>5.5346029984229332</c:v>
                </c:pt>
                <c:pt idx="294">
                  <c:v>5.4827502273383866</c:v>
                </c:pt>
                <c:pt idx="295">
                  <c:v>5.431211379417209</c:v>
                </c:pt>
                <c:pt idx="296">
                  <c:v>5.3799825736518345</c:v>
                </c:pt>
                <c:pt idx="297">
                  <c:v>5.327913306574187</c:v>
                </c:pt>
                <c:pt idx="298">
                  <c:v>5.2761602660972216</c:v>
                </c:pt>
                <c:pt idx="299">
                  <c:v>5.2247195300643279</c:v>
                </c:pt>
                <c:pt idx="300">
                  <c:v>5.1735872493177943</c:v>
                </c:pt>
                <c:pt idx="301">
                  <c:v>5.1216403587085466</c:v>
                </c:pt>
                <c:pt idx="302">
                  <c:v>5.0700077950106355</c:v>
                </c:pt>
                <c:pt idx="303">
                  <c:v>5.0186856731283092</c:v>
                </c:pt>
                <c:pt idx="304">
                  <c:v>4.967670179992191</c:v>
                </c:pt>
                <c:pt idx="305">
                  <c:v>4.9156662928855699</c:v>
                </c:pt>
                <c:pt idx="306">
                  <c:v>4.863976998988754</c:v>
                </c:pt>
                <c:pt idx="307">
                  <c:v>4.8125984100136767</c:v>
                </c:pt>
                <c:pt idx="308">
                  <c:v>4.7615267097165761</c:v>
                </c:pt>
                <c:pt idx="309">
                  <c:v>4.7096915511748012</c:v>
                </c:pt>
                <c:pt idx="310">
                  <c:v>4.6581685322048818</c:v>
                </c:pt>
                <c:pt idx="311">
                  <c:v>4.6069538113205661</c:v>
                </c:pt>
                <c:pt idx="312">
                  <c:v>4.5560436178664805</c:v>
                </c:pt>
                <c:pt idx="313">
                  <c:v>4.5042036027661227</c:v>
                </c:pt>
                <c:pt idx="314">
                  <c:v>4.452675361432572</c:v>
                </c:pt>
                <c:pt idx="315">
                  <c:v>4.4014550604541842</c:v>
                </c:pt>
                <c:pt idx="316">
                  <c:v>4.3505389369863243</c:v>
                </c:pt>
                <c:pt idx="317">
                  <c:v>4.2987217951302314</c:v>
                </c:pt>
                <c:pt idx="318">
                  <c:v>4.2472157248175124</c:v>
                </c:pt>
                <c:pt idx="319">
                  <c:v>4.196016906668846</c:v>
                </c:pt>
                <c:pt idx="320">
                  <c:v>4.1451215914599455</c:v>
                </c:pt>
                <c:pt idx="321">
                  <c:v>4.0933529972743852</c:v>
                </c:pt>
                <c:pt idx="322">
                  <c:v>4.0418944616018697</c:v>
                </c:pt>
                <c:pt idx="323">
                  <c:v>3.9907421845364599</c:v>
                </c:pt>
                <c:pt idx="324">
                  <c:v>3.9398924357807603</c:v>
                </c:pt>
                <c:pt idx="325">
                  <c:v>3.8881961143229566</c:v>
                </c:pt>
                <c:pt idx="326">
                  <c:v>3.8368085520582715</c:v>
                </c:pt>
                <c:pt idx="327">
                  <c:v>3.7857259734951008</c:v>
                </c:pt>
                <c:pt idx="328">
                  <c:v>3.7349446720827402</c:v>
                </c:pt>
                <c:pt idx="329">
                  <c:v>3.6832564695143706</c:v>
                </c:pt>
                <c:pt idx="330">
                  <c:v>3.63187648583986</c:v>
                </c:pt>
                <c:pt idx="331">
                  <c:v>3.580800955788455</c:v>
                </c:pt>
                <c:pt idx="332">
                  <c:v>3.5300261827057797</c:v>
                </c:pt>
                <c:pt idx="333">
                  <c:v>3.47845629618319</c:v>
                </c:pt>
                <c:pt idx="334">
                  <c:v>3.427192773316869</c:v>
                </c:pt>
                <c:pt idx="335">
                  <c:v>3.3762318827175983</c:v>
                </c:pt>
                <c:pt idx="336">
                  <c:v>3.3255699607144189</c:v>
                </c:pt>
                <c:pt idx="337">
                  <c:v>3.2739726138120591</c:v>
                </c:pt>
                <c:pt idx="338">
                  <c:v>3.2226814960843191</c:v>
                </c:pt>
                <c:pt idx="339">
                  <c:v>3.1716928783021348</c:v>
                </c:pt>
                <c:pt idx="340">
                  <c:v>3.121003098820978</c:v>
                </c:pt>
                <c:pt idx="341">
                  <c:v>3.0694065377980442</c:v>
                </c:pt>
                <c:pt idx="342">
                  <c:v>3.0181157249523638</c:v>
                </c:pt>
                <c:pt idx="343">
                  <c:v>2.9671269391653929</c:v>
                </c:pt>
                <c:pt idx="344">
                  <c:v>2.9164365266230661</c:v>
                </c:pt>
                <c:pt idx="345">
                  <c:v>2.864945186794893</c:v>
                </c:pt>
                <c:pt idx="346">
                  <c:v>2.8137578702238839</c:v>
                </c:pt>
                <c:pt idx="347">
                  <c:v>2.7628708861168843</c:v>
                </c:pt>
                <c:pt idx="348">
                  <c:v>2.7122806101698567</c:v>
                </c:pt>
                <c:pt idx="349">
                  <c:v>2.6607603563374411</c:v>
                </c:pt>
                <c:pt idx="350">
                  <c:v>2.6095439684443007</c:v>
                </c:pt>
                <c:pt idx="351">
                  <c:v>2.5586277571122857</c:v>
                </c:pt>
                <c:pt idx="352">
                  <c:v>2.5080080993277676</c:v>
                </c:pt>
                <c:pt idx="353">
                  <c:v>2.4564867251937059</c:v>
                </c:pt>
                <c:pt idx="354">
                  <c:v>2.4052687149724674</c:v>
                </c:pt>
                <c:pt idx="355">
                  <c:v>2.3543503865069577</c:v>
                </c:pt>
                <c:pt idx="356">
                  <c:v>2.3037281237375318</c:v>
                </c:pt>
                <c:pt idx="357">
                  <c:v>2.2523043015036963</c:v>
                </c:pt>
                <c:pt idx="358">
                  <c:v>2.2011821665889855</c:v>
                </c:pt>
                <c:pt idx="359">
                  <c:v>2.150358064865781</c:v>
                </c:pt>
                <c:pt idx="360">
                  <c:v>2.09982840753832</c:v>
                </c:pt>
                <c:pt idx="361">
                  <c:v>2.0483783660693229</c:v>
                </c:pt>
                <c:pt idx="362">
                  <c:v>1.9972297650652249</c:v>
                </c:pt>
                <c:pt idx="363">
                  <c:v>1.9463789519838679</c:v>
                </c:pt>
                <c:pt idx="364">
                  <c:v>1.8958223394752471</c:v>
                </c:pt>
                <c:pt idx="365">
                  <c:v>1.8444426579188438</c:v>
                </c:pt>
                <c:pt idx="366">
                  <c:v>1.7933630191236871</c:v>
                </c:pt>
                <c:pt idx="367">
                  <c:v>1.742579792410333</c:v>
                </c:pt>
                <c:pt idx="368">
                  <c:v>1.6920894116672591</c:v>
                </c:pt>
                <c:pt idx="369">
                  <c:v>1.6406642265007272</c:v>
                </c:pt>
                <c:pt idx="370">
                  <c:v>1.5895390106630292</c:v>
                </c:pt>
                <c:pt idx="371">
                  <c:v>1.5387101307510664</c:v>
                </c:pt>
                <c:pt idx="372">
                  <c:v>1.4881740178826028</c:v>
                </c:pt>
                <c:pt idx="373">
                  <c:v>1.4367975871113916</c:v>
                </c:pt>
                <c:pt idx="374">
                  <c:v>1.3857199263861331</c:v>
                </c:pt>
                <c:pt idx="375">
                  <c:v>1.3349374193055206</c:v>
                </c:pt>
                <c:pt idx="376">
                  <c:v>1.2844465134714886</c:v>
                </c:pt>
                <c:pt idx="377">
                  <c:v>1.2330101635624684</c:v>
                </c:pt>
                <c:pt idx="378">
                  <c:v>1.1818726122987411</c:v>
                </c:pt>
                <c:pt idx="379">
                  <c:v>1.1310302373293111</c:v>
                </c:pt>
                <c:pt idx="380">
                  <c:v>1.0804794803231952</c:v>
                </c:pt>
                <c:pt idx="381">
                  <c:v>1.0291383856447407</c:v>
                </c:pt>
                <c:pt idx="382">
                  <c:v>0.97809428622712868</c:v>
                </c:pt>
                <c:pt idx="383">
                  <c:v>0.92734358619100243</c:v>
                </c:pt>
                <c:pt idx="384">
                  <c:v>0.87688275292683349</c:v>
                </c:pt>
                <c:pt idx="385">
                  <c:v>0.825468442601486</c:v>
                </c:pt>
                <c:pt idx="386">
                  <c:v>0.77435123028192865</c:v>
                </c:pt>
                <c:pt idx="387">
                  <c:v>0.72352751119206427</c:v>
                </c:pt>
                <c:pt idx="388">
                  <c:v>0.67299374389677535</c:v>
                </c:pt>
                <c:pt idx="389">
                  <c:v>0.62159537612144966</c:v>
                </c:pt>
                <c:pt idx="390">
                  <c:v>0.5704931355260906</c:v>
                </c:pt>
                <c:pt idx="391">
                  <c:v>0.51968342698954983</c:v>
                </c:pt>
                <c:pt idx="392">
                  <c:v>0.46916271836126489</c:v>
                </c:pt>
                <c:pt idx="393">
                  <c:v>0.41780257750870864</c:v>
                </c:pt>
                <c:pt idx="394">
                  <c:v>0.36673729037727004</c:v>
                </c:pt>
                <c:pt idx="395">
                  <c:v>0.31596327602996682</c:v>
                </c:pt>
                <c:pt idx="396">
                  <c:v>0.26547701601709101</c:v>
                </c:pt>
                <c:pt idx="397">
                  <c:v>0.21405978306587845</c:v>
                </c:pt>
                <c:pt idx="398">
                  <c:v>0.16293716817382284</c:v>
                </c:pt>
                <c:pt idx="399">
                  <c:v>0.11210558466801368</c:v>
                </c:pt>
                <c:pt idx="400">
                  <c:v>6.1561508332312831E-2</c:v>
                </c:pt>
                <c:pt idx="401">
                  <c:v>1.0170189631795079E-2</c:v>
                </c:pt>
                <c:pt idx="402">
                  <c:v>-4.092775526326202E-2</c:v>
                </c:pt>
                <c:pt idx="403">
                  <c:v>-9.1735901568827716E-2</c:v>
                </c:pt>
                <c:pt idx="404">
                  <c:v>-0.1422577624830349</c:v>
                </c:pt>
                <c:pt idx="405">
                  <c:v>-0.19365794485382168</c:v>
                </c:pt>
                <c:pt idx="406">
                  <c:v>-0.24476566513569942</c:v>
                </c:pt>
                <c:pt idx="407">
                  <c:v>-0.29558449438476592</c:v>
                </c:pt>
                <c:pt idx="408">
                  <c:v>-0.34611794192061224</c:v>
                </c:pt>
                <c:pt idx="409">
                  <c:v>-0.39755865239580679</c:v>
                </c:pt>
                <c:pt idx="410">
                  <c:v>-0.44870752585009438</c:v>
                </c:pt>
                <c:pt idx="411">
                  <c:v>-0.49956813579124071</c:v>
                </c:pt>
                <c:pt idx="412">
                  <c:v>-0.55014399413271831</c:v>
                </c:pt>
                <c:pt idx="413">
                  <c:v>-0.60160118712799238</c:v>
                </c:pt>
                <c:pt idx="414">
                  <c:v>-0.65276752036578789</c:v>
                </c:pt>
                <c:pt idx="415">
                  <c:v>-0.70364656486046795</c:v>
                </c:pt>
                <c:pt idx="416">
                  <c:v>-0.75424183030172665</c:v>
                </c:pt>
                <c:pt idx="417">
                  <c:v>-0.80574520154915186</c:v>
                </c:pt>
                <c:pt idx="418">
                  <c:v>-0.8569584431250814</c:v>
                </c:pt>
                <c:pt idx="419">
                  <c:v>-0.90788512972731272</c:v>
                </c:pt>
                <c:pt idx="420">
                  <c:v>-0.95852877487306876</c:v>
                </c:pt>
                <c:pt idx="421">
                  <c:v>-1.0100043932815519</c:v>
                </c:pt>
                <c:pt idx="422">
                  <c:v>-1.0611915359748385</c:v>
                </c:pt>
                <c:pt idx="423">
                  <c:v>-1.1120937660632979</c:v>
                </c:pt>
                <c:pt idx="424">
                  <c:v>-1.1627145859838819</c:v>
                </c:pt>
                <c:pt idx="425">
                  <c:v>-1.2142927151337026</c:v>
                </c:pt>
                <c:pt idx="426">
                  <c:v>-1.2655826699793162</c:v>
                </c:pt>
                <c:pt idx="427">
                  <c:v>-1.3165880289823531</c:v>
                </c:pt>
                <c:pt idx="428">
                  <c:v>-1.3673123098462294</c:v>
                </c:pt>
                <c:pt idx="429">
                  <c:v>-1.4189187595109074</c:v>
                </c:pt>
                <c:pt idx="430">
                  <c:v>-1.4702382811133352</c:v>
                </c:pt>
                <c:pt idx="431">
                  <c:v>-1.5212744531121694</c:v>
                </c:pt>
                <c:pt idx="432">
                  <c:v>-1.572030793490315</c:v>
                </c:pt>
                <c:pt idx="433">
                  <c:v>-1.6236451802116765</c:v>
                </c:pt>
                <c:pt idx="434">
                  <c:v>-1.6749742331900885</c:v>
                </c:pt>
                <c:pt idx="435">
                  <c:v>-1.7260215266469454</c:v>
                </c:pt>
                <c:pt idx="436">
                  <c:v>-1.7767905747254606</c:v>
                </c:pt>
                <c:pt idx="437">
                  <c:v>-1.82848705861237</c:v>
                </c:pt>
                <c:pt idx="438">
                  <c:v>-1.8798991211742033</c:v>
                </c:pt>
                <c:pt idx="439">
                  <c:v>-1.9310303476850676</c:v>
                </c:pt>
                <c:pt idx="440">
                  <c:v>-1.9818842634194445</c:v>
                </c:pt>
                <c:pt idx="441">
                  <c:v>-2.0336405409774452</c:v>
                </c:pt>
                <c:pt idx="442">
                  <c:v>-2.085113707000791</c:v>
                </c:pt>
                <c:pt idx="443">
                  <c:v>-2.1363073531406824</c:v>
                </c:pt>
                <c:pt idx="444">
                  <c:v>-2.1872250112566878</c:v>
                </c:pt>
                <c:pt idx="445">
                  <c:v>-2.2390210584790422</c:v>
                </c:pt>
                <c:pt idx="446">
                  <c:v>-2.2905356845275184</c:v>
                </c:pt>
                <c:pt idx="447">
                  <c:v>-2.3417724831945477</c:v>
                </c:pt>
                <c:pt idx="448">
                  <c:v>-2.3927349888084666</c:v>
                </c:pt>
                <c:pt idx="449">
                  <c:v>-2.4446396322943511</c:v>
                </c:pt>
                <c:pt idx="450">
                  <c:v>-2.4962639782934546</c:v>
                </c:pt>
                <c:pt idx="451">
                  <c:v>-2.5476116368818005</c:v>
                </c:pt>
                <c:pt idx="452">
                  <c:v>-2.5986861587160992</c:v>
                </c:pt>
                <c:pt idx="453">
                  <c:v>-2.6506358409205024</c:v>
                </c:pt>
                <c:pt idx="454">
                  <c:v>-2.7023072298825483</c:v>
                </c:pt>
                <c:pt idx="455">
                  <c:v>-2.7537039386258195</c:v>
                </c:pt>
                <c:pt idx="456">
                  <c:v>-2.8048295211210479</c:v>
                </c:pt>
                <c:pt idx="457">
                  <c:v>-2.8568911909243817</c:v>
                </c:pt>
                <c:pt idx="458">
                  <c:v>-2.9086760673175922</c:v>
                </c:pt>
                <c:pt idx="459">
                  <c:v>-2.9601877799783911</c:v>
                </c:pt>
                <c:pt idx="460">
                  <c:v>-3.0114298996311679</c:v>
                </c:pt>
                <c:pt idx="461">
                  <c:v>-3.0635845104028245</c:v>
                </c:pt>
                <c:pt idx="462">
                  <c:v>-3.1154642641554298</c:v>
                </c:pt>
                <c:pt idx="463">
                  <c:v>-3.1670728030201629</c:v>
                </c:pt>
                <c:pt idx="464">
                  <c:v>-3.2184137103986781</c:v>
                </c:pt>
                <c:pt idx="465">
                  <c:v>-3.2706844855443853</c:v>
                </c:pt>
                <c:pt idx="466">
                  <c:v>-3.3226823491131423</c:v>
                </c:pt>
                <c:pt idx="467">
                  <c:v>-3.3744109602265597</c:v>
                </c:pt>
                <c:pt idx="468">
                  <c:v>-3.4258739194375516</c:v>
                </c:pt>
                <c:pt idx="469">
                  <c:v>-3.4782442663475828</c:v>
                </c:pt>
                <c:pt idx="470">
                  <c:v>-3.5303440940202742</c:v>
                </c:pt>
                <c:pt idx="471">
                  <c:v>-3.5821770747186426</c:v>
                </c:pt>
                <c:pt idx="472">
                  <c:v>-3.6337468224144072</c:v>
                </c:pt>
                <c:pt idx="473">
                  <c:v>-3.6862790636377669</c:v>
                </c:pt>
                <c:pt idx="474">
                  <c:v>-3.7385428357939974</c:v>
                </c:pt>
                <c:pt idx="475">
                  <c:v>-3.7905418368771815</c:v>
                </c:pt>
                <c:pt idx="476">
                  <c:v>-3.8422797066377945</c:v>
                </c:pt>
                <c:pt idx="477">
                  <c:v>-3.8949576901160072</c:v>
                </c:pt>
                <c:pt idx="478">
                  <c:v>-3.9473697501416138</c:v>
                </c:pt>
                <c:pt idx="479">
                  <c:v>-3.9995196064903022</c:v>
                </c:pt>
                <c:pt idx="480">
                  <c:v>-4.0514109208615645</c:v>
                </c:pt>
                <c:pt idx="481">
                  <c:v>-4.1042212522473749</c:v>
                </c:pt>
                <c:pt idx="482">
                  <c:v>-4.1567686901275334</c:v>
                </c:pt>
                <c:pt idx="483">
                  <c:v>-4.2090569725159375</c:v>
                </c:pt>
                <c:pt idx="484">
                  <c:v>-4.2610897796251486</c:v>
                </c:pt>
                <c:pt idx="485">
                  <c:v>-4.3140577555893014</c:v>
                </c:pt>
                <c:pt idx="486">
                  <c:v>-4.3667659911356873</c:v>
                </c:pt>
                <c:pt idx="487">
                  <c:v>-4.4192182469740162</c:v>
                </c:pt>
                <c:pt idx="488">
                  <c:v>-4.4714182262271276</c:v>
                </c:pt>
                <c:pt idx="489">
                  <c:v>-4.5246043518920871</c:v>
                </c:pt>
                <c:pt idx="490">
                  <c:v>-4.5775337130550495</c:v>
                </c:pt>
                <c:pt idx="491">
                  <c:v>-4.6302101049065794</c:v>
                </c:pt>
                <c:pt idx="492">
                  <c:v>-4.6826372650558969</c:v>
                </c:pt>
                <c:pt idx="493">
                  <c:v>-4.7360303131425256</c:v>
                </c:pt>
                <c:pt idx="494">
                  <c:v>-4.7891701339972936</c:v>
                </c:pt>
                <c:pt idx="495">
                  <c:v>-4.8420605536317458</c:v>
                </c:pt>
                <c:pt idx="496">
                  <c:v>-4.8947053405833323</c:v>
                </c:pt>
                <c:pt idx="497">
                  <c:v>-4.9483311392609144</c:v>
                </c:pt>
                <c:pt idx="498">
                  <c:v>-5.0017074867074189</c:v>
                </c:pt>
                <c:pt idx="499">
                  <c:v>-5.0548382437131796</c:v>
                </c:pt>
                <c:pt idx="500">
                  <c:v>-5.1077272136435958</c:v>
                </c:pt>
                <c:pt idx="501">
                  <c:v>-5.1616121910879409</c:v>
                </c:pt>
                <c:pt idx="502">
                  <c:v>-5.2152517711590978</c:v>
                </c:pt>
                <c:pt idx="503">
                  <c:v>-5.2686498532099977</c:v>
                </c:pt>
                <c:pt idx="504">
                  <c:v>-5.3218102791568267</c:v>
                </c:pt>
                <c:pt idx="505">
                  <c:v>-5.3759489343056313</c:v>
                </c:pt>
                <c:pt idx="506">
                  <c:v>-5.4298468528252721</c:v>
                </c:pt>
                <c:pt idx="507">
                  <c:v>-5.4835079691140898</c:v>
                </c:pt>
                <c:pt idx="508">
                  <c:v>-5.5369361601934832</c:v>
                </c:pt>
                <c:pt idx="509">
                  <c:v>-5.5913585105173889</c:v>
                </c:pt>
                <c:pt idx="510">
                  <c:v>-5.6455451074394034</c:v>
                </c:pt>
                <c:pt idx="511">
                  <c:v>-5.699499924086707</c:v>
                </c:pt>
                <c:pt idx="512">
                  <c:v>-5.7532268761865826</c:v>
                </c:pt>
                <c:pt idx="513">
                  <c:v>-5.8079957298545057</c:v>
                </c:pt>
                <c:pt idx="514">
                  <c:v>-5.8625339108968353</c:v>
                </c:pt>
                <c:pt idx="515">
                  <c:v>-5.91684544149535</c:v>
                </c:pt>
                <c:pt idx="516">
                  <c:v>-5.9709342861850701</c:v>
                </c:pt>
                <c:pt idx="517">
                  <c:v>-6.0260495060554025</c:v>
                </c:pt>
                <c:pt idx="518">
                  <c:v>-6.0809398223863775</c:v>
                </c:pt>
                <c:pt idx="519">
                  <c:v>-6.1356093023163529</c:v>
                </c:pt>
                <c:pt idx="520">
                  <c:v>-6.1900619551230198</c:v>
                </c:pt>
                <c:pt idx="521">
                  <c:v>-6.2455577725375608</c:v>
                </c:pt>
                <c:pt idx="522">
                  <c:v>-6.3008348961069274</c:v>
                </c:pt>
                <c:pt idx="523">
                  <c:v>-6.3558974405632043</c:v>
                </c:pt>
                <c:pt idx="524">
                  <c:v>-6.4107494624436177</c:v>
                </c:pt>
                <c:pt idx="525">
                  <c:v>-6.4666619583006</c:v>
                </c:pt>
                <c:pt idx="526">
                  <c:v>-6.5223624487153202</c:v>
                </c:pt>
                <c:pt idx="527">
                  <c:v>-6.5778550981364923</c:v>
                </c:pt>
                <c:pt idx="528">
                  <c:v>-6.633144012344518</c:v>
                </c:pt>
                <c:pt idx="529">
                  <c:v>-6.6895113494497549</c:v>
                </c:pt>
                <c:pt idx="530">
                  <c:v>-6.7456738849537441</c:v>
                </c:pt>
                <c:pt idx="531">
                  <c:v>-6.8016358345148928</c:v>
                </c:pt>
                <c:pt idx="532">
                  <c:v>-6.8574013544878509</c:v>
                </c:pt>
                <c:pt idx="533">
                  <c:v>-6.914293310210744</c:v>
                </c:pt>
                <c:pt idx="534">
                  <c:v>-6.9709880170906775</c:v>
                </c:pt>
                <c:pt idx="535">
                  <c:v>-7.0274897492850785</c:v>
                </c:pt>
                <c:pt idx="536">
                  <c:v>-7.0838027207008736</c:v>
                </c:pt>
                <c:pt idx="537">
                  <c:v>-7.1412033033087656</c:v>
                </c:pt>
                <c:pt idx="538">
                  <c:v>-7.1984151835039665</c:v>
                </c:pt>
                <c:pt idx="539">
                  <c:v>-7.2554426804738625</c:v>
                </c:pt>
                <c:pt idx="540">
                  <c:v>-7.3122900522385574</c:v>
                </c:pt>
                <c:pt idx="541">
                  <c:v>-7.3703032691770201</c:v>
                </c:pt>
                <c:pt idx="542">
                  <c:v>-7.4281365556752723</c:v>
                </c:pt>
                <c:pt idx="543">
                  <c:v>-7.4857942877208767</c:v>
                </c:pt>
                <c:pt idx="544">
                  <c:v>-7.543280778717353</c:v>
                </c:pt>
                <c:pt idx="545">
                  <c:v>-7.6019260911070194</c:v>
                </c:pt>
                <c:pt idx="546">
                  <c:v>-7.6604010768518025</c:v>
                </c:pt>
                <c:pt idx="547">
                  <c:v>-7.7187101594246084</c:v>
                </c:pt>
                <c:pt idx="548">
                  <c:v>-7.7768576981321456</c:v>
                </c:pt>
                <c:pt idx="549">
                  <c:v>-7.8361869790720826</c:v>
                </c:pt>
                <c:pt idx="550">
                  <c:v>-7.8953561901561153</c:v>
                </c:pt>
                <c:pt idx="551">
                  <c:v>-7.954369798043988</c:v>
                </c:pt>
                <c:pt idx="552">
                  <c:v>-8.0132322033172905</c:v>
                </c:pt>
                <c:pt idx="553">
                  <c:v>-8.0733281994423116</c:v>
                </c:pt>
                <c:pt idx="554">
                  <c:v>-8.1332749114079022</c:v>
                </c:pt>
                <c:pt idx="555">
                  <c:v>-8.1930768490573893</c:v>
                </c:pt>
                <c:pt idx="556">
                  <c:v>-8.2527384537479982</c:v>
                </c:pt>
                <c:pt idx="557">
                  <c:v>-8.3744415854315903</c:v>
                </c:pt>
                <c:pt idx="558">
                  <c:v>-8.4956116365996746</c:v>
                </c:pt>
                <c:pt idx="559">
                  <c:v>-8.6190445280556656</c:v>
                </c:pt>
                <c:pt idx="560">
                  <c:v>-8.7419935634916097</c:v>
                </c:pt>
                <c:pt idx="561">
                  <c:v>-8.8673956217429737</c:v>
                </c:pt>
                <c:pt idx="562">
                  <c:v>-8.9923648354480328</c:v>
                </c:pt>
                <c:pt idx="563">
                  <c:v>-9.1196060083914752</c:v>
                </c:pt>
                <c:pt idx="564">
                  <c:v>-9.2464694859423382</c:v>
                </c:pt>
                <c:pt idx="565">
                  <c:v>-9.3761761423089478</c:v>
                </c:pt>
                <c:pt idx="566">
                  <c:v>-9.5055597332255601</c:v>
                </c:pt>
                <c:pt idx="567">
                  <c:v>-9.6378267349340305</c:v>
                </c:pt>
                <c:pt idx="568">
                  <c:v>-9.769828150629511</c:v>
                </c:pt>
                <c:pt idx="569">
                  <c:v>-9.9042322682850905</c:v>
                </c:pt>
                <c:pt idx="570">
                  <c:v>-10.038432020172765</c:v>
                </c:pt>
                <c:pt idx="571">
                  <c:v>-10.176138528248824</c:v>
                </c:pt>
                <c:pt idx="572">
                  <c:v>-10.313700296687871</c:v>
                </c:pt>
                <c:pt idx="573">
                  <c:v>-10.45377298785224</c:v>
                </c:pt>
                <c:pt idx="574">
                  <c:v>-10.593763663081761</c:v>
                </c:pt>
                <c:pt idx="575">
                  <c:v>-10.737372565649441</c:v>
                </c:pt>
                <c:pt idx="576">
                  <c:v>-10.880960989737087</c:v>
                </c:pt>
                <c:pt idx="577">
                  <c:v>-11.489293347004107</c:v>
                </c:pt>
                <c:pt idx="578">
                  <c:v>-12.099701737529942</c:v>
                </c:pt>
                <c:pt idx="579">
                  <c:v>-13.450560951503391</c:v>
                </c:pt>
                <c:pt idx="580">
                  <c:v>-14.958600023525062</c:v>
                </c:pt>
                <c:pt idx="581">
                  <c:v>-16.637209080020181</c:v>
                </c:pt>
                <c:pt idx="582">
                  <c:v>-18.491807339359195</c:v>
                </c:pt>
                <c:pt idx="583">
                  <c:v>-20.513364392358007</c:v>
                </c:pt>
                <c:pt idx="584">
                  <c:v>-22.686074094609445</c:v>
                </c:pt>
                <c:pt idx="585">
                  <c:v>-24.986027721191114</c:v>
                </c:pt>
                <c:pt idx="586">
                  <c:v>-27.389753336899794</c:v>
                </c:pt>
                <c:pt idx="587">
                  <c:v>-29.876748753632661</c:v>
                </c:pt>
                <c:pt idx="588">
                  <c:v>-32.426087270692875</c:v>
                </c:pt>
                <c:pt idx="589">
                  <c:v>-35.024684744455186</c:v>
                </c:pt>
                <c:pt idx="590">
                  <c:v>-37.659397712023313</c:v>
                </c:pt>
                <c:pt idx="591">
                  <c:v>-40.320516371110813</c:v>
                </c:pt>
                <c:pt idx="592">
                  <c:v>-42.999345135903049</c:v>
                </c:pt>
                <c:pt idx="593">
                  <c:v>-45.68947896253691</c:v>
                </c:pt>
                <c:pt idx="594">
                  <c:v>-48.383851267500944</c:v>
                </c:pt>
                <c:pt idx="595">
                  <c:v>-51.077355205734456</c:v>
                </c:pt>
                <c:pt idx="596">
                  <c:v>-53.764472311048976</c:v>
                </c:pt>
                <c:pt idx="597">
                  <c:v>-56.441515874320778</c:v>
                </c:pt>
                <c:pt idx="598">
                  <c:v>-59.10432881589827</c:v>
                </c:pt>
                <c:pt idx="599">
                  <c:v>-61.750902998161699</c:v>
                </c:pt>
                <c:pt idx="600">
                  <c:v>-64.378962845313211</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235397888"/>
        <c:axId val="235399808"/>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-53.063086870084511</c:v>
                </c:pt>
                <c:pt idx="1">
                  <c:v>-55.570357509225644</c:v>
                </c:pt>
                <c:pt idx="2">
                  <c:v>-57.996771545678122</c:v>
                </c:pt>
                <c:pt idx="3">
                  <c:v>-60.32849624030866</c:v>
                </c:pt>
                <c:pt idx="4">
                  <c:v>-62.553347891642247</c:v>
                </c:pt>
                <c:pt idx="5">
                  <c:v>-64.667273333327273</c:v>
                </c:pt>
                <c:pt idx="6">
                  <c:v>-66.662369898909375</c:v>
                </c:pt>
                <c:pt idx="7">
                  <c:v>-68.537790322154393</c:v>
                </c:pt>
                <c:pt idx="8">
                  <c:v>-70.292266760896212</c:v>
                </c:pt>
                <c:pt idx="9">
                  <c:v>-71.929077050610431</c:v>
                </c:pt>
                <c:pt idx="10">
                  <c:v>-73.450663189510038</c:v>
                </c:pt>
                <c:pt idx="11">
                  <c:v>-74.861805302770136</c:v>
                </c:pt>
                <c:pt idx="12">
                  <c:v>-76.168491147208456</c:v>
                </c:pt>
                <c:pt idx="13">
                  <c:v>-77.375291052248642</c:v>
                </c:pt>
                <c:pt idx="14">
                  <c:v>-78.489313693123378</c:v>
                </c:pt>
                <c:pt idx="15">
                  <c:v>-79.516333553852661</c:v>
                </c:pt>
                <c:pt idx="16">
                  <c:v>-80.462660191163565</c:v>
                </c:pt>
                <c:pt idx="17">
                  <c:v>-81.33427196365804</c:v>
                </c:pt>
                <c:pt idx="18">
                  <c:v>-82.137327634633934</c:v>
                </c:pt>
                <c:pt idx="19">
                  <c:v>-82.877275714217049</c:v>
                </c:pt>
                <c:pt idx="20">
                  <c:v>-83.559667558826177</c:v>
                </c:pt>
                <c:pt idx="21">
                  <c:v>-84.18948396064205</c:v>
                </c:pt>
                <c:pt idx="22">
                  <c:v>-84.771691843402834</c:v>
                </c:pt>
                <c:pt idx="23">
                  <c:v>-85.31069773933207</c:v>
                </c:pt>
                <c:pt idx="24">
                  <c:v>-85.810916206832133</c:v>
                </c:pt>
                <c:pt idx="25">
                  <c:v>-86.27628239641642</c:v>
                </c:pt>
                <c:pt idx="26">
                  <c:v>-86.710673565064184</c:v>
                </c:pt>
                <c:pt idx="27">
                  <c:v>-87.11750239634209</c:v>
                </c:pt>
                <c:pt idx="28">
                  <c:v>-87.50014478649841</c:v>
                </c:pt>
                <c:pt idx="29">
                  <c:v>-87.861557457807777</c:v>
                </c:pt>
                <c:pt idx="30">
                  <c:v>-88.205352162713112</c:v>
                </c:pt>
                <c:pt idx="31">
                  <c:v>-88.533902867123359</c:v>
                </c:pt>
                <c:pt idx="32">
                  <c:v>-88.850188576010481</c:v>
                </c:pt>
                <c:pt idx="33">
                  <c:v>-89.156640338462708</c:v>
                </c:pt>
                <c:pt idx="34">
                  <c:v>-89.456072655716312</c:v>
                </c:pt>
                <c:pt idx="35">
                  <c:v>-89.750834121908312</c:v>
                </c:pt>
                <c:pt idx="36">
                  <c:v>-90.043451629206956</c:v>
                </c:pt>
                <c:pt idx="37">
                  <c:v>-90.336544305692257</c:v>
                </c:pt>
                <c:pt idx="38">
                  <c:v>-90.632295061630941</c:v>
                </c:pt>
                <c:pt idx="39">
                  <c:v>-90.933423912556876</c:v>
                </c:pt>
                <c:pt idx="40">
                  <c:v>-91.242340002130661</c:v>
                </c:pt>
                <c:pt idx="41">
                  <c:v>-91.561648137253883</c:v>
                </c:pt>
                <c:pt idx="42">
                  <c:v>-91.893957127271136</c:v>
                </c:pt>
                <c:pt idx="43">
                  <c:v>-92.242115294088038</c:v>
                </c:pt>
                <c:pt idx="44">
                  <c:v>-92.608894037808909</c:v>
                </c:pt>
                <c:pt idx="45">
                  <c:v>-92.997360395933924</c:v>
                </c:pt>
                <c:pt idx="46">
                  <c:v>-93.41057506791141</c:v>
                </c:pt>
                <c:pt idx="47">
                  <c:v>-93.851928625537525</c:v>
                </c:pt>
                <c:pt idx="48">
                  <c:v>-94.324786413154143</c:v>
                </c:pt>
                <c:pt idx="49">
                  <c:v>-94.832927927101139</c:v>
                </c:pt>
                <c:pt idx="50">
                  <c:v>-95.380127953254984</c:v>
                </c:pt>
                <c:pt idx="51">
                  <c:v>-95.970562385940511</c:v>
                </c:pt>
                <c:pt idx="52">
                  <c:v>-96.608266415311647</c:v>
                </c:pt>
                <c:pt idx="53">
                  <c:v>-97.297627730600595</c:v>
                </c:pt>
                <c:pt idx="54">
                  <c:v>-98.04265433059976</c:v>
                </c:pt>
                <c:pt idx="55">
                  <c:v>-98.849206626651977</c:v>
                </c:pt>
                <c:pt idx="56">
                  <c:v>-99.72078561313009</c:v>
                </c:pt>
                <c:pt idx="57">
                  <c:v>-100.6624429958036</c:v>
                </c:pt>
                <c:pt idx="58">
                  <c:v>-101.67772063739561</c:v>
                </c:pt>
                <c:pt idx="59">
                  <c:v>-102.77120446595676</c:v>
                </c:pt>
                <c:pt idx="60">
                  <c:v>-103.94546627225016</c:v>
                </c:pt>
                <c:pt idx="61">
                  <c:v>-105.20291445670877</c:v>
                </c:pt>
                <c:pt idx="62">
                  <c:v>-106.54531254227877</c:v>
                </c:pt>
                <c:pt idx="63">
                  <c:v>-107.97082331570903</c:v>
                </c:pt>
                <c:pt idx="64">
                  <c:v>-109.47802668246635</c:v>
                </c:pt>
                <c:pt idx="65">
                  <c:v>-111.06143579478682</c:v>
                </c:pt>
                <c:pt idx="66">
                  <c:v>-112.71344215672828</c:v>
                </c:pt>
                <c:pt idx="67">
                  <c:v>-114.42294795875908</c:v>
                </c:pt>
                <c:pt idx="68">
                  <c:v>-116.17625350662051</c:v>
                </c:pt>
                <c:pt idx="69">
                  <c:v>-117.9552867543796</c:v>
                </c:pt>
                <c:pt idx="70">
                  <c:v>-119.73953167406367</c:v>
                </c:pt>
                <c:pt idx="71">
                  <c:v>-121.50487291145308</c:v>
                </c:pt>
                <c:pt idx="72">
                  <c:v>-123.22566420501317</c:v>
                </c:pt>
                <c:pt idx="73">
                  <c:v>-124.87402000054772</c:v>
                </c:pt>
                <c:pt idx="74">
                  <c:v>-126.4224276234966</c:v>
                </c:pt>
                <c:pt idx="75">
                  <c:v>-127.84327759898123</c:v>
                </c:pt>
                <c:pt idx="76">
                  <c:v>-129.11110829064299</c:v>
                </c:pt>
                <c:pt idx="77">
                  <c:v>-130.20227945034097</c:v>
                </c:pt>
                <c:pt idx="78">
                  <c:v>-131.09699946125346</c:v>
                </c:pt>
                <c:pt idx="79">
                  <c:v>-131.77901681256606</c:v>
                </c:pt>
                <c:pt idx="80">
                  <c:v>-132.23782600597235</c:v>
                </c:pt>
                <c:pt idx="81">
                  <c:v>-132.46569034664068</c:v>
                </c:pt>
                <c:pt idx="82">
                  <c:v>-132.46073859980874</c:v>
                </c:pt>
                <c:pt idx="83">
                  <c:v>-132.22585106835351</c:v>
                </c:pt>
                <c:pt idx="84">
                  <c:v>-131.76856288438358</c:v>
                </c:pt>
                <c:pt idx="85">
                  <c:v>-131.10150293377322</c:v>
                </c:pt>
                <c:pt idx="86">
                  <c:v>-130.24154539156231</c:v>
                </c:pt>
                <c:pt idx="87">
                  <c:v>-129.20908960242562</c:v>
                </c:pt>
                <c:pt idx="88">
                  <c:v>-128.02960029855501</c:v>
                </c:pt>
                <c:pt idx="89">
                  <c:v>-126.72941667625823</c:v>
                </c:pt>
                <c:pt idx="90">
                  <c:v>-125.33810483134685</c:v>
                </c:pt>
                <c:pt idx="91">
                  <c:v>-123.88553962539466</c:v>
                </c:pt>
                <c:pt idx="92">
                  <c:v>-122.40174644669605</c:v>
                </c:pt>
                <c:pt idx="93">
                  <c:v>-120.91496940666737</c:v>
                </c:pt>
                <c:pt idx="94">
                  <c:v>-120.54618043614198</c:v>
                </c:pt>
                <c:pt idx="95">
                  <c:v>-120.36133956500616</c:v>
                </c:pt>
                <c:pt idx="96">
                  <c:v>-120.17913624889206</c:v>
                </c:pt>
                <c:pt idx="97">
                  <c:v>-119.99541867991276</c:v>
                </c:pt>
                <c:pt idx="98">
                  <c:v>-119.81441926469057</c:v>
                </c:pt>
                <c:pt idx="99">
                  <c:v>-119.63196719870612</c:v>
                </c:pt>
                <c:pt idx="100">
                  <c:v>-119.45231025994637</c:v>
                </c:pt>
                <c:pt idx="101">
                  <c:v>-119.27140166051188</c:v>
                </c:pt>
                <c:pt idx="102">
                  <c:v>-119.09335720021068</c:v>
                </c:pt>
                <c:pt idx="103">
                  <c:v>-118.91399499293293</c:v>
                </c:pt>
                <c:pt idx="104">
                  <c:v>-118.73756644118177</c:v>
                </c:pt>
                <c:pt idx="105">
                  <c:v>-118.56002241660669</c:v>
                </c:pt>
                <c:pt idx="106">
                  <c:v>-118.38547344396764</c:v>
                </c:pt>
                <c:pt idx="107">
                  <c:v>-118.21000283626543</c:v>
                </c:pt>
                <c:pt idx="108">
                  <c:v>-118.03758057864768</c:v>
                </c:pt>
                <c:pt idx="109">
                  <c:v>-117.86430490212614</c:v>
                </c:pt>
                <c:pt idx="110">
                  <c:v>-117.69412705073809</c:v>
                </c:pt>
                <c:pt idx="111">
                  <c:v>-117.52305500283968</c:v>
                </c:pt>
                <c:pt idx="112">
                  <c:v>-117.35513055189968</c:v>
                </c:pt>
                <c:pt idx="113">
                  <c:v>-117.18650405648729</c:v>
                </c:pt>
                <c:pt idx="114">
                  <c:v>-117.02106678296842</c:v>
                </c:pt>
                <c:pt idx="115">
                  <c:v>-116.85500570368475</c:v>
                </c:pt>
                <c:pt idx="116">
                  <c:v>-116.69217155037668</c:v>
                </c:pt>
                <c:pt idx="117">
                  <c:v>-116.52879445400134</c:v>
                </c:pt>
                <c:pt idx="118">
                  <c:v>-116.36867804760843</c:v>
                </c:pt>
                <c:pt idx="119">
                  <c:v>-116.20819814306876</c:v>
                </c:pt>
                <c:pt idx="120">
                  <c:v>-116.05100479147727</c:v>
                </c:pt>
                <c:pt idx="121">
                  <c:v>-115.89352505580436</c:v>
                </c:pt>
                <c:pt idx="122">
                  <c:v>-115.73935398582039</c:v>
                </c:pt>
                <c:pt idx="123">
                  <c:v>-115.58488692693535</c:v>
                </c:pt>
                <c:pt idx="124">
                  <c:v>-115.43375073579783</c:v>
                </c:pt>
                <c:pt idx="125">
                  <c:v>-115.2824911633318</c:v>
                </c:pt>
                <c:pt idx="126">
                  <c:v>-115.13457699552345</c:v>
                </c:pt>
                <c:pt idx="127">
                  <c:v>-114.98662081763715</c:v>
                </c:pt>
                <c:pt idx="128">
                  <c:v>-114.84202091911925</c:v>
                </c:pt>
                <c:pt idx="129">
                  <c:v>-114.69746121555018</c:v>
                </c:pt>
                <c:pt idx="130">
                  <c:v>-114.55626505343785</c:v>
                </c:pt>
                <c:pt idx="131">
                  <c:v>-114.41519184617935</c:v>
                </c:pt>
                <c:pt idx="132">
                  <c:v>-114.34592272273778</c:v>
                </c:pt>
                <c:pt idx="133">
                  <c:v>-114.27748588896036</c:v>
                </c:pt>
                <c:pt idx="134">
                  <c:v>-114.20827459036678</c:v>
                </c:pt>
                <c:pt idx="135">
                  <c:v>-114.13991582776157</c:v>
                </c:pt>
                <c:pt idx="136">
                  <c:v>-114.07239976366554</c:v>
                </c:pt>
                <c:pt idx="137">
                  <c:v>-114.00571667811879</c:v>
                </c:pt>
                <c:pt idx="138">
                  <c:v>-113.93837118576448</c:v>
                </c:pt>
                <c:pt idx="139">
                  <c:v>-113.87187673488623</c:v>
                </c:pt>
                <c:pt idx="140">
                  <c:v>-113.80622330535911</c:v>
                </c:pt>
                <c:pt idx="141">
                  <c:v>-113.74140100247791</c:v>
                </c:pt>
                <c:pt idx="142">
                  <c:v>-113.67589226495214</c:v>
                </c:pt>
                <c:pt idx="143">
                  <c:v>-113.6112339528151</c:v>
                </c:pt>
                <c:pt idx="144">
                  <c:v>-113.5474158528351</c:v>
                </c:pt>
                <c:pt idx="145">
                  <c:v>-113.48442788516236</c:v>
                </c:pt>
                <c:pt idx="146">
                  <c:v>-113.42082968088931</c:v>
                </c:pt>
                <c:pt idx="147">
                  <c:v>-113.35807958635516</c:v>
                </c:pt>
                <c:pt idx="148">
                  <c:v>-113.29616723040743</c:v>
                </c:pt>
                <c:pt idx="149">
                  <c:v>-113.23508238252633</c:v>
                </c:pt>
                <c:pt idx="150">
                  <c:v>-113.17343107346964</c:v>
                </c:pt>
                <c:pt idx="151">
                  <c:v>-113.11262475975067</c:v>
                </c:pt>
                <c:pt idx="152">
                  <c:v>-113.05265293197282</c:v>
                </c:pt>
                <c:pt idx="153">
                  <c:v>-112.99350522815702</c:v>
                </c:pt>
                <c:pt idx="154">
                  <c:v>-112.93380794915683</c:v>
                </c:pt>
                <c:pt idx="155">
                  <c:v>-112.87495255024731</c:v>
                </c:pt>
                <c:pt idx="156">
                  <c:v>-112.81692838865028</c:v>
                </c:pt>
                <c:pt idx="157">
                  <c:v>-112.75972497559816</c:v>
                </c:pt>
                <c:pt idx="158">
                  <c:v>-112.70201869342038</c:v>
                </c:pt>
                <c:pt idx="159">
                  <c:v>-112.6451503739297</c:v>
                </c:pt>
                <c:pt idx="160">
                  <c:v>-112.58910926076904</c:v>
                </c:pt>
                <c:pt idx="161">
                  <c:v>-112.53388475771003</c:v>
                </c:pt>
                <c:pt idx="162">
                  <c:v>-112.47822845435662</c:v>
                </c:pt>
                <c:pt idx="163">
                  <c:v>-112.42340469984597</c:v>
                </c:pt>
                <c:pt idx="164">
                  <c:v>-112.36940265793399</c:v>
                </c:pt>
                <c:pt idx="165">
                  <c:v>-112.31621165785272</c:v>
                </c:pt>
                <c:pt idx="166">
                  <c:v>-112.26258782120887</c:v>
                </c:pt>
                <c:pt idx="167">
                  <c:v>-112.20979185735868</c:v>
                </c:pt>
                <c:pt idx="168">
                  <c:v>-112.15781284066171</c:v>
                </c:pt>
                <c:pt idx="169">
                  <c:v>-112.10664001639746</c:v>
                </c:pt>
                <c:pt idx="170">
                  <c:v>-112.0551903843695</c:v>
                </c:pt>
                <c:pt idx="171">
                  <c:v>-112.00455976703854</c:v>
                </c:pt>
                <c:pt idx="172">
                  <c:v>-111.95473723729479</c:v>
                </c:pt>
                <c:pt idx="173">
                  <c:v>-111.90571204244429</c:v>
                </c:pt>
                <c:pt idx="174">
                  <c:v>-111.85626758206871</c:v>
                </c:pt>
                <c:pt idx="175">
                  <c:v>-111.80763882676986</c:v>
                </c:pt>
                <c:pt idx="176">
                  <c:v>-111.75981474205085</c:v>
                </c:pt>
                <c:pt idx="177">
                  <c:v>-111.71278447348311</c:v>
                </c:pt>
                <c:pt idx="178">
                  <c:v>-111.66540989498168</c:v>
                </c:pt>
                <c:pt idx="179">
                  <c:v>-111.61884614916518</c:v>
                </c:pt>
                <c:pt idx="180">
                  <c:v>-111.57308212897262</c:v>
                </c:pt>
                <c:pt idx="181">
                  <c:v>-111.52810691226551</c:v>
                </c:pt>
                <c:pt idx="182">
                  <c:v>-111.48303367885683</c:v>
                </c:pt>
                <c:pt idx="183">
                  <c:v>-111.43875873601075</c:v>
                </c:pt>
                <c:pt idx="184">
                  <c:v>-111.39527106649427</c:v>
                </c:pt>
                <c:pt idx="185">
                  <c:v>-111.35255983913929</c:v>
                </c:pt>
                <c:pt idx="186">
                  <c:v>-111.30947366138273</c:v>
                </c:pt>
                <c:pt idx="187">
                  <c:v>-111.26718454610156</c:v>
                </c:pt>
                <c:pt idx="188">
                  <c:v>-111.22568133662006</c:v>
                </c:pt>
                <c:pt idx="189">
                  <c:v>-111.18495306854759</c:v>
                </c:pt>
                <c:pt idx="190">
                  <c:v>-111.1442336536185</c:v>
                </c:pt>
                <c:pt idx="191">
                  <c:v>-111.10429664301857</c:v>
                </c:pt>
                <c:pt idx="192">
                  <c:v>-111.06513102557794</c:v>
                </c:pt>
                <c:pt idx="193">
                  <c:v>-111.02672598202652</c:v>
                </c:pt>
                <c:pt idx="194">
                  <c:v>-110.98809366201017</c:v>
                </c:pt>
                <c:pt idx="195">
                  <c:v>-110.95023983655243</c:v>
                </c:pt>
                <c:pt idx="196">
                  <c:v>-110.91315341880114</c:v>
                </c:pt>
                <c:pt idx="197">
                  <c:v>-110.87682351844776</c:v>
                </c:pt>
                <c:pt idx="198">
                  <c:v>-110.84046848949322</c:v>
                </c:pt>
                <c:pt idx="199">
                  <c:v>-110.8048810898907</c:v>
                </c:pt>
                <c:pt idx="200">
                  <c:v>-110.77005030894766</c:v>
                </c:pt>
                <c:pt idx="201">
                  <c:v>-110.73596533351797</c:v>
                </c:pt>
                <c:pt idx="202">
                  <c:v>-110.70190887416146</c:v>
                </c:pt>
                <c:pt idx="203">
                  <c:v>-110.66860833405126</c:v>
                </c:pt>
                <c:pt idx="204">
                  <c:v>-110.63605280234613</c:v>
                </c:pt>
                <c:pt idx="205">
                  <c:v>-110.60423156606967</c:v>
                </c:pt>
                <c:pt idx="206">
                  <c:v>-110.57238196576937</c:v>
                </c:pt>
                <c:pt idx="207">
                  <c:v>-110.5412809014728</c:v>
                </c:pt>
                <c:pt idx="208">
                  <c:v>-110.51091747353958</c:v>
                </c:pt>
                <c:pt idx="209">
                  <c:v>-110.48128098256304</c:v>
                </c:pt>
                <c:pt idx="210">
                  <c:v>-110.45158124853724</c:v>
                </c:pt>
                <c:pt idx="211">
                  <c:v>-110.42262642904795</c:v>
                </c:pt>
                <c:pt idx="212">
                  <c:v>-110.39440555644778</c:v>
                </c:pt>
                <c:pt idx="213">
                  <c:v>-110.36690786760479</c:v>
                </c:pt>
                <c:pt idx="214">
                  <c:v>-110.33959605068455</c:v>
                </c:pt>
                <c:pt idx="215">
                  <c:v>-110.31301455080262</c:v>
                </c:pt>
                <c:pt idx="216">
                  <c:v>-110.287152577512</c:v>
                </c:pt>
                <c:pt idx="217">
                  <c:v>-110.2619995430227</c:v>
                </c:pt>
                <c:pt idx="218">
                  <c:v>-110.23699552861319</c:v>
                </c:pt>
                <c:pt idx="219">
                  <c:v>-110.21271137624009</c:v>
                </c:pt>
                <c:pt idx="220">
                  <c:v>-110.18913638654382</c:v>
                </c:pt>
                <c:pt idx="221">
                  <c:v>-110.16626006300426</c:v>
                </c:pt>
                <c:pt idx="222">
                  <c:v>-110.14358523745405</c:v>
                </c:pt>
                <c:pt idx="223">
                  <c:v>-110.12161902138169</c:v>
                </c:pt>
                <c:pt idx="224">
                  <c:v>-110.10035082889985</c:v>
                </c:pt>
                <c:pt idx="225">
                  <c:v>-110.07977027649162</c:v>
                </c:pt>
                <c:pt idx="226">
                  <c:v>-110.05937971674165</c:v>
                </c:pt>
                <c:pt idx="227">
                  <c:v>-110.03969004455195</c:v>
                </c:pt>
                <c:pt idx="228">
                  <c:v>-110.02069071278218</c:v>
                </c:pt>
                <c:pt idx="229">
                  <c:v>-110.00237137802567</c:v>
                </c:pt>
                <c:pt idx="230">
                  <c:v>-109.96692273182337</c:v>
                </c:pt>
                <c:pt idx="231">
                  <c:v>-109.95022612973855</c:v>
                </c:pt>
                <c:pt idx="232">
                  <c:v>-109.93420090378665</c:v>
                </c:pt>
                <c:pt idx="233">
                  <c:v>-109.91848020815627</c:v>
                </c:pt>
                <c:pt idx="234">
                  <c:v>-109.90344198056812</c:v>
                </c:pt>
                <c:pt idx="235">
                  <c:v>-109.8890758293644</c:v>
                </c:pt>
                <c:pt idx="236">
                  <c:v>-109.8753715671826</c:v>
                </c:pt>
                <c:pt idx="237">
                  <c:v>-109.86206105475594</c:v>
                </c:pt>
                <c:pt idx="238">
                  <c:v>-109.84941876735149</c:v>
                </c:pt>
                <c:pt idx="239">
                  <c:v>-109.83743451195899</c:v>
                </c:pt>
                <c:pt idx="240">
                  <c:v>-109.82609829687576</c:v>
                </c:pt>
                <c:pt idx="241">
                  <c:v>-109.8151350819147</c:v>
                </c:pt>
                <c:pt idx="242">
                  <c:v>-109.80483281158524</c:v>
                </c:pt>
                <c:pt idx="243">
                  <c:v>-109.79518133695731</c:v>
                </c:pt>
                <c:pt idx="244">
                  <c:v>-109.78617071141124</c:v>
                </c:pt>
                <c:pt idx="245">
                  <c:v>-109.77761256441357</c:v>
                </c:pt>
                <c:pt idx="246">
                  <c:v>-109.76970359563688</c:v>
                </c:pt>
                <c:pt idx="247">
                  <c:v>-109.76243380685987</c:v>
                </c:pt>
                <c:pt idx="248">
                  <c:v>-109.75579340029616</c:v>
                </c:pt>
                <c:pt idx="249">
                  <c:v>-109.74963359215194</c:v>
                </c:pt>
                <c:pt idx="250">
                  <c:v>-109.74411405241476</c:v>
                </c:pt>
                <c:pt idx="251">
                  <c:v>-109.73922487187832</c:v>
                </c:pt>
                <c:pt idx="252">
                  <c:v>-109.73495634147703</c:v>
                </c:pt>
                <c:pt idx="253">
                  <c:v>-109.73122807798039</c:v>
                </c:pt>
                <c:pt idx="254">
                  <c:v>-109.72812716781968</c:v>
                </c:pt>
                <c:pt idx="255">
                  <c:v>-109.72564388745604</c:v>
                </c:pt>
                <c:pt idx="256">
                  <c:v>-109.72376871053865</c:v>
                </c:pt>
                <c:pt idx="257">
                  <c:v>-109.72246711007921</c:v>
                </c:pt>
                <c:pt idx="258">
                  <c:v>-109.72178583302569</c:v>
                </c:pt>
                <c:pt idx="259">
                  <c:v>-109.7217152090173</c:v>
                </c:pt>
                <c:pt idx="260">
                  <c:v>-109.722245765447</c:v>
                </c:pt>
                <c:pt idx="261">
                  <c:v>-109.72340054039557</c:v>
                </c:pt>
                <c:pt idx="262">
                  <c:v>-109.72516470370593</c:v>
                </c:pt>
                <c:pt idx="263">
                  <c:v>-109.72752873266467</c:v>
                </c:pt>
                <c:pt idx="264">
                  <c:v>-109.73048330026735</c:v>
                </c:pt>
                <c:pt idx="265">
                  <c:v>-109.73410438219808</c:v>
                </c:pt>
                <c:pt idx="266">
                  <c:v>-109.73832343670335</c:v>
                </c:pt>
                <c:pt idx="267">
                  <c:v>-109.74313110405177</c:v>
                </c:pt>
                <c:pt idx="268">
                  <c:v>-109.74851821769417</c:v>
                </c:pt>
                <c:pt idx="269">
                  <c:v>-109.75462668475379</c:v>
                </c:pt>
                <c:pt idx="270">
                  <c:v>-109.76132406741941</c:v>
                </c:pt>
                <c:pt idx="271">
                  <c:v>-109.76860111769294</c:v>
                </c:pt>
                <c:pt idx="272">
                  <c:v>-109.77644877958329</c:v>
                </c:pt>
                <c:pt idx="273">
                  <c:v>-109.78506322878019</c:v>
                </c:pt>
                <c:pt idx="274">
                  <c:v>-109.79425691806104</c:v>
                </c:pt>
                <c:pt idx="275">
                  <c:v>-109.80402072940421</c:v>
                </c:pt>
                <c:pt idx="276">
                  <c:v>-109.81434573507012</c:v>
                </c:pt>
                <c:pt idx="277">
                  <c:v>-109.82545454782489</c:v>
                </c:pt>
                <c:pt idx="278">
                  <c:v>-109.83712986036494</c:v>
                </c:pt>
                <c:pt idx="279">
                  <c:v>-109.84936276068828</c:v>
                </c:pt>
                <c:pt idx="280">
                  <c:v>-109.8621445231842</c:v>
                </c:pt>
                <c:pt idx="281">
                  <c:v>-109.87583491018127</c:v>
                </c:pt>
                <c:pt idx="282">
                  <c:v>-109.89008622220449</c:v>
                </c:pt>
                <c:pt idx="283">
                  <c:v>-109.9048895883911</c:v>
                </c:pt>
                <c:pt idx="284">
                  <c:v>-109.9202363249246</c:v>
                </c:pt>
                <c:pt idx="285">
                  <c:v>-109.93643740962801</c:v>
                </c:pt>
                <c:pt idx="286">
                  <c:v>-109.95318590675298</c:v>
                </c:pt>
                <c:pt idx="287">
                  <c:v>-109.97047317752981</c:v>
                </c:pt>
                <c:pt idx="288">
                  <c:v>-109.98829076550456</c:v>
                </c:pt>
                <c:pt idx="289">
                  <c:v>-110.0071115446456</c:v>
                </c:pt>
                <c:pt idx="290">
                  <c:v>-110.02647296548399</c:v>
                </c:pt>
                <c:pt idx="291">
                  <c:v>-110.04636646612049</c:v>
                </c:pt>
                <c:pt idx="292">
                  <c:v>-110.06678366655133</c:v>
                </c:pt>
                <c:pt idx="293">
                  <c:v>-110.08820613245175</c:v>
                </c:pt>
                <c:pt idx="294">
                  <c:v>-110.11015959908453</c:v>
                </c:pt>
                <c:pt idx="295">
                  <c:v>-110.13263565292227</c:v>
                </c:pt>
                <c:pt idx="296">
                  <c:v>-110.15562605986267</c:v>
                </c:pt>
                <c:pt idx="297">
                  <c:v>-110.17965927218181</c:v>
                </c:pt>
                <c:pt idx="298">
                  <c:v>-110.20421347504015</c:v>
                </c:pt>
                <c:pt idx="299">
                  <c:v>-110.22928041592347</c:v>
                </c:pt>
                <c:pt idx="300">
                  <c:v>-110.25485201886879</c:v>
                </c:pt>
                <c:pt idx="301">
                  <c:v>-110.28150173533892</c:v>
                </c:pt>
                <c:pt idx="302">
                  <c:v>-110.30866213937621</c:v>
                </c:pt>
                <c:pt idx="303">
                  <c:v>-110.33632515032727</c:v>
                </c:pt>
                <c:pt idx="304">
                  <c:v>-110.364482860862</c:v>
                </c:pt>
                <c:pt idx="305">
                  <c:v>-110.39386543530406</c:v>
                </c:pt>
                <c:pt idx="306">
                  <c:v>-110.42375199624203</c:v>
                </c:pt>
                <c:pt idx="307">
                  <c:v>-110.45413455353577</c:v>
                </c:pt>
                <c:pt idx="308">
                  <c:v>-110.48500528942546</c:v>
                </c:pt>
                <c:pt idx="309">
                  <c:v>-110.51702232802687</c:v>
                </c:pt>
                <c:pt idx="310">
                  <c:v>-110.54953239350249</c:v>
                </c:pt>
                <c:pt idx="311">
                  <c:v>-110.58252769085276</c:v>
                </c:pt>
                <c:pt idx="312">
                  <c:v>-110.61600059348309</c:v>
                </c:pt>
                <c:pt idx="313">
                  <c:v>-110.65077732932994</c:v>
                </c:pt>
                <c:pt idx="314">
                  <c:v>-110.6860395736034</c:v>
                </c:pt>
                <c:pt idx="315">
                  <c:v>-110.72177964906548</c:v>
                </c:pt>
                <c:pt idx="316">
                  <c:v>-110.75799004509129</c:v>
                </c:pt>
                <c:pt idx="317">
                  <c:v>-110.79554217206859</c:v>
                </c:pt>
                <c:pt idx="318">
                  <c:v>-110.83357186617953</c:v>
                </c:pt>
                <c:pt idx="319">
                  <c:v>-110.87207158188414</c:v>
                </c:pt>
                <c:pt idx="320">
                  <c:v>-110.9110339380334</c:v>
                </c:pt>
                <c:pt idx="321">
                  <c:v>-110.95137376769371</c:v>
                </c:pt>
                <c:pt idx="322">
                  <c:v>-110.9921828780208</c:v>
                </c:pt>
                <c:pt idx="323">
                  <c:v>-111.03345386734297</c:v>
                </c:pt>
                <c:pt idx="324">
                  <c:v>-111.07517949577341</c:v>
                </c:pt>
                <c:pt idx="325">
                  <c:v>-111.11831630926149</c:v>
                </c:pt>
                <c:pt idx="326">
                  <c:v>-111.16191384419291</c:v>
                </c:pt>
                <c:pt idx="327">
                  <c:v>-111.20596485324727</c:v>
                </c:pt>
                <c:pt idx="328">
                  <c:v>-111.25046224794576</c:v>
                </c:pt>
                <c:pt idx="329">
                  <c:v>-111.29647983399531</c:v>
                </c:pt>
                <c:pt idx="330">
                  <c:v>-111.34295087747608</c:v>
                </c:pt>
                <c:pt idx="331">
                  <c:v>-111.38986825910298</c:v>
                </c:pt>
                <c:pt idx="332">
                  <c:v>-111.43722501622538</c:v>
                </c:pt>
                <c:pt idx="333">
                  <c:v>-111.4860562483389</c:v>
                </c:pt>
                <c:pt idx="334">
                  <c:v>-111.53533192246023</c:v>
                </c:pt>
                <c:pt idx="335">
                  <c:v>-111.58504509252447</c:v>
                </c:pt>
                <c:pt idx="336">
                  <c:v>-111.63518896554292</c:v>
                </c:pt>
                <c:pt idx="337">
                  <c:v>-111.68700157641175</c:v>
                </c:pt>
                <c:pt idx="338">
                  <c:v>-111.73925230196595</c:v>
                </c:pt>
                <c:pt idx="339">
                  <c:v>-111.79193431078203</c:v>
                </c:pt>
                <c:pt idx="340">
                  <c:v>-111.84504092264204</c:v>
                </c:pt>
                <c:pt idx="341">
                  <c:v>-111.89985116663654</c:v>
                </c:pt>
                <c:pt idx="342">
                  <c:v>-111.95509286606564</c:v>
                </c:pt>
                <c:pt idx="343">
                  <c:v>-112.0107593162833</c:v>
                </c:pt>
                <c:pt idx="344">
                  <c:v>-112.06684396160006</c:v>
                </c:pt>
                <c:pt idx="345">
                  <c:v>-112.12457694107181</c:v>
                </c:pt>
                <c:pt idx="346">
                  <c:v>-112.18273317340001</c:v>
                </c:pt>
                <c:pt idx="347">
                  <c:v>-112.24130612085125</c:v>
                </c:pt>
                <c:pt idx="348">
                  <c:v>-112.30028939118833</c:v>
                </c:pt>
                <c:pt idx="349">
                  <c:v>-112.36113020159561</c:v>
                </c:pt>
                <c:pt idx="350">
                  <c:v>-112.42238846658356</c:v>
                </c:pt>
                <c:pt idx="351">
                  <c:v>-112.4840577642519</c:v>
                </c:pt>
                <c:pt idx="352">
                  <c:v>-112.54613181622135</c:v>
                </c:pt>
                <c:pt idx="353">
                  <c:v>-112.6100967369906</c:v>
                </c:pt>
                <c:pt idx="354">
                  <c:v>-112.67447304127867</c:v>
                </c:pt>
                <c:pt idx="355">
                  <c:v>-112.73925443398576</c:v>
                </c:pt>
                <c:pt idx="356">
                  <c:v>-112.80443476121263</c:v>
                </c:pt>
                <c:pt idx="357">
                  <c:v>-112.87144198790625</c:v>
                </c:pt>
                <c:pt idx="358">
                  <c:v>-112.93885317829746</c:v>
                </c:pt>
                <c:pt idx="359">
                  <c:v>-113.0066621994476</c:v>
                </c:pt>
                <c:pt idx="360">
                  <c:v>-113.07486305621939</c:v>
                </c:pt>
                <c:pt idx="361">
                  <c:v>-113.14511319109151</c:v>
                </c:pt>
                <c:pt idx="362">
                  <c:v>-113.21576203920155</c:v>
                </c:pt>
                <c:pt idx="363">
                  <c:v>-113.28680358519591</c:v>
                </c:pt>
                <c:pt idx="364">
                  <c:v>-113.35823194943076</c:v>
                </c:pt>
                <c:pt idx="365">
                  <c:v>-113.43164143443505</c:v>
                </c:pt>
                <c:pt idx="366">
                  <c:v>-113.50544311445078</c:v>
                </c:pt>
                <c:pt idx="367">
                  <c:v>-113.57963112507687</c:v>
                </c:pt>
                <c:pt idx="368">
                  <c:v>-113.65419973450707</c:v>
                </c:pt>
                <c:pt idx="369">
                  <c:v>-113.73098085095582</c:v>
                </c:pt>
                <c:pt idx="370">
                  <c:v>-113.8081496428468</c:v>
                </c:pt>
                <c:pt idx="371">
                  <c:v>-113.88570035698464</c:v>
                </c:pt>
                <c:pt idx="372">
                  <c:v>-113.96362737082721</c:v>
                </c:pt>
                <c:pt idx="373">
                  <c:v>-114.04369475674301</c:v>
                </c:pt>
                <c:pt idx="374">
                  <c:v>-114.12414411445791</c:v>
                </c:pt>
                <c:pt idx="375">
                  <c:v>-114.20496983331493</c:v>
                </c:pt>
                <c:pt idx="376">
                  <c:v>-114.28616643040229</c:v>
                </c:pt>
                <c:pt idx="377">
                  <c:v>-114.36974307833151</c:v>
                </c:pt>
                <c:pt idx="378">
                  <c:v>-114.45369785040765</c:v>
                </c:pt>
                <c:pt idx="379">
                  <c:v>-114.53802524297177</c:v>
                </c:pt>
                <c:pt idx="380">
                  <c:v>-114.62271987825591</c:v>
                </c:pt>
                <c:pt idx="381">
                  <c:v>-114.70961077365565</c:v>
                </c:pt>
                <c:pt idx="382">
                  <c:v>-114.79687392996458</c:v>
                </c:pt>
                <c:pt idx="383">
                  <c:v>-114.88450399946871</c:v>
                </c:pt>
                <c:pt idx="384">
                  <c:v>-114.97249575697987</c:v>
                </c:pt>
                <c:pt idx="385">
                  <c:v>-115.06303813148865</c:v>
                </c:pt>
                <c:pt idx="386">
                  <c:v>-115.15394961296496</c:v>
                </c:pt>
                <c:pt idx="387">
                  <c:v>-115.24522495665603</c:v>
                </c:pt>
                <c:pt idx="388">
                  <c:v>-115.33685903855803</c:v>
                </c:pt>
                <c:pt idx="389">
                  <c:v>-115.43096435372578</c:v>
                </c:pt>
                <c:pt idx="390">
                  <c:v>-115.52543460527598</c:v>
                </c:pt>
                <c:pt idx="391">
                  <c:v>-115.62026467863105</c:v>
                </c:pt>
                <c:pt idx="392">
                  <c:v>-115.71544957733011</c:v>
                </c:pt>
                <c:pt idx="393">
                  <c:v>-115.81313398206636</c:v>
                </c:pt>
                <c:pt idx="394">
                  <c:v>-115.9111791286612</c:v>
                </c:pt>
                <c:pt idx="395">
                  <c:v>-116.00958003839354</c:v>
                </c:pt>
                <c:pt idx="396">
                  <c:v>-116.10833184782133</c:v>
                </c:pt>
                <c:pt idx="397">
                  <c:v>-116.20983991658601</c:v>
                </c:pt>
                <c:pt idx="398">
                  <c:v>-116.31170615793597</c:v>
                </c:pt>
                <c:pt idx="399">
                  <c:v>-116.41392570099489</c:v>
                </c:pt>
                <c:pt idx="400">
                  <c:v>-116.51649378815871</c:v>
                </c:pt>
                <c:pt idx="401">
                  <c:v>-116.62173277507732</c:v>
                </c:pt>
                <c:pt idx="402">
                  <c:v>-116.72732650638856</c:v>
                </c:pt>
                <c:pt idx="403">
                  <c:v>-116.83327024213696</c:v>
                </c:pt>
                <c:pt idx="404">
                  <c:v>-116.93955935288534</c:v>
                </c:pt>
                <c:pt idx="405">
                  <c:v>-117.04866487838414</c:v>
                </c:pt>
                <c:pt idx="406">
                  <c:v>-117.15812251085245</c:v>
                </c:pt>
                <c:pt idx="407">
                  <c:v>-117.26792763078608</c:v>
                </c:pt>
                <c:pt idx="408">
                  <c:v>-117.37807572672912</c:v>
                </c:pt>
                <c:pt idx="409">
                  <c:v>-117.49118859116271</c:v>
                </c:pt>
                <c:pt idx="410">
                  <c:v>-117.60465166954873</c:v>
                </c:pt>
                <c:pt idx="411">
                  <c:v>-117.7184604538801</c:v>
                </c:pt>
                <c:pt idx="412">
                  <c:v>-117.8326105419622</c:v>
                </c:pt>
                <c:pt idx="413">
                  <c:v>-117.94975567126278</c:v>
                </c:pt>
                <c:pt idx="414">
                  <c:v>-118.06724911440826</c:v>
                </c:pt>
                <c:pt idx="415">
                  <c:v>-118.18508648065604</c:v>
                </c:pt>
                <c:pt idx="416">
                  <c:v>-118.30326348260985</c:v>
                </c:pt>
                <c:pt idx="417">
                  <c:v>-118.42458716164784</c:v>
                </c:pt>
                <c:pt idx="418">
                  <c:v>-118.54625798377535</c:v>
                </c:pt>
                <c:pt idx="419">
                  <c:v>-118.66827166731144</c:v>
                </c:pt>
                <c:pt idx="420">
                  <c:v>-118.79062403165385</c:v>
                </c:pt>
                <c:pt idx="421">
                  <c:v>-118.91603015418494</c:v>
                </c:pt>
                <c:pt idx="422">
                  <c:v>-119.04178159403567</c:v>
                </c:pt>
                <c:pt idx="423">
                  <c:v>-119.16787419577203</c:v>
                </c:pt>
                <c:pt idx="424">
                  <c:v>-119.29430390216304</c:v>
                </c:pt>
                <c:pt idx="425">
                  <c:v>-119.42419008241359</c:v>
                </c:pt>
                <c:pt idx="426">
                  <c:v>-119.55442184170612</c:v>
                </c:pt>
                <c:pt idx="427">
                  <c:v>-119.68499511848326</c:v>
                </c:pt>
                <c:pt idx="428">
                  <c:v>-119.81590594745316</c:v>
                </c:pt>
                <c:pt idx="429">
                  <c:v>-119.95018017171442</c:v>
                </c:pt>
                <c:pt idx="430">
                  <c:v>-120.08479959240039</c:v>
                </c:pt>
                <c:pt idx="431">
                  <c:v>-120.21976025852257</c:v>
                </c:pt>
                <c:pt idx="432">
                  <c:v>-120.35505831280398</c:v>
                </c:pt>
                <c:pt idx="433">
                  <c:v>-120.49375029252381</c:v>
                </c:pt>
                <c:pt idx="434">
                  <c:v>-120.63278716914157</c:v>
                </c:pt>
                <c:pt idx="435">
                  <c:v>-120.77216510515782</c:v>
                </c:pt>
                <c:pt idx="436">
                  <c:v>-120.91188035403145</c:v>
                </c:pt>
                <c:pt idx="437">
                  <c:v>-121.05527698964254</c:v>
                </c:pt>
                <c:pt idx="438">
                  <c:v>-121.19901956896221</c:v>
                </c:pt>
                <c:pt idx="439">
                  <c:v>-121.3431043498322</c:v>
                </c:pt>
                <c:pt idx="440">
                  <c:v>-121.48752767874603</c:v>
                </c:pt>
                <c:pt idx="441">
                  <c:v>-121.6356654867825</c:v>
                </c:pt>
                <c:pt idx="442">
                  <c:v>-121.78415034782293</c:v>
                </c:pt>
                <c:pt idx="443">
                  <c:v>-121.93297861818768</c:v>
                </c:pt>
                <c:pt idx="444">
                  <c:v>-122.08214674029765</c:v>
                </c:pt>
                <c:pt idx="445">
                  <c:v>-122.23506189649235</c:v>
                </c:pt>
                <c:pt idx="446">
                  <c:v>-122.38832530608146</c:v>
                </c:pt>
                <c:pt idx="447">
                  <c:v>-122.54193342563867</c:v>
                </c:pt>
                <c:pt idx="448">
                  <c:v>-122.69588279506293</c:v>
                </c:pt>
                <c:pt idx="449">
                  <c:v>-122.85387599416204</c:v>
                </c:pt>
                <c:pt idx="450">
                  <c:v>-123.01221992846308</c:v>
                </c:pt>
                <c:pt idx="451">
                  <c:v>-123.17091113808195</c:v>
                </c:pt>
                <c:pt idx="452">
                  <c:v>-123.32994624400968</c:v>
                </c:pt>
                <c:pt idx="453">
                  <c:v>-123.49292681229888</c:v>
                </c:pt>
                <c:pt idx="454">
                  <c:v>-123.65626009402807</c:v>
                </c:pt>
                <c:pt idx="455">
                  <c:v>-123.81994272229119</c:v>
                </c:pt>
                <c:pt idx="456">
                  <c:v>-123.98397140808672</c:v>
                </c:pt>
                <c:pt idx="457">
                  <c:v>-124.15224787399951</c:v>
                </c:pt>
                <c:pt idx="458">
                  <c:v>-124.32088028125369</c:v>
                </c:pt>
                <c:pt idx="459">
                  <c:v>-124.48986533903813</c:v>
                </c:pt>
                <c:pt idx="460">
                  <c:v>-124.65919983173252</c:v>
                </c:pt>
                <c:pt idx="461">
                  <c:v>-124.83281814605262</c:v>
                </c:pt>
                <c:pt idx="462">
                  <c:v>-125.00679570369361</c:v>
                </c:pt>
                <c:pt idx="463">
                  <c:v>-125.1811292890835</c:v>
                </c:pt>
                <c:pt idx="464">
                  <c:v>-125.35581575884859</c:v>
                </c:pt>
                <c:pt idx="465">
                  <c:v>-125.53495862323783</c:v>
                </c:pt>
                <c:pt idx="466">
                  <c:v>-125.71446466669491</c:v>
                </c:pt>
                <c:pt idx="467">
                  <c:v>-125.89433073921781</c:v>
                </c:pt>
                <c:pt idx="468">
                  <c:v>-126.07455375995153</c:v>
                </c:pt>
                <c:pt idx="469">
                  <c:v>-126.25927018702943</c:v>
                </c:pt>
                <c:pt idx="470">
                  <c:v>-126.44435378879641</c:v>
                </c:pt>
                <c:pt idx="471">
                  <c:v>-126.62980147736592</c:v>
                </c:pt>
                <c:pt idx="472">
                  <c:v>-126.81561023065427</c:v>
                </c:pt>
                <c:pt idx="473">
                  <c:v>-127.00622721980881</c:v>
                </c:pt>
                <c:pt idx="474">
                  <c:v>-127.19721651401302</c:v>
                </c:pt>
                <c:pt idx="475">
                  <c:v>-127.38857506901883</c:v>
                </c:pt>
                <c:pt idx="476">
                  <c:v>-127.58029990310953</c:v>
                </c:pt>
                <c:pt idx="477">
                  <c:v>-127.77687259895652</c:v>
                </c:pt>
                <c:pt idx="478">
                  <c:v>-127.97382273214683</c:v>
                </c:pt>
                <c:pt idx="479">
                  <c:v>-128.17114729611765</c:v>
                </c:pt>
                <c:pt idx="480">
                  <c:v>-128.36884334321647</c:v>
                </c:pt>
                <c:pt idx="481">
                  <c:v>-128.57142655004031</c:v>
                </c:pt>
                <c:pt idx="482">
                  <c:v>-128.77439230831448</c:v>
                </c:pt>
                <c:pt idx="483">
                  <c:v>-128.977737640984</c:v>
                </c:pt>
                <c:pt idx="484">
                  <c:v>-129.18145962593869</c:v>
                </c:pt>
                <c:pt idx="485">
                  <c:v>-129.39024998798612</c:v>
                </c:pt>
                <c:pt idx="486">
                  <c:v>-129.59942849290761</c:v>
                </c:pt>
                <c:pt idx="487">
                  <c:v>-129.80899217668252</c:v>
                </c:pt>
                <c:pt idx="488">
                  <c:v>-130.01893812606411</c:v>
                </c:pt>
                <c:pt idx="489">
                  <c:v>-130.2342792359288</c:v>
                </c:pt>
                <c:pt idx="490">
                  <c:v>-130.45001501738201</c:v>
                </c:pt>
                <c:pt idx="491">
                  <c:v>-130.6661424952143</c:v>
                </c:pt>
                <c:pt idx="492">
                  <c:v>-130.88265874068568</c:v>
                </c:pt>
                <c:pt idx="493">
                  <c:v>-131.10461303035999</c:v>
                </c:pt>
                <c:pt idx="494">
                  <c:v>-131.32696832751083</c:v>
                </c:pt>
                <c:pt idx="495">
                  <c:v>-131.54972163123432</c:v>
                </c:pt>
                <c:pt idx="496">
                  <c:v>-131.77286998234976</c:v>
                </c:pt>
                <c:pt idx="497">
                  <c:v>-132.00164414852455</c:v>
                </c:pt>
                <c:pt idx="498">
                  <c:v>-132.23082591363271</c:v>
                </c:pt>
                <c:pt idx="499">
                  <c:v>-132.46041222778402</c:v>
                </c:pt>
                <c:pt idx="500">
                  <c:v>-132.69040007771252</c:v>
                </c:pt>
                <c:pt idx="501">
                  <c:v>-132.92620350422524</c:v>
                </c:pt>
                <c:pt idx="502">
                  <c:v>-133.16242127512882</c:v>
                </c:pt>
                <c:pt idx="503">
                  <c:v>-133.39905026518679</c:v>
                </c:pt>
                <c:pt idx="504">
                  <c:v>-133.63608738028731</c:v>
                </c:pt>
                <c:pt idx="505">
                  <c:v>-133.8789842620441</c:v>
                </c:pt>
                <c:pt idx="506">
                  <c:v>-134.12230175991363</c:v>
                </c:pt>
                <c:pt idx="507">
                  <c:v>-134.36603664928086</c:v>
                </c:pt>
                <c:pt idx="508">
                  <c:v>-134.61018573064689</c:v>
                </c:pt>
                <c:pt idx="509">
                  <c:v>-134.86038635604174</c:v>
                </c:pt>
                <c:pt idx="510">
                  <c:v>-135.11101377994171</c:v>
                </c:pt>
                <c:pt idx="511">
                  <c:v>-135.36206464466227</c:v>
                </c:pt>
                <c:pt idx="512">
                  <c:v>-135.61353561116678</c:v>
                </c:pt>
                <c:pt idx="513">
                  <c:v>-135.87140083022072</c:v>
                </c:pt>
                <c:pt idx="514">
                  <c:v>-136.12969927860578</c:v>
                </c:pt>
                <c:pt idx="515">
                  <c:v>-136.38842742149004</c:v>
                </c:pt>
                <c:pt idx="516">
                  <c:v>-136.64758173574279</c:v>
                </c:pt>
                <c:pt idx="517">
                  <c:v>-136.91317589342762</c:v>
                </c:pt>
                <c:pt idx="518">
                  <c:v>-137.17920875957518</c:v>
                </c:pt>
                <c:pt idx="519">
                  <c:v>-137.44567658541496</c:v>
                </c:pt>
                <c:pt idx="520">
                  <c:v>-137.71257562634599</c:v>
                </c:pt>
                <c:pt idx="521">
                  <c:v>-137.98611000672705</c:v>
                </c:pt>
                <c:pt idx="522">
                  <c:v>-138.26008791848989</c:v>
                </c:pt>
                <c:pt idx="523">
                  <c:v>-138.53450535089695</c:v>
                </c:pt>
                <c:pt idx="524">
                  <c:v>-138.80935828928</c:v>
                </c:pt>
                <c:pt idx="525">
                  <c:v>-139.09104269046674</c:v>
                </c:pt>
                <c:pt idx="526">
                  <c:v>-139.37317454094637</c:v>
                </c:pt>
                <c:pt idx="527">
                  <c:v>-139.65574951428189</c:v>
                </c:pt>
                <c:pt idx="528">
                  <c:v>-139.93876327142272</c:v>
                </c:pt>
                <c:pt idx="529">
                  <c:v>-140.22880484507135</c:v>
                </c:pt>
                <c:pt idx="530">
                  <c:v>-140.51929659666106</c:v>
                </c:pt>
                <c:pt idx="531">
                  <c:v>-140.8102338241865</c:v>
                </c:pt>
                <c:pt idx="532">
                  <c:v>-141.10161180376224</c:v>
                </c:pt>
                <c:pt idx="533">
                  <c:v>-141.40036799512458</c:v>
                </c:pt>
                <c:pt idx="534">
                  <c:v>-141.69957604439441</c:v>
                </c:pt>
                <c:pt idx="535">
                  <c:v>-141.99923079961735</c:v>
                </c:pt>
                <c:pt idx="536">
                  <c:v>-142.29932707706661</c:v>
                </c:pt>
                <c:pt idx="537">
                  <c:v>-142.60668792094626</c:v>
                </c:pt>
                <c:pt idx="538">
                  <c:v>-142.91449948726554</c:v>
                </c:pt>
                <c:pt idx="539">
                  <c:v>-143.22275611683676</c:v>
                </c:pt>
                <c:pt idx="540">
                  <c:v>-143.53145210843124</c:v>
                </c:pt>
                <c:pt idx="541">
                  <c:v>-143.84791745350662</c:v>
                </c:pt>
                <c:pt idx="542">
                  <c:v>-144.16483101195107</c:v>
                </c:pt>
                <c:pt idx="543">
                  <c:v>-144.48218651994907</c:v>
                </c:pt>
                <c:pt idx="544">
                  <c:v>-144.79997766078699</c:v>
                </c:pt>
                <c:pt idx="545">
                  <c:v>-145.12557439469674</c:v>
                </c:pt>
                <c:pt idx="546">
                  <c:v>-145.45161362278554</c:v>
                </c:pt>
                <c:pt idx="547">
                  <c:v>-145.77808839785234</c:v>
                </c:pt>
                <c:pt idx="548">
                  <c:v>-146.10499170873959</c:v>
                </c:pt>
                <c:pt idx="549">
                  <c:v>-146.43988961001537</c:v>
                </c:pt>
                <c:pt idx="550">
                  <c:v>-146.77522103457795</c:v>
                </c:pt>
                <c:pt idx="551">
                  <c:v>-147.11097825779541</c:v>
                </c:pt>
                <c:pt idx="552">
                  <c:v>-147.44715347992445</c:v>
                </c:pt>
                <c:pt idx="553">
                  <c:v>-147.79166708533904</c:v>
                </c:pt>
                <c:pt idx="554">
                  <c:v>-148.13660182087531</c:v>
                </c:pt>
                <c:pt idx="555">
                  <c:v>-148.48194907219903</c:v>
                </c:pt>
                <c:pt idx="556">
                  <c:v>-148.82770013870618</c:v>
                </c:pt>
                <c:pt idx="557">
                  <c:v>-149.53664645609877</c:v>
                </c:pt>
                <c:pt idx="558">
                  <c:v>-150.24717128001078</c:v>
                </c:pt>
                <c:pt idx="559">
                  <c:v>-150.97553409097421</c:v>
                </c:pt>
                <c:pt idx="560">
                  <c:v>-151.70538167153182</c:v>
                </c:pt>
                <c:pt idx="561">
                  <c:v>-152.45399273653521</c:v>
                </c:pt>
                <c:pt idx="562">
                  <c:v>-153.20397361125981</c:v>
                </c:pt>
                <c:pt idx="563">
                  <c:v>-153.97136187829639</c:v>
                </c:pt>
                <c:pt idx="564">
                  <c:v>-154.73997290033699</c:v>
                </c:pt>
                <c:pt idx="565">
                  <c:v>-155.52911778688804</c:v>
                </c:pt>
                <c:pt idx="566">
                  <c:v>-156.31931754842384</c:v>
                </c:pt>
                <c:pt idx="567">
                  <c:v>-157.12991747376918</c:v>
                </c:pt>
                <c:pt idx="568">
                  <c:v>-157.94136848079449</c:v>
                </c:pt>
                <c:pt idx="569">
                  <c:v>-158.76978759587013</c:v>
                </c:pt>
                <c:pt idx="570">
                  <c:v>-159.59881110544129</c:v>
                </c:pt>
                <c:pt idx="571">
                  <c:v>-160.45106935498501</c:v>
                </c:pt>
                <c:pt idx="572">
                  <c:v>-161.30365362227775</c:v>
                </c:pt>
                <c:pt idx="573">
                  <c:v>-162.1726774140337</c:v>
                </c:pt>
                <c:pt idx="574">
                  <c:v>-163.04170071327934</c:v>
                </c:pt>
                <c:pt idx="575">
                  <c:v>-163.93332491701267</c:v>
                </c:pt>
                <c:pt idx="576">
                  <c:v>-164.82457698221253</c:v>
                </c:pt>
                <c:pt idx="577">
                  <c:v>-168.58925024706272</c:v>
                </c:pt>
                <c:pt idx="578">
                  <c:v>-172.32933274549376</c:v>
                </c:pt>
                <c:pt idx="579">
                  <c:v>-180.36997966403658</c:v>
                </c:pt>
                <c:pt idx="580">
                  <c:v>-188.81742091908663</c:v>
                </c:pt>
                <c:pt idx="581">
                  <c:v>-197.462188637509</c:v>
                </c:pt>
                <c:pt idx="582">
                  <c:v>-206.0825552475587</c:v>
                </c:pt>
                <c:pt idx="583">
                  <c:v>-214.45220754334863</c:v>
                </c:pt>
                <c:pt idx="584">
                  <c:v>-222.39762622649491</c:v>
                </c:pt>
                <c:pt idx="585">
                  <c:v>-229.79189745134698</c:v>
                </c:pt>
                <c:pt idx="586">
                  <c:v>-236.57118022724512</c:v>
                </c:pt>
                <c:pt idx="587">
                  <c:v>-242.71863044333355</c:v>
                </c:pt>
                <c:pt idx="588">
                  <c:v>-248.23794612421651</c:v>
                </c:pt>
                <c:pt idx="589">
                  <c:v>-253.15959188167861</c:v>
                </c:pt>
                <c:pt idx="590">
                  <c:v>-257.5145157469683</c:v>
                </c:pt>
                <c:pt idx="591">
                  <c:v>-261.33822957620146</c:v>
                </c:pt>
                <c:pt idx="592">
                  <c:v>-264.66526898549535</c:v>
                </c:pt>
                <c:pt idx="593">
                  <c:v>-267.53106571496573</c:v>
                </c:pt>
                <c:pt idx="594">
                  <c:v>-269.96925444724218</c:v>
                </c:pt>
                <c:pt idx="595">
                  <c:v>-272.01539968189434</c:v>
                </c:pt>
                <c:pt idx="596">
                  <c:v>-273.705270539943</c:v>
                </c:pt>
                <c:pt idx="597">
                  <c:v>-275.07665966623193</c:v>
                </c:pt>
                <c:pt idx="598">
                  <c:v>-276.1676577139815</c:v>
                </c:pt>
                <c:pt idx="599">
                  <c:v>-277.01737805647394</c:v>
                </c:pt>
                <c:pt idx="600">
                  <c:v>-277.66409768496317</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235401984"/>
        <c:axId val="235403520"/>
      </c:scatterChart>
      <c:valAx>
        <c:axId val="23539788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399808"/>
        <c:crossesAt val="-40"/>
        <c:crossBetween val="midCat"/>
        <c:majorUnit val="10"/>
        <c:minorUnit val="10"/>
      </c:valAx>
      <c:valAx>
        <c:axId val="235399808"/>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5397888"/>
        <c:crossesAt val="0.1"/>
        <c:crossBetween val="midCat"/>
        <c:majorUnit val="20"/>
        <c:minorUnit val="4"/>
      </c:valAx>
      <c:valAx>
        <c:axId val="235401984"/>
        <c:scaling>
          <c:logBase val="10"/>
          <c:orientation val="minMax"/>
        </c:scaling>
        <c:delete val="1"/>
        <c:axPos val="t"/>
        <c:numFmt formatCode="General" sourceLinked="1"/>
        <c:majorTickMark val="out"/>
        <c:minorTickMark val="none"/>
        <c:tickLblPos val="none"/>
        <c:crossAx val="235403520"/>
        <c:crossesAt val="0"/>
        <c:crossBetween val="midCat"/>
      </c:valAx>
      <c:valAx>
        <c:axId val="23540352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54019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103.76250593059312</c:v>
                </c:pt>
                <c:pt idx="1">
                  <c:v>103.23535706288351</c:v>
                </c:pt>
                <c:pt idx="2">
                  <c:v>102.67618092377404</c:v>
                </c:pt>
                <c:pt idx="3">
                  <c:v>102.0872226364047</c:v>
                </c:pt>
                <c:pt idx="4">
                  <c:v>101.47135536702841</c:v>
                </c:pt>
                <c:pt idx="5">
                  <c:v>100.83010923526786</c:v>
                </c:pt>
                <c:pt idx="6">
                  <c:v>100.16695189492432</c:v>
                </c:pt>
                <c:pt idx="7">
                  <c:v>99.483962775938522</c:v>
                </c:pt>
                <c:pt idx="8">
                  <c:v>98.784026515101303</c:v>
                </c:pt>
                <c:pt idx="9">
                  <c:v>98.068828847444308</c:v>
                </c:pt>
                <c:pt idx="10">
                  <c:v>97.340796871649275</c:v>
                </c:pt>
                <c:pt idx="11">
                  <c:v>96.601646186074518</c:v>
                </c:pt>
                <c:pt idx="12">
                  <c:v>95.852589563444454</c:v>
                </c:pt>
                <c:pt idx="13">
                  <c:v>95.095760210768418</c:v>
                </c:pt>
                <c:pt idx="14">
                  <c:v>94.331786413678955</c:v>
                </c:pt>
                <c:pt idx="15">
                  <c:v>93.562022060260617</c:v>
                </c:pt>
                <c:pt idx="16">
                  <c:v>92.787317594529966</c:v>
                </c:pt>
                <c:pt idx="17">
                  <c:v>92.008562329541519</c:v>
                </c:pt>
                <c:pt idx="18">
                  <c:v>91.226191288913085</c:v>
                </c:pt>
                <c:pt idx="19">
                  <c:v>90.440973963695626</c:v>
                </c:pt>
                <c:pt idx="20">
                  <c:v>89.653225662563727</c:v>
                </c:pt>
                <c:pt idx="21">
                  <c:v>88.863503598963959</c:v>
                </c:pt>
                <c:pt idx="22">
                  <c:v>88.071971469922772</c:v>
                </c:pt>
                <c:pt idx="23">
                  <c:v>87.279103076374128</c:v>
                </c:pt>
                <c:pt idx="24">
                  <c:v>86.48492847539417</c:v>
                </c:pt>
                <c:pt idx="25">
                  <c:v>85.68976326598937</c:v>
                </c:pt>
                <c:pt idx="26">
                  <c:v>84.893581892674419</c:v>
                </c:pt>
                <c:pt idx="27">
                  <c:v>84.096769841522303</c:v>
                </c:pt>
                <c:pt idx="28">
                  <c:v>83.299404905577944</c:v>
                </c:pt>
                <c:pt idx="29">
                  <c:v>82.502071610107507</c:v>
                </c:pt>
                <c:pt idx="30">
                  <c:v>81.703493112073389</c:v>
                </c:pt>
                <c:pt idx="31">
                  <c:v>80.904841974602249</c:v>
                </c:pt>
                <c:pt idx="32">
                  <c:v>80.105620925237204</c:v>
                </c:pt>
                <c:pt idx="33">
                  <c:v>79.306432699802883</c:v>
                </c:pt>
                <c:pt idx="34">
                  <c:v>78.506684076513139</c:v>
                </c:pt>
                <c:pt idx="35">
                  <c:v>77.706838736160194</c:v>
                </c:pt>
                <c:pt idx="36">
                  <c:v>76.906778922690961</c:v>
                </c:pt>
                <c:pt idx="37">
                  <c:v>76.106069169439536</c:v>
                </c:pt>
                <c:pt idx="38">
                  <c:v>75.305458199267306</c:v>
                </c:pt>
                <c:pt idx="39">
                  <c:v>74.50427724921424</c:v>
                </c:pt>
                <c:pt idx="40">
                  <c:v>73.702794304744032</c:v>
                </c:pt>
                <c:pt idx="41">
                  <c:v>72.900893008074618</c:v>
                </c:pt>
                <c:pt idx="42">
                  <c:v>72.098622174924159</c:v>
                </c:pt>
                <c:pt idx="43">
                  <c:v>71.295667736600009</c:v>
                </c:pt>
                <c:pt idx="44">
                  <c:v>70.492145838991604</c:v>
                </c:pt>
                <c:pt idx="45">
                  <c:v>69.687774949399582</c:v>
                </c:pt>
                <c:pt idx="46">
                  <c:v>68.882572288470143</c:v>
                </c:pt>
                <c:pt idx="47">
                  <c:v>68.076188948130337</c:v>
                </c:pt>
                <c:pt idx="48">
                  <c:v>67.268612286198177</c:v>
                </c:pt>
                <c:pt idx="49">
                  <c:v>66.459382902038172</c:v>
                </c:pt>
                <c:pt idx="50">
                  <c:v>65.648322867330705</c:v>
                </c:pt>
                <c:pt idx="51">
                  <c:v>64.83488190060298</c:v>
                </c:pt>
                <c:pt idx="52">
                  <c:v>64.018890155313144</c:v>
                </c:pt>
                <c:pt idx="53">
                  <c:v>63.199809201820578</c:v>
                </c:pt>
                <c:pt idx="54">
                  <c:v>62.377553186850633</c:v>
                </c:pt>
                <c:pt idx="55">
                  <c:v>61.550025394787838</c:v>
                </c:pt>
                <c:pt idx="56">
                  <c:v>60.717553039461748</c:v>
                </c:pt>
                <c:pt idx="57">
                  <c:v>59.878610387114023</c:v>
                </c:pt>
                <c:pt idx="58">
                  <c:v>59.032683348216935</c:v>
                </c:pt>
                <c:pt idx="59">
                  <c:v>58.17784030993208</c:v>
                </c:pt>
                <c:pt idx="60">
                  <c:v>57.313102481712789</c:v>
                </c:pt>
                <c:pt idx="61">
                  <c:v>56.436698066638954</c:v>
                </c:pt>
                <c:pt idx="62">
                  <c:v>55.546316980233613</c:v>
                </c:pt>
                <c:pt idx="63">
                  <c:v>54.640801350839226</c:v>
                </c:pt>
                <c:pt idx="64">
                  <c:v>53.717266197880434</c:v>
                </c:pt>
                <c:pt idx="65">
                  <c:v>52.773782359587585</c:v>
                </c:pt>
                <c:pt idx="66">
                  <c:v>51.807945476585502</c:v>
                </c:pt>
                <c:pt idx="67">
                  <c:v>50.817596024818307</c:v>
                </c:pt>
                <c:pt idx="68">
                  <c:v>49.800273281453364</c:v>
                </c:pt>
                <c:pt idx="69">
                  <c:v>48.754322859060871</c:v>
                </c:pt>
                <c:pt idx="70">
                  <c:v>47.677983404921719</c:v>
                </c:pt>
                <c:pt idx="71">
                  <c:v>46.57042000207251</c:v>
                </c:pt>
                <c:pt idx="72">
                  <c:v>45.430951979656633</c:v>
                </c:pt>
                <c:pt idx="73">
                  <c:v>44.260118157678193</c:v>
                </c:pt>
                <c:pt idx="74">
                  <c:v>43.058630594027449</c:v>
                </c:pt>
                <c:pt idx="75">
                  <c:v>41.828448317403392</c:v>
                </c:pt>
                <c:pt idx="76">
                  <c:v>40.571796979351326</c:v>
                </c:pt>
                <c:pt idx="77">
                  <c:v>39.292272370498964</c:v>
                </c:pt>
                <c:pt idx="78">
                  <c:v>37.993619830363329</c:v>
                </c:pt>
                <c:pt idx="79">
                  <c:v>36.680933182163272</c:v>
                </c:pt>
                <c:pt idx="80">
                  <c:v>35.356621713372014</c:v>
                </c:pt>
                <c:pt idx="81">
                  <c:v>34.027408125620234</c:v>
                </c:pt>
                <c:pt idx="82">
                  <c:v>32.697403401515913</c:v>
                </c:pt>
                <c:pt idx="83">
                  <c:v>31.372573898804205</c:v>
                </c:pt>
                <c:pt idx="84">
                  <c:v>30.056810751984745</c:v>
                </c:pt>
                <c:pt idx="85">
                  <c:v>28.755542927576595</c:v>
                </c:pt>
                <c:pt idx="86">
                  <c:v>27.472906028693242</c:v>
                </c:pt>
                <c:pt idx="87">
                  <c:v>26.212101712814079</c:v>
                </c:pt>
                <c:pt idx="88">
                  <c:v>24.977636736502781</c:v>
                </c:pt>
                <c:pt idx="89">
                  <c:v>23.771151431462968</c:v>
                </c:pt>
                <c:pt idx="90">
                  <c:v>22.595020198582301</c:v>
                </c:pt>
                <c:pt idx="91">
                  <c:v>21.450280305552898</c:v>
                </c:pt>
                <c:pt idx="92">
                  <c:v>20.337465093258025</c:v>
                </c:pt>
                <c:pt idx="93">
                  <c:v>19.25591795141727</c:v>
                </c:pt>
                <c:pt idx="94">
                  <c:v>18.990453340271731</c:v>
                </c:pt>
                <c:pt idx="95">
                  <c:v>18.85761373850211</c:v>
                </c:pt>
                <c:pt idx="96">
                  <c:v>18.726761321326045</c:v>
                </c:pt>
                <c:pt idx="97">
                  <c:v>18.594877102754271</c:v>
                </c:pt>
                <c:pt idx="98">
                  <c:v>18.464963060400851</c:v>
                </c:pt>
                <c:pt idx="99">
                  <c:v>18.333989099903654</c:v>
                </c:pt>
                <c:pt idx="100">
                  <c:v>18.204968997124489</c:v>
                </c:pt>
                <c:pt idx="101">
                  <c:v>18.074960978701384</c:v>
                </c:pt>
                <c:pt idx="102">
                  <c:v>17.94688821915425</c:v>
                </c:pt>
                <c:pt idx="103">
                  <c:v>17.817707652751601</c:v>
                </c:pt>
                <c:pt idx="104">
                  <c:v>17.690447224874688</c:v>
                </c:pt>
                <c:pt idx="105">
                  <c:v>17.562152253558658</c:v>
                </c:pt>
                <c:pt idx="106">
                  <c:v>17.435759987620479</c:v>
                </c:pt>
                <c:pt idx="107">
                  <c:v>17.308401416740889</c:v>
                </c:pt>
                <c:pt idx="108">
                  <c:v>17.182926049642248</c:v>
                </c:pt>
                <c:pt idx="109">
                  <c:v>17.056462416934281</c:v>
                </c:pt>
                <c:pt idx="110">
                  <c:v>16.931863155439981</c:v>
                </c:pt>
                <c:pt idx="111">
                  <c:v>16.806173711118721</c:v>
                </c:pt>
                <c:pt idx="112">
                  <c:v>16.682332807772791</c:v>
                </c:pt>
                <c:pt idx="113">
                  <c:v>16.557470865793515</c:v>
                </c:pt>
                <c:pt idx="114">
                  <c:v>16.43443956610286</c:v>
                </c:pt>
                <c:pt idx="115">
                  <c:v>16.310373460507492</c:v>
                </c:pt>
                <c:pt idx="116">
                  <c:v>16.188120534391736</c:v>
                </c:pt>
                <c:pt idx="117">
                  <c:v>16.064821365141928</c:v>
                </c:pt>
                <c:pt idx="118">
                  <c:v>15.943318286884594</c:v>
                </c:pt>
                <c:pt idx="119">
                  <c:v>15.820833400351045</c:v>
                </c:pt>
                <c:pt idx="120">
                  <c:v>15.70012571098067</c:v>
                </c:pt>
                <c:pt idx="121">
                  <c:v>15.578424642638398</c:v>
                </c:pt>
                <c:pt idx="122">
                  <c:v>15.458482348461899</c:v>
                </c:pt>
                <c:pt idx="123">
                  <c:v>15.337467551242428</c:v>
                </c:pt>
                <c:pt idx="124">
                  <c:v>15.218195513536596</c:v>
                </c:pt>
                <c:pt idx="125">
                  <c:v>15.097914796404069</c:v>
                </c:pt>
                <c:pt idx="126">
                  <c:v>14.97935908831673</c:v>
                </c:pt>
                <c:pt idx="127">
                  <c:v>14.859788608382926</c:v>
                </c:pt>
                <c:pt idx="128">
                  <c:v>14.741925726600343</c:v>
                </c:pt>
                <c:pt idx="129">
                  <c:v>14.623043539093</c:v>
                </c:pt>
                <c:pt idx="130">
                  <c:v>14.505851844076915</c:v>
                </c:pt>
                <c:pt idx="131">
                  <c:v>14.387637738378864</c:v>
                </c:pt>
                <c:pt idx="132">
                  <c:v>14.329161220004972</c:v>
                </c:pt>
                <c:pt idx="133">
                  <c:v>14.271097295237254</c:v>
                </c:pt>
                <c:pt idx="134">
                  <c:v>14.212074580272882</c:v>
                </c:pt>
                <c:pt idx="135">
                  <c:v>14.153472383301962</c:v>
                </c:pt>
                <c:pt idx="136">
                  <c:v>14.095284850045573</c:v>
                </c:pt>
                <c:pt idx="137">
                  <c:v>14.037506242166351</c:v>
                </c:pt>
                <c:pt idx="138">
                  <c:v>13.978832934609592</c:v>
                </c:pt>
                <c:pt idx="139">
                  <c:v>13.920575550435954</c:v>
                </c:pt>
                <c:pt idx="140">
                  <c:v>13.862728309277433</c:v>
                </c:pt>
                <c:pt idx="141">
                  <c:v>13.805285545394796</c:v>
                </c:pt>
                <c:pt idx="142">
                  <c:v>13.746893797504043</c:v>
                </c:pt>
                <c:pt idx="143">
                  <c:v>13.688914277123661</c:v>
                </c:pt>
                <c:pt idx="144">
                  <c:v>13.631341260677912</c:v>
                </c:pt>
                <c:pt idx="145">
                  <c:v>13.574169138323143</c:v>
                </c:pt>
                <c:pt idx="146">
                  <c:v>13.516081870438629</c:v>
                </c:pt>
                <c:pt idx="147">
                  <c:v>13.45840275533309</c:v>
                </c:pt>
                <c:pt idx="148">
                  <c:v>13.401126135569925</c:v>
                </c:pt>
                <c:pt idx="149">
                  <c:v>13.344246466267087</c:v>
                </c:pt>
                <c:pt idx="150">
                  <c:v>13.286456815913963</c:v>
                </c:pt>
                <c:pt idx="151">
                  <c:v>13.229071290264542</c:v>
                </c:pt>
                <c:pt idx="152">
                  <c:v>13.172084298457428</c:v>
                </c:pt>
                <c:pt idx="153">
                  <c:v>13.115490360962831</c:v>
                </c:pt>
                <c:pt idx="154">
                  <c:v>13.057965611580967</c:v>
                </c:pt>
                <c:pt idx="155">
                  <c:v>13.000841368717673</c:v>
                </c:pt>
                <c:pt idx="156">
                  <c:v>12.944112100946306</c:v>
                </c:pt>
                <c:pt idx="157">
                  <c:v>12.887772387105077</c:v>
                </c:pt>
                <c:pt idx="158">
                  <c:v>12.83050882090631</c:v>
                </c:pt>
                <c:pt idx="159">
                  <c:v>12.773642151772037</c:v>
                </c:pt>
                <c:pt idx="160">
                  <c:v>12.71716690880011</c:v>
                </c:pt>
                <c:pt idx="161">
                  <c:v>12.66107773022599</c:v>
                </c:pt>
                <c:pt idx="162">
                  <c:v>12.604096873149144</c:v>
                </c:pt>
                <c:pt idx="163">
                  <c:v>12.54750896995542</c:v>
                </c:pt>
                <c:pt idx="164">
                  <c:v>12.491308618321998</c:v>
                </c:pt>
                <c:pt idx="165">
                  <c:v>12.435490523691914</c:v>
                </c:pt>
                <c:pt idx="166">
                  <c:v>12.378738649250804</c:v>
                </c:pt>
                <c:pt idx="167">
                  <c:v>12.322376490791838</c:v>
                </c:pt>
                <c:pt idx="168">
                  <c:v>12.266398701190441</c:v>
                </c:pt>
                <c:pt idx="169">
                  <c:v>12.210800040041153</c:v>
                </c:pt>
                <c:pt idx="170">
                  <c:v>12.154394353734839</c:v>
                </c:pt>
                <c:pt idx="171">
                  <c:v>12.098373518157846</c:v>
                </c:pt>
                <c:pt idx="172">
                  <c:v>12.042732275724351</c:v>
                </c:pt>
                <c:pt idx="173">
                  <c:v>11.987465473581906</c:v>
                </c:pt>
                <c:pt idx="174">
                  <c:v>11.931188822701408</c:v>
                </c:pt>
                <c:pt idx="175">
                  <c:v>11.875295087209651</c:v>
                </c:pt>
                <c:pt idx="176">
                  <c:v>11.819779040145541</c:v>
                </c:pt>
                <c:pt idx="177">
                  <c:v>11.764635558829184</c:v>
                </c:pt>
                <c:pt idx="178">
                  <c:v>11.708517260995796</c:v>
                </c:pt>
                <c:pt idx="179">
                  <c:v>11.652779513603964</c:v>
                </c:pt>
                <c:pt idx="180">
                  <c:v>11.597417130064613</c:v>
                </c:pt>
                <c:pt idx="181">
                  <c:v>11.542425027333927</c:v>
                </c:pt>
                <c:pt idx="182">
                  <c:v>11.486709379512408</c:v>
                </c:pt>
                <c:pt idx="183">
                  <c:v>11.431368606983499</c:v>
                </c:pt>
                <c:pt idx="184">
                  <c:v>11.3763976316328</c:v>
                </c:pt>
                <c:pt idx="185">
                  <c:v>11.321791476326018</c:v>
                </c:pt>
                <c:pt idx="186">
                  <c:v>11.266061180749196</c:v>
                </c:pt>
                <c:pt idx="187">
                  <c:v>11.210705673394886</c:v>
                </c:pt>
                <c:pt idx="188">
                  <c:v>11.155719872064155</c:v>
                </c:pt>
                <c:pt idx="189">
                  <c:v>11.10109879592877</c:v>
                </c:pt>
                <c:pt idx="190">
                  <c:v>11.04580551087604</c:v>
                </c:pt>
                <c:pt idx="191">
                  <c:v>10.990880870636541</c:v>
                </c:pt>
                <c:pt idx="192">
                  <c:v>10.936319912143235</c:v>
                </c:pt>
                <c:pt idx="193">
                  <c:v>10.882117770808421</c:v>
                </c:pt>
                <c:pt idx="194">
                  <c:v>10.826862650323527</c:v>
                </c:pt>
                <c:pt idx="195">
                  <c:v>10.771975335208348</c:v>
                </c:pt>
                <c:pt idx="196">
                  <c:v>10.717450875175595</c:v>
                </c:pt>
                <c:pt idx="197">
                  <c:v>10.663284418314456</c:v>
                </c:pt>
                <c:pt idx="198">
                  <c:v>10.608296734133123</c:v>
                </c:pt>
                <c:pt idx="199">
                  <c:v>10.553672962789332</c:v>
                </c:pt>
                <c:pt idx="200">
                  <c:v>10.499408228781682</c:v>
                </c:pt>
                <c:pt idx="201">
                  <c:v>10.44549775322608</c:v>
                </c:pt>
                <c:pt idx="202">
                  <c:v>10.390792909416209</c:v>
                </c:pt>
                <c:pt idx="203">
                  <c:v>10.336447888244004</c:v>
                </c:pt>
                <c:pt idx="204">
                  <c:v>10.282457893298124</c:v>
                </c:pt>
                <c:pt idx="205">
                  <c:v>10.228818222895706</c:v>
                </c:pt>
                <c:pt idx="206">
                  <c:v>10.174224166052174</c:v>
                </c:pt>
                <c:pt idx="207">
                  <c:v>10.119988096633907</c:v>
                </c:pt>
                <c:pt idx="208">
                  <c:v>10.066105252791292</c:v>
                </c:pt>
                <c:pt idx="209">
                  <c:v>10.012570966666763</c:v>
                </c:pt>
                <c:pt idx="210">
                  <c:v>9.9579331484497828</c:v>
                </c:pt>
                <c:pt idx="211">
                  <c:v>9.9036534890715142</c:v>
                </c:pt>
                <c:pt idx="212">
                  <c:v>9.8497272218828975</c:v>
                </c:pt>
                <c:pt idx="213">
                  <c:v>9.7961496745064398</c:v>
                </c:pt>
                <c:pt idx="214">
                  <c:v>9.7418586027869143</c:v>
                </c:pt>
                <c:pt idx="215">
                  <c:v>9.6879207631339543</c:v>
                </c:pt>
                <c:pt idx="216">
                  <c:v>9.6343314857587252</c:v>
                </c:pt>
                <c:pt idx="217">
                  <c:v>9.5810861927406243</c:v>
                </c:pt>
                <c:pt idx="218">
                  <c:v>9.5269779985153829</c:v>
                </c:pt>
                <c:pt idx="219">
                  <c:v>9.4732202508433598</c:v>
                </c:pt>
                <c:pt idx="220">
                  <c:v>9.4198083345464099</c:v>
                </c:pt>
                <c:pt idx="221">
                  <c:v>9.36673772500626</c:v>
                </c:pt>
                <c:pt idx="222">
                  <c:v>9.3128321979824147</c:v>
                </c:pt>
                <c:pt idx="223">
                  <c:v>9.2592740818849446</c:v>
                </c:pt>
                <c:pt idx="224">
                  <c:v>9.2060588212835945</c:v>
                </c:pt>
                <c:pt idx="225">
                  <c:v>9.1531819498537104</c:v>
                </c:pt>
                <c:pt idx="226">
                  <c:v>9.0993338373124359</c:v>
                </c:pt>
                <c:pt idx="227">
                  <c:v>9.0458319677459258</c:v>
                </c:pt>
                <c:pt idx="228">
                  <c:v>8.992671809108586</c:v>
                </c:pt>
                <c:pt idx="229">
                  <c:v>8.9398489179394272</c:v>
                </c:pt>
                <c:pt idx="230">
                  <c:v>8.8326691781292954</c:v>
                </c:pt>
                <c:pt idx="231">
                  <c:v>8.7795918666245196</c:v>
                </c:pt>
                <c:pt idx="232">
                  <c:v>8.7268503470538921</c:v>
                </c:pt>
                <c:pt idx="233">
                  <c:v>8.6732001288506932</c:v>
                </c:pt>
                <c:pt idx="234">
                  <c:v>8.6198927464813959</c:v>
                </c:pt>
                <c:pt idx="235">
                  <c:v>8.5669237364588788</c:v>
                </c:pt>
                <c:pt idx="236">
                  <c:v>8.5142887222362553</c:v>
                </c:pt>
                <c:pt idx="237">
                  <c:v>8.4609255280207538</c:v>
                </c:pt>
                <c:pt idx="238">
                  <c:v>8.4079010832120424</c:v>
                </c:pt>
                <c:pt idx="239">
                  <c:v>8.3552110050804895</c:v>
                </c:pt>
                <c:pt idx="240">
                  <c:v>8.3028509957996199</c:v>
                </c:pt>
                <c:pt idx="241">
                  <c:v>8.2494906570114104</c:v>
                </c:pt>
                <c:pt idx="242">
                  <c:v>8.1964685896591458</c:v>
                </c:pt>
                <c:pt idx="243">
                  <c:v>8.1437804219504724</c:v>
                </c:pt>
                <c:pt idx="244">
                  <c:v>8.0914218667511211</c:v>
                </c:pt>
                <c:pt idx="245">
                  <c:v>8.0382392841800492</c:v>
                </c:pt>
                <c:pt idx="246">
                  <c:v>7.9853922884810293</c:v>
                </c:pt>
                <c:pt idx="247">
                  <c:v>7.9328765615273849</c:v>
                </c:pt>
                <c:pt idx="248">
                  <c:v>7.8806878684979385</c:v>
                </c:pt>
                <c:pt idx="249">
                  <c:v>7.82756103502415</c:v>
                </c:pt>
                <c:pt idx="250">
                  <c:v>7.7747686455383915</c:v>
                </c:pt>
                <c:pt idx="251">
                  <c:v>7.7223064059513131</c:v>
                </c:pt>
                <c:pt idx="252">
                  <c:v>7.6701701048795945</c:v>
                </c:pt>
                <c:pt idx="253">
                  <c:v>7.6172624563097155</c:v>
                </c:pt>
                <c:pt idx="254">
                  <c:v>7.5646860672620351</c:v>
                </c:pt>
                <c:pt idx="255">
                  <c:v>7.5124367068284332</c:v>
                </c:pt>
                <c:pt idx="256">
                  <c:v>7.4605102252006086</c:v>
                </c:pt>
                <c:pt idx="257">
                  <c:v>7.4075697658661195</c:v>
                </c:pt>
                <c:pt idx="258">
                  <c:v>7.3549605362715775</c:v>
                </c:pt>
                <c:pt idx="259">
                  <c:v>7.3026783083930553</c:v>
                </c:pt>
                <c:pt idx="260">
                  <c:v>7.2507189352320083</c:v>
                </c:pt>
                <c:pt idx="261">
                  <c:v>7.1979083725522717</c:v>
                </c:pt>
                <c:pt idx="262">
                  <c:v>7.1454269833366437</c:v>
                </c:pt>
                <c:pt idx="263">
                  <c:v>7.0932705811406729</c:v>
                </c:pt>
                <c:pt idx="264">
                  <c:v>7.0414350594793307</c:v>
                </c:pt>
                <c:pt idx="265">
                  <c:v>6.9887750988853705</c:v>
                </c:pt>
                <c:pt idx="266">
                  <c:v>6.93644200824337</c:v>
                </c:pt>
                <c:pt idx="267">
                  <c:v>6.8844316472744005</c:v>
                </c:pt>
                <c:pt idx="268">
                  <c:v>6.83273995447367</c:v>
                </c:pt>
                <c:pt idx="269">
                  <c:v>6.7801258141004395</c:v>
                </c:pt>
                <c:pt idx="270">
                  <c:v>6.7278375440513862</c:v>
                </c:pt>
                <c:pt idx="271">
                  <c:v>6.675871025434521</c:v>
                </c:pt>
                <c:pt idx="272">
                  <c:v>6.6242222175696384</c:v>
                </c:pt>
                <c:pt idx="273">
                  <c:v>6.5716801787107642</c:v>
                </c:pt>
                <c:pt idx="274">
                  <c:v>6.5194626893583791</c:v>
                </c:pt>
                <c:pt idx="275">
                  <c:v>6.467565658033231</c:v>
                </c:pt>
                <c:pt idx="276">
                  <c:v>6.4159850707488797</c:v>
                </c:pt>
                <c:pt idx="277">
                  <c:v>6.3636571058562819</c:v>
                </c:pt>
                <c:pt idx="278">
                  <c:v>6.3116506328143016</c:v>
                </c:pt>
                <c:pt idx="279">
                  <c:v>6.2599616200814108</c:v>
                </c:pt>
                <c:pt idx="280">
                  <c:v>6.2085861120707513</c:v>
                </c:pt>
                <c:pt idx="281">
                  <c:v>6.1561412238809723</c:v>
                </c:pt>
                <c:pt idx="282">
                  <c:v>6.1040188342590787</c:v>
                </c:pt>
                <c:pt idx="283">
                  <c:v>6.0522148951898522</c:v>
                </c:pt>
                <c:pt idx="284">
                  <c:v>6.0007254349870873</c:v>
                </c:pt>
                <c:pt idx="285">
                  <c:v>5.9485373332641629</c:v>
                </c:pt>
                <c:pt idx="286">
                  <c:v>5.8966681661877693</c:v>
                </c:pt>
                <c:pt idx="287">
                  <c:v>5.8451139547830033</c:v>
                </c:pt>
                <c:pt idx="288">
                  <c:v>5.7938707946361836</c:v>
                </c:pt>
                <c:pt idx="289">
                  <c:v>5.741621586789889</c:v>
                </c:pt>
                <c:pt idx="290">
                  <c:v>5.6896916357063585</c:v>
                </c:pt>
                <c:pt idx="291">
                  <c:v>5.6380769586624258</c:v>
                </c:pt>
                <c:pt idx="292">
                  <c:v>5.5867736475425254</c:v>
                </c:pt>
                <c:pt idx="293">
                  <c:v>5.5346029984229332</c:v>
                </c:pt>
                <c:pt idx="294">
                  <c:v>5.4827502273383866</c:v>
                </c:pt>
                <c:pt idx="295">
                  <c:v>5.431211379417209</c:v>
                </c:pt>
                <c:pt idx="296">
                  <c:v>5.3799825736518345</c:v>
                </c:pt>
                <c:pt idx="297">
                  <c:v>5.327913306574187</c:v>
                </c:pt>
                <c:pt idx="298">
                  <c:v>5.2761602660972216</c:v>
                </c:pt>
                <c:pt idx="299">
                  <c:v>5.2247195300643279</c:v>
                </c:pt>
                <c:pt idx="300">
                  <c:v>5.1735872493177943</c:v>
                </c:pt>
                <c:pt idx="301">
                  <c:v>5.1216403587085466</c:v>
                </c:pt>
                <c:pt idx="302">
                  <c:v>5.0700077950106355</c:v>
                </c:pt>
                <c:pt idx="303">
                  <c:v>5.0186856731283092</c:v>
                </c:pt>
                <c:pt idx="304">
                  <c:v>4.967670179992191</c:v>
                </c:pt>
                <c:pt idx="305">
                  <c:v>4.9156662928855699</c:v>
                </c:pt>
                <c:pt idx="306">
                  <c:v>4.863976998988754</c:v>
                </c:pt>
                <c:pt idx="307">
                  <c:v>4.8125984100136767</c:v>
                </c:pt>
                <c:pt idx="308">
                  <c:v>4.7615267097165761</c:v>
                </c:pt>
                <c:pt idx="309">
                  <c:v>4.7096915511748012</c:v>
                </c:pt>
                <c:pt idx="310">
                  <c:v>4.6581685322048818</c:v>
                </c:pt>
                <c:pt idx="311">
                  <c:v>4.6069538113205661</c:v>
                </c:pt>
                <c:pt idx="312">
                  <c:v>4.5560436178664805</c:v>
                </c:pt>
                <c:pt idx="313">
                  <c:v>4.5042036027661227</c:v>
                </c:pt>
                <c:pt idx="314">
                  <c:v>4.452675361432572</c:v>
                </c:pt>
                <c:pt idx="315">
                  <c:v>4.4014550604541842</c:v>
                </c:pt>
                <c:pt idx="316">
                  <c:v>4.3505389369863243</c:v>
                </c:pt>
                <c:pt idx="317">
                  <c:v>4.2987217951302314</c:v>
                </c:pt>
                <c:pt idx="318">
                  <c:v>4.2472157248175124</c:v>
                </c:pt>
                <c:pt idx="319">
                  <c:v>4.196016906668846</c:v>
                </c:pt>
                <c:pt idx="320">
                  <c:v>4.1451215914599455</c:v>
                </c:pt>
                <c:pt idx="321">
                  <c:v>4.0933529972743852</c:v>
                </c:pt>
                <c:pt idx="322">
                  <c:v>4.0418944616018697</c:v>
                </c:pt>
                <c:pt idx="323">
                  <c:v>3.9907421845364599</c:v>
                </c:pt>
                <c:pt idx="324">
                  <c:v>3.9398924357807603</c:v>
                </c:pt>
                <c:pt idx="325">
                  <c:v>3.8881961143229566</c:v>
                </c:pt>
                <c:pt idx="326">
                  <c:v>3.8368085520582715</c:v>
                </c:pt>
                <c:pt idx="327">
                  <c:v>3.7857259734951008</c:v>
                </c:pt>
                <c:pt idx="328">
                  <c:v>3.7349446720827402</c:v>
                </c:pt>
                <c:pt idx="329">
                  <c:v>3.6832564695143706</c:v>
                </c:pt>
                <c:pt idx="330">
                  <c:v>3.63187648583986</c:v>
                </c:pt>
                <c:pt idx="331">
                  <c:v>3.580800955788455</c:v>
                </c:pt>
                <c:pt idx="332">
                  <c:v>3.5300261827057797</c:v>
                </c:pt>
                <c:pt idx="333">
                  <c:v>3.47845629618319</c:v>
                </c:pt>
                <c:pt idx="334">
                  <c:v>3.427192773316869</c:v>
                </c:pt>
                <c:pt idx="335">
                  <c:v>3.3762318827175983</c:v>
                </c:pt>
                <c:pt idx="336">
                  <c:v>3.3255699607144189</c:v>
                </c:pt>
                <c:pt idx="337">
                  <c:v>3.2739726138120591</c:v>
                </c:pt>
                <c:pt idx="338">
                  <c:v>3.2226814960843191</c:v>
                </c:pt>
                <c:pt idx="339">
                  <c:v>3.1716928783021348</c:v>
                </c:pt>
                <c:pt idx="340">
                  <c:v>3.121003098820978</c:v>
                </c:pt>
                <c:pt idx="341">
                  <c:v>3.0694065377980442</c:v>
                </c:pt>
                <c:pt idx="342">
                  <c:v>3.0181157249523638</c:v>
                </c:pt>
                <c:pt idx="343">
                  <c:v>2.9671269391653929</c:v>
                </c:pt>
                <c:pt idx="344">
                  <c:v>2.9164365266230661</c:v>
                </c:pt>
                <c:pt idx="345">
                  <c:v>2.864945186794893</c:v>
                </c:pt>
                <c:pt idx="346">
                  <c:v>2.8137578702238839</c:v>
                </c:pt>
                <c:pt idx="347">
                  <c:v>2.7628708861168843</c:v>
                </c:pt>
                <c:pt idx="348">
                  <c:v>2.7122806101698567</c:v>
                </c:pt>
                <c:pt idx="349">
                  <c:v>2.6607603563374411</c:v>
                </c:pt>
                <c:pt idx="350">
                  <c:v>2.6095439684443007</c:v>
                </c:pt>
                <c:pt idx="351">
                  <c:v>2.5586277571122857</c:v>
                </c:pt>
                <c:pt idx="352">
                  <c:v>2.5080080993277676</c:v>
                </c:pt>
                <c:pt idx="353">
                  <c:v>2.4564867251937059</c:v>
                </c:pt>
                <c:pt idx="354">
                  <c:v>2.4052687149724674</c:v>
                </c:pt>
                <c:pt idx="355">
                  <c:v>2.3543503865069577</c:v>
                </c:pt>
                <c:pt idx="356">
                  <c:v>2.3037281237375318</c:v>
                </c:pt>
                <c:pt idx="357">
                  <c:v>2.2523043015036963</c:v>
                </c:pt>
                <c:pt idx="358">
                  <c:v>2.2011821665889855</c:v>
                </c:pt>
                <c:pt idx="359">
                  <c:v>2.150358064865781</c:v>
                </c:pt>
                <c:pt idx="360">
                  <c:v>2.09982840753832</c:v>
                </c:pt>
                <c:pt idx="361">
                  <c:v>2.0483783660693229</c:v>
                </c:pt>
                <c:pt idx="362">
                  <c:v>1.9972297650652249</c:v>
                </c:pt>
                <c:pt idx="363">
                  <c:v>1.9463789519838679</c:v>
                </c:pt>
                <c:pt idx="364">
                  <c:v>1.8958223394752471</c:v>
                </c:pt>
                <c:pt idx="365">
                  <c:v>1.8444426579188438</c:v>
                </c:pt>
                <c:pt idx="366">
                  <c:v>1.7933630191236871</c:v>
                </c:pt>
                <c:pt idx="367">
                  <c:v>1.742579792410333</c:v>
                </c:pt>
                <c:pt idx="368">
                  <c:v>1.6920894116672591</c:v>
                </c:pt>
                <c:pt idx="369">
                  <c:v>1.6406642265007272</c:v>
                </c:pt>
                <c:pt idx="370">
                  <c:v>1.5895390106630292</c:v>
                </c:pt>
                <c:pt idx="371">
                  <c:v>1.5387101307510664</c:v>
                </c:pt>
                <c:pt idx="372">
                  <c:v>1.4881740178826028</c:v>
                </c:pt>
                <c:pt idx="373">
                  <c:v>1.4367975871113916</c:v>
                </c:pt>
                <c:pt idx="374">
                  <c:v>1.3857199263861331</c:v>
                </c:pt>
                <c:pt idx="375">
                  <c:v>1.3349374193055206</c:v>
                </c:pt>
                <c:pt idx="376">
                  <c:v>1.2844465134714886</c:v>
                </c:pt>
                <c:pt idx="377">
                  <c:v>1.2330101635624684</c:v>
                </c:pt>
                <c:pt idx="378">
                  <c:v>1.1818726122987411</c:v>
                </c:pt>
                <c:pt idx="379">
                  <c:v>1.1310302373293111</c:v>
                </c:pt>
                <c:pt idx="380">
                  <c:v>1.0804794803231952</c:v>
                </c:pt>
                <c:pt idx="381">
                  <c:v>1.0291383856447407</c:v>
                </c:pt>
                <c:pt idx="382">
                  <c:v>0.97809428622712868</c:v>
                </c:pt>
                <c:pt idx="383">
                  <c:v>0.92734358619100243</c:v>
                </c:pt>
                <c:pt idx="384">
                  <c:v>0.87688275292683349</c:v>
                </c:pt>
                <c:pt idx="385">
                  <c:v>0.825468442601486</c:v>
                </c:pt>
                <c:pt idx="386">
                  <c:v>0.77435123028192865</c:v>
                </c:pt>
                <c:pt idx="387">
                  <c:v>0.72352751119206427</c:v>
                </c:pt>
                <c:pt idx="388">
                  <c:v>0.67299374389677535</c:v>
                </c:pt>
                <c:pt idx="389">
                  <c:v>0.62159537612144966</c:v>
                </c:pt>
                <c:pt idx="390">
                  <c:v>0.5704931355260906</c:v>
                </c:pt>
                <c:pt idx="391">
                  <c:v>0.51968342698954983</c:v>
                </c:pt>
                <c:pt idx="392">
                  <c:v>0.46916271836126489</c:v>
                </c:pt>
                <c:pt idx="393">
                  <c:v>0.41780257750870864</c:v>
                </c:pt>
                <c:pt idx="394">
                  <c:v>0.36673729037727004</c:v>
                </c:pt>
                <c:pt idx="395">
                  <c:v>0.31596327602996682</c:v>
                </c:pt>
                <c:pt idx="396">
                  <c:v>0.26547701601709101</c:v>
                </c:pt>
                <c:pt idx="397">
                  <c:v>0.21405978306587845</c:v>
                </c:pt>
                <c:pt idx="398">
                  <c:v>0.16293716817382284</c:v>
                </c:pt>
                <c:pt idx="399">
                  <c:v>0.11210558466801368</c:v>
                </c:pt>
                <c:pt idx="400">
                  <c:v>6.1561508332312831E-2</c:v>
                </c:pt>
                <c:pt idx="401">
                  <c:v>1.0170189631795079E-2</c:v>
                </c:pt>
                <c:pt idx="402">
                  <c:v>-4.092775526326202E-2</c:v>
                </c:pt>
                <c:pt idx="403">
                  <c:v>-9.1735901568827716E-2</c:v>
                </c:pt>
                <c:pt idx="404">
                  <c:v>-0.1422577624830349</c:v>
                </c:pt>
                <c:pt idx="405">
                  <c:v>-0.19365794485382168</c:v>
                </c:pt>
                <c:pt idx="406">
                  <c:v>-0.24476566513569942</c:v>
                </c:pt>
                <c:pt idx="407">
                  <c:v>-0.29558449438476592</c:v>
                </c:pt>
                <c:pt idx="408">
                  <c:v>-0.34611794192061224</c:v>
                </c:pt>
                <c:pt idx="409">
                  <c:v>-0.39755865239580679</c:v>
                </c:pt>
                <c:pt idx="410">
                  <c:v>-0.44870752585009438</c:v>
                </c:pt>
                <c:pt idx="411">
                  <c:v>-0.49956813579124071</c:v>
                </c:pt>
                <c:pt idx="412">
                  <c:v>-0.55014399413271831</c:v>
                </c:pt>
                <c:pt idx="413">
                  <c:v>-0.60160118712799238</c:v>
                </c:pt>
                <c:pt idx="414">
                  <c:v>-0.65276752036578789</c:v>
                </c:pt>
                <c:pt idx="415">
                  <c:v>-0.70364656486046795</c:v>
                </c:pt>
                <c:pt idx="416">
                  <c:v>-0.75424183030172665</c:v>
                </c:pt>
                <c:pt idx="417">
                  <c:v>-0.80574520154915186</c:v>
                </c:pt>
                <c:pt idx="418">
                  <c:v>-0.8569584431250814</c:v>
                </c:pt>
                <c:pt idx="419">
                  <c:v>-0.90788512972731272</c:v>
                </c:pt>
                <c:pt idx="420">
                  <c:v>-0.95852877487306876</c:v>
                </c:pt>
                <c:pt idx="421">
                  <c:v>-1.0100043932815519</c:v>
                </c:pt>
                <c:pt idx="422">
                  <c:v>-1.0611915359748385</c:v>
                </c:pt>
                <c:pt idx="423">
                  <c:v>-1.1120937660632979</c:v>
                </c:pt>
                <c:pt idx="424">
                  <c:v>-1.1627145859838819</c:v>
                </c:pt>
                <c:pt idx="425">
                  <c:v>-1.2142927151337026</c:v>
                </c:pt>
                <c:pt idx="426">
                  <c:v>-1.2655826699793162</c:v>
                </c:pt>
                <c:pt idx="427">
                  <c:v>-1.3165880289823531</c:v>
                </c:pt>
                <c:pt idx="428">
                  <c:v>-1.3673123098462294</c:v>
                </c:pt>
                <c:pt idx="429">
                  <c:v>-1.4189187595109074</c:v>
                </c:pt>
                <c:pt idx="430">
                  <c:v>-1.4702382811133352</c:v>
                </c:pt>
                <c:pt idx="431">
                  <c:v>-1.5212744531121694</c:v>
                </c:pt>
                <c:pt idx="432">
                  <c:v>-1.572030793490315</c:v>
                </c:pt>
                <c:pt idx="433">
                  <c:v>-1.6236451802116765</c:v>
                </c:pt>
                <c:pt idx="434">
                  <c:v>-1.6749742331900885</c:v>
                </c:pt>
                <c:pt idx="435">
                  <c:v>-1.7260215266469454</c:v>
                </c:pt>
                <c:pt idx="436">
                  <c:v>-1.7767905747254606</c:v>
                </c:pt>
                <c:pt idx="437">
                  <c:v>-1.82848705861237</c:v>
                </c:pt>
                <c:pt idx="438">
                  <c:v>-1.8798991211742033</c:v>
                </c:pt>
                <c:pt idx="439">
                  <c:v>-1.9310303476850676</c:v>
                </c:pt>
                <c:pt idx="440">
                  <c:v>-1.9818842634194445</c:v>
                </c:pt>
                <c:pt idx="441">
                  <c:v>-2.0336405409774452</c:v>
                </c:pt>
                <c:pt idx="442">
                  <c:v>-2.085113707000791</c:v>
                </c:pt>
                <c:pt idx="443">
                  <c:v>-2.1363073531406824</c:v>
                </c:pt>
                <c:pt idx="444">
                  <c:v>-2.1872250112566878</c:v>
                </c:pt>
                <c:pt idx="445">
                  <c:v>-2.2390210584790422</c:v>
                </c:pt>
                <c:pt idx="446">
                  <c:v>-2.2905356845275184</c:v>
                </c:pt>
                <c:pt idx="447">
                  <c:v>-2.3417724831945477</c:v>
                </c:pt>
                <c:pt idx="448">
                  <c:v>-2.3927349888084666</c:v>
                </c:pt>
                <c:pt idx="449">
                  <c:v>-2.4446396322943511</c:v>
                </c:pt>
                <c:pt idx="450">
                  <c:v>-2.4962639782934546</c:v>
                </c:pt>
                <c:pt idx="451">
                  <c:v>-2.5476116368818005</c:v>
                </c:pt>
                <c:pt idx="452">
                  <c:v>-2.5986861587160992</c:v>
                </c:pt>
                <c:pt idx="453">
                  <c:v>-2.6506358409205024</c:v>
                </c:pt>
                <c:pt idx="454">
                  <c:v>-2.7023072298825483</c:v>
                </c:pt>
                <c:pt idx="455">
                  <c:v>-2.7537039386258195</c:v>
                </c:pt>
                <c:pt idx="456">
                  <c:v>-2.8048295211210479</c:v>
                </c:pt>
                <c:pt idx="457">
                  <c:v>-2.8568911909243817</c:v>
                </c:pt>
                <c:pt idx="458">
                  <c:v>-2.9086760673175922</c:v>
                </c:pt>
                <c:pt idx="459">
                  <c:v>-2.9601877799783911</c:v>
                </c:pt>
                <c:pt idx="460">
                  <c:v>-3.0114298996311679</c:v>
                </c:pt>
                <c:pt idx="461">
                  <c:v>-3.0635845104028245</c:v>
                </c:pt>
                <c:pt idx="462">
                  <c:v>-3.1154642641554298</c:v>
                </c:pt>
                <c:pt idx="463">
                  <c:v>-3.1670728030201629</c:v>
                </c:pt>
                <c:pt idx="464">
                  <c:v>-3.2184137103986781</c:v>
                </c:pt>
                <c:pt idx="465">
                  <c:v>-3.2706844855443853</c:v>
                </c:pt>
                <c:pt idx="466">
                  <c:v>-3.3226823491131423</c:v>
                </c:pt>
                <c:pt idx="467">
                  <c:v>-3.3744109602265597</c:v>
                </c:pt>
                <c:pt idx="468">
                  <c:v>-3.4258739194375516</c:v>
                </c:pt>
                <c:pt idx="469">
                  <c:v>-3.4782442663475828</c:v>
                </c:pt>
                <c:pt idx="470">
                  <c:v>-3.5303440940202742</c:v>
                </c:pt>
                <c:pt idx="471">
                  <c:v>-3.5821770747186426</c:v>
                </c:pt>
                <c:pt idx="472">
                  <c:v>-3.6337468224144072</c:v>
                </c:pt>
                <c:pt idx="473">
                  <c:v>-3.6862790636377669</c:v>
                </c:pt>
                <c:pt idx="474">
                  <c:v>-3.7385428357939974</c:v>
                </c:pt>
                <c:pt idx="475">
                  <c:v>-3.7905418368771815</c:v>
                </c:pt>
                <c:pt idx="476">
                  <c:v>-3.8422797066377945</c:v>
                </c:pt>
                <c:pt idx="477">
                  <c:v>-3.8949576901160072</c:v>
                </c:pt>
                <c:pt idx="478">
                  <c:v>-3.9473697501416138</c:v>
                </c:pt>
                <c:pt idx="479">
                  <c:v>-3.9995196064903022</c:v>
                </c:pt>
                <c:pt idx="480">
                  <c:v>-4.0514109208615645</c:v>
                </c:pt>
                <c:pt idx="481">
                  <c:v>-4.1042212522473749</c:v>
                </c:pt>
                <c:pt idx="482">
                  <c:v>-4.1567686901275334</c:v>
                </c:pt>
                <c:pt idx="483">
                  <c:v>-4.2090569725159375</c:v>
                </c:pt>
                <c:pt idx="484">
                  <c:v>-4.2610897796251486</c:v>
                </c:pt>
                <c:pt idx="485">
                  <c:v>-4.3140577555893014</c:v>
                </c:pt>
                <c:pt idx="486">
                  <c:v>-4.3667659911356873</c:v>
                </c:pt>
                <c:pt idx="487">
                  <c:v>-4.4192182469740162</c:v>
                </c:pt>
                <c:pt idx="488">
                  <c:v>-4.4714182262271276</c:v>
                </c:pt>
                <c:pt idx="489">
                  <c:v>-4.5246043518920871</c:v>
                </c:pt>
                <c:pt idx="490">
                  <c:v>-4.5775337130550495</c:v>
                </c:pt>
                <c:pt idx="491">
                  <c:v>-4.6302101049065794</c:v>
                </c:pt>
                <c:pt idx="492">
                  <c:v>-4.6826372650558969</c:v>
                </c:pt>
                <c:pt idx="493">
                  <c:v>-4.7360303131425256</c:v>
                </c:pt>
                <c:pt idx="494">
                  <c:v>-4.7891701339972936</c:v>
                </c:pt>
                <c:pt idx="495">
                  <c:v>-4.8420605536317458</c:v>
                </c:pt>
                <c:pt idx="496">
                  <c:v>-4.8947053405833323</c:v>
                </c:pt>
                <c:pt idx="497">
                  <c:v>-4.9483311392609144</c:v>
                </c:pt>
                <c:pt idx="498">
                  <c:v>-5.0017074867074189</c:v>
                </c:pt>
                <c:pt idx="499">
                  <c:v>-5.0548382437131796</c:v>
                </c:pt>
                <c:pt idx="500">
                  <c:v>-5.1077272136435958</c:v>
                </c:pt>
                <c:pt idx="501">
                  <c:v>-5.1616121910879409</c:v>
                </c:pt>
                <c:pt idx="502">
                  <c:v>-5.2152517711590978</c:v>
                </c:pt>
                <c:pt idx="503">
                  <c:v>-5.2686498532099977</c:v>
                </c:pt>
                <c:pt idx="504">
                  <c:v>-5.3218102791568267</c:v>
                </c:pt>
                <c:pt idx="505">
                  <c:v>-5.3759489343056313</c:v>
                </c:pt>
                <c:pt idx="506">
                  <c:v>-5.4298468528252721</c:v>
                </c:pt>
                <c:pt idx="507">
                  <c:v>-5.4835079691140898</c:v>
                </c:pt>
                <c:pt idx="508">
                  <c:v>-5.5369361601934832</c:v>
                </c:pt>
                <c:pt idx="509">
                  <c:v>-5.5913585105173889</c:v>
                </c:pt>
                <c:pt idx="510">
                  <c:v>-5.6455451074394034</c:v>
                </c:pt>
                <c:pt idx="511">
                  <c:v>-5.699499924086707</c:v>
                </c:pt>
                <c:pt idx="512">
                  <c:v>-5.7532268761865826</c:v>
                </c:pt>
                <c:pt idx="513">
                  <c:v>-5.8079957298545057</c:v>
                </c:pt>
                <c:pt idx="514">
                  <c:v>-5.8625339108968353</c:v>
                </c:pt>
                <c:pt idx="515">
                  <c:v>-5.91684544149535</c:v>
                </c:pt>
                <c:pt idx="516">
                  <c:v>-5.9709342861850701</c:v>
                </c:pt>
                <c:pt idx="517">
                  <c:v>-6.0260495060554025</c:v>
                </c:pt>
                <c:pt idx="518">
                  <c:v>-6.0809398223863775</c:v>
                </c:pt>
                <c:pt idx="519">
                  <c:v>-6.1356093023163529</c:v>
                </c:pt>
                <c:pt idx="520">
                  <c:v>-6.1900619551230198</c:v>
                </c:pt>
                <c:pt idx="521">
                  <c:v>-6.2455577725375608</c:v>
                </c:pt>
                <c:pt idx="522">
                  <c:v>-6.3008348961069274</c:v>
                </c:pt>
                <c:pt idx="523">
                  <c:v>-6.3558974405632043</c:v>
                </c:pt>
                <c:pt idx="524">
                  <c:v>-6.4107494624436177</c:v>
                </c:pt>
                <c:pt idx="525">
                  <c:v>-6.4666619583006</c:v>
                </c:pt>
                <c:pt idx="526">
                  <c:v>-6.5223624487153202</c:v>
                </c:pt>
                <c:pt idx="527">
                  <c:v>-6.5778550981364923</c:v>
                </c:pt>
                <c:pt idx="528">
                  <c:v>-6.633144012344518</c:v>
                </c:pt>
                <c:pt idx="529">
                  <c:v>-6.6895113494497549</c:v>
                </c:pt>
                <c:pt idx="530">
                  <c:v>-6.7456738849537441</c:v>
                </c:pt>
                <c:pt idx="531">
                  <c:v>-6.8016358345148928</c:v>
                </c:pt>
                <c:pt idx="532">
                  <c:v>-6.8574013544878509</c:v>
                </c:pt>
                <c:pt idx="533">
                  <c:v>-6.914293310210744</c:v>
                </c:pt>
                <c:pt idx="534">
                  <c:v>-6.9709880170906775</c:v>
                </c:pt>
                <c:pt idx="535">
                  <c:v>-7.0274897492850785</c:v>
                </c:pt>
                <c:pt idx="536">
                  <c:v>-7.0838027207008736</c:v>
                </c:pt>
                <c:pt idx="537">
                  <c:v>-7.1412033033087656</c:v>
                </c:pt>
                <c:pt idx="538">
                  <c:v>-7.1984151835039665</c:v>
                </c:pt>
                <c:pt idx="539">
                  <c:v>-7.2554426804738625</c:v>
                </c:pt>
                <c:pt idx="540">
                  <c:v>-7.3122900522385574</c:v>
                </c:pt>
                <c:pt idx="541">
                  <c:v>-7.3703032691770201</c:v>
                </c:pt>
                <c:pt idx="542">
                  <c:v>-7.4281365556752723</c:v>
                </c:pt>
                <c:pt idx="543">
                  <c:v>-7.4857942877208767</c:v>
                </c:pt>
                <c:pt idx="544">
                  <c:v>-7.543280778717353</c:v>
                </c:pt>
                <c:pt idx="545">
                  <c:v>-7.6019260911070194</c:v>
                </c:pt>
                <c:pt idx="546">
                  <c:v>-7.6604010768518025</c:v>
                </c:pt>
                <c:pt idx="547">
                  <c:v>-7.7187101594246084</c:v>
                </c:pt>
                <c:pt idx="548">
                  <c:v>-7.7768576981321456</c:v>
                </c:pt>
                <c:pt idx="549">
                  <c:v>-7.8361869790720826</c:v>
                </c:pt>
                <c:pt idx="550">
                  <c:v>-7.8953561901561153</c:v>
                </c:pt>
                <c:pt idx="551">
                  <c:v>-7.954369798043988</c:v>
                </c:pt>
                <c:pt idx="552">
                  <c:v>-8.0132322033172905</c:v>
                </c:pt>
                <c:pt idx="553">
                  <c:v>-8.0733281994423116</c:v>
                </c:pt>
                <c:pt idx="554">
                  <c:v>-8.1332749114079022</c:v>
                </c:pt>
                <c:pt idx="555">
                  <c:v>-8.1930768490573893</c:v>
                </c:pt>
                <c:pt idx="556">
                  <c:v>-8.2527384537479982</c:v>
                </c:pt>
                <c:pt idx="557">
                  <c:v>-8.3744415854315903</c:v>
                </c:pt>
                <c:pt idx="558">
                  <c:v>-8.4956116365996746</c:v>
                </c:pt>
                <c:pt idx="559">
                  <c:v>-8.6190445280556656</c:v>
                </c:pt>
                <c:pt idx="560">
                  <c:v>-8.7419935634916097</c:v>
                </c:pt>
                <c:pt idx="561">
                  <c:v>-8.8673956217429737</c:v>
                </c:pt>
                <c:pt idx="562">
                  <c:v>-8.9923648354480328</c:v>
                </c:pt>
                <c:pt idx="563">
                  <c:v>-9.1196060083914752</c:v>
                </c:pt>
                <c:pt idx="564">
                  <c:v>-9.2464694859423382</c:v>
                </c:pt>
                <c:pt idx="565">
                  <c:v>-9.3761761423089478</c:v>
                </c:pt>
                <c:pt idx="566">
                  <c:v>-9.5055597332255601</c:v>
                </c:pt>
                <c:pt idx="567">
                  <c:v>-9.6378267349340305</c:v>
                </c:pt>
                <c:pt idx="568">
                  <c:v>-9.769828150629511</c:v>
                </c:pt>
                <c:pt idx="569">
                  <c:v>-9.9042322682850905</c:v>
                </c:pt>
                <c:pt idx="570">
                  <c:v>-10.038432020172765</c:v>
                </c:pt>
                <c:pt idx="571">
                  <c:v>-10.176138528248824</c:v>
                </c:pt>
                <c:pt idx="572">
                  <c:v>-10.313700296687871</c:v>
                </c:pt>
                <c:pt idx="573">
                  <c:v>-10.45377298785224</c:v>
                </c:pt>
                <c:pt idx="574">
                  <c:v>-10.593763663081761</c:v>
                </c:pt>
                <c:pt idx="575">
                  <c:v>-10.737372565649441</c:v>
                </c:pt>
                <c:pt idx="576">
                  <c:v>-10.880960989737087</c:v>
                </c:pt>
                <c:pt idx="577">
                  <c:v>-11.489293347004107</c:v>
                </c:pt>
                <c:pt idx="578">
                  <c:v>-12.099701737529942</c:v>
                </c:pt>
                <c:pt idx="579">
                  <c:v>-13.450560951503391</c:v>
                </c:pt>
                <c:pt idx="580">
                  <c:v>-14.958600023525062</c:v>
                </c:pt>
                <c:pt idx="581">
                  <c:v>-16.637209080020181</c:v>
                </c:pt>
                <c:pt idx="582">
                  <c:v>-18.491807339359195</c:v>
                </c:pt>
                <c:pt idx="583">
                  <c:v>-20.513364392358007</c:v>
                </c:pt>
                <c:pt idx="584">
                  <c:v>-22.686074094609445</c:v>
                </c:pt>
                <c:pt idx="585">
                  <c:v>-24.986027721191114</c:v>
                </c:pt>
                <c:pt idx="586">
                  <c:v>-27.389753336899794</c:v>
                </c:pt>
                <c:pt idx="587">
                  <c:v>-29.876748753632661</c:v>
                </c:pt>
                <c:pt idx="588">
                  <c:v>-32.426087270692875</c:v>
                </c:pt>
                <c:pt idx="589">
                  <c:v>-35.024684744455186</c:v>
                </c:pt>
                <c:pt idx="590">
                  <c:v>-37.659397712023313</c:v>
                </c:pt>
                <c:pt idx="591">
                  <c:v>-40.320516371110813</c:v>
                </c:pt>
                <c:pt idx="592">
                  <c:v>-42.999345135903049</c:v>
                </c:pt>
                <c:pt idx="593">
                  <c:v>-45.68947896253691</c:v>
                </c:pt>
                <c:pt idx="594">
                  <c:v>-48.383851267500944</c:v>
                </c:pt>
                <c:pt idx="595">
                  <c:v>-51.077355205734456</c:v>
                </c:pt>
                <c:pt idx="596">
                  <c:v>-53.764472311048976</c:v>
                </c:pt>
                <c:pt idx="597">
                  <c:v>-56.441515874320778</c:v>
                </c:pt>
                <c:pt idx="598">
                  <c:v>-59.10432881589827</c:v>
                </c:pt>
                <c:pt idx="599">
                  <c:v>-61.750902998161699</c:v>
                </c:pt>
                <c:pt idx="600">
                  <c:v>-64.378962845313211</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332788864"/>
        <c:axId val="332790784"/>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-53.063086870084511</c:v>
                </c:pt>
                <c:pt idx="1">
                  <c:v>-55.570357509225644</c:v>
                </c:pt>
                <c:pt idx="2">
                  <c:v>-57.996771545678122</c:v>
                </c:pt>
                <c:pt idx="3">
                  <c:v>-60.32849624030866</c:v>
                </c:pt>
                <c:pt idx="4">
                  <c:v>-62.553347891642247</c:v>
                </c:pt>
                <c:pt idx="5">
                  <c:v>-64.667273333327273</c:v>
                </c:pt>
                <c:pt idx="6">
                  <c:v>-66.662369898909375</c:v>
                </c:pt>
                <c:pt idx="7">
                  <c:v>-68.537790322154393</c:v>
                </c:pt>
                <c:pt idx="8">
                  <c:v>-70.292266760896212</c:v>
                </c:pt>
                <c:pt idx="9">
                  <c:v>-71.929077050610431</c:v>
                </c:pt>
                <c:pt idx="10">
                  <c:v>-73.450663189510038</c:v>
                </c:pt>
                <c:pt idx="11">
                  <c:v>-74.861805302770136</c:v>
                </c:pt>
                <c:pt idx="12">
                  <c:v>-76.168491147208456</c:v>
                </c:pt>
                <c:pt idx="13">
                  <c:v>-77.375291052248642</c:v>
                </c:pt>
                <c:pt idx="14">
                  <c:v>-78.489313693123378</c:v>
                </c:pt>
                <c:pt idx="15">
                  <c:v>-79.516333553852661</c:v>
                </c:pt>
                <c:pt idx="16">
                  <c:v>-80.462660191163565</c:v>
                </c:pt>
                <c:pt idx="17">
                  <c:v>-81.33427196365804</c:v>
                </c:pt>
                <c:pt idx="18">
                  <c:v>-82.137327634633934</c:v>
                </c:pt>
                <c:pt idx="19">
                  <c:v>-82.877275714217049</c:v>
                </c:pt>
                <c:pt idx="20">
                  <c:v>-83.559667558826177</c:v>
                </c:pt>
                <c:pt idx="21">
                  <c:v>-84.18948396064205</c:v>
                </c:pt>
                <c:pt idx="22">
                  <c:v>-84.771691843402834</c:v>
                </c:pt>
                <c:pt idx="23">
                  <c:v>-85.31069773933207</c:v>
                </c:pt>
                <c:pt idx="24">
                  <c:v>-85.810916206832133</c:v>
                </c:pt>
                <c:pt idx="25">
                  <c:v>-86.27628239641642</c:v>
                </c:pt>
                <c:pt idx="26">
                  <c:v>-86.710673565064184</c:v>
                </c:pt>
                <c:pt idx="27">
                  <c:v>-87.11750239634209</c:v>
                </c:pt>
                <c:pt idx="28">
                  <c:v>-87.50014478649841</c:v>
                </c:pt>
                <c:pt idx="29">
                  <c:v>-87.861557457807777</c:v>
                </c:pt>
                <c:pt idx="30">
                  <c:v>-88.205352162713112</c:v>
                </c:pt>
                <c:pt idx="31">
                  <c:v>-88.533902867123359</c:v>
                </c:pt>
                <c:pt idx="32">
                  <c:v>-88.850188576010481</c:v>
                </c:pt>
                <c:pt idx="33">
                  <c:v>-89.156640338462708</c:v>
                </c:pt>
                <c:pt idx="34">
                  <c:v>-89.456072655716312</c:v>
                </c:pt>
                <c:pt idx="35">
                  <c:v>-89.750834121908312</c:v>
                </c:pt>
                <c:pt idx="36">
                  <c:v>-90.043451629206956</c:v>
                </c:pt>
                <c:pt idx="37">
                  <c:v>-90.336544305692257</c:v>
                </c:pt>
                <c:pt idx="38">
                  <c:v>-90.632295061630941</c:v>
                </c:pt>
                <c:pt idx="39">
                  <c:v>-90.933423912556876</c:v>
                </c:pt>
                <c:pt idx="40">
                  <c:v>-91.242340002130661</c:v>
                </c:pt>
                <c:pt idx="41">
                  <c:v>-91.561648137253883</c:v>
                </c:pt>
                <c:pt idx="42">
                  <c:v>-91.893957127271136</c:v>
                </c:pt>
                <c:pt idx="43">
                  <c:v>-92.242115294088038</c:v>
                </c:pt>
                <c:pt idx="44">
                  <c:v>-92.608894037808909</c:v>
                </c:pt>
                <c:pt idx="45">
                  <c:v>-92.997360395933924</c:v>
                </c:pt>
                <c:pt idx="46">
                  <c:v>-93.41057506791141</c:v>
                </c:pt>
                <c:pt idx="47">
                  <c:v>-93.851928625537525</c:v>
                </c:pt>
                <c:pt idx="48">
                  <c:v>-94.324786413154143</c:v>
                </c:pt>
                <c:pt idx="49">
                  <c:v>-94.832927927101139</c:v>
                </c:pt>
                <c:pt idx="50">
                  <c:v>-95.380127953254984</c:v>
                </c:pt>
                <c:pt idx="51">
                  <c:v>-95.970562385940511</c:v>
                </c:pt>
                <c:pt idx="52">
                  <c:v>-96.608266415311647</c:v>
                </c:pt>
                <c:pt idx="53">
                  <c:v>-97.297627730600595</c:v>
                </c:pt>
                <c:pt idx="54">
                  <c:v>-98.04265433059976</c:v>
                </c:pt>
                <c:pt idx="55">
                  <c:v>-98.849206626651977</c:v>
                </c:pt>
                <c:pt idx="56">
                  <c:v>-99.72078561313009</c:v>
                </c:pt>
                <c:pt idx="57">
                  <c:v>-100.6624429958036</c:v>
                </c:pt>
                <c:pt idx="58">
                  <c:v>-101.67772063739561</c:v>
                </c:pt>
                <c:pt idx="59">
                  <c:v>-102.77120446595676</c:v>
                </c:pt>
                <c:pt idx="60">
                  <c:v>-103.94546627225016</c:v>
                </c:pt>
                <c:pt idx="61">
                  <c:v>-105.20291445670877</c:v>
                </c:pt>
                <c:pt idx="62">
                  <c:v>-106.54531254227877</c:v>
                </c:pt>
                <c:pt idx="63">
                  <c:v>-107.97082331570903</c:v>
                </c:pt>
                <c:pt idx="64">
                  <c:v>-109.47802668246635</c:v>
                </c:pt>
                <c:pt idx="65">
                  <c:v>-111.06143579478682</c:v>
                </c:pt>
                <c:pt idx="66">
                  <c:v>-112.71344215672828</c:v>
                </c:pt>
                <c:pt idx="67">
                  <c:v>-114.42294795875908</c:v>
                </c:pt>
                <c:pt idx="68">
                  <c:v>-116.17625350662051</c:v>
                </c:pt>
                <c:pt idx="69">
                  <c:v>-117.9552867543796</c:v>
                </c:pt>
                <c:pt idx="70">
                  <c:v>-119.73953167406367</c:v>
                </c:pt>
                <c:pt idx="71">
                  <c:v>-121.50487291145308</c:v>
                </c:pt>
                <c:pt idx="72">
                  <c:v>-123.22566420501317</c:v>
                </c:pt>
                <c:pt idx="73">
                  <c:v>-124.87402000054772</c:v>
                </c:pt>
                <c:pt idx="74">
                  <c:v>-126.4224276234966</c:v>
                </c:pt>
                <c:pt idx="75">
                  <c:v>-127.84327759898123</c:v>
                </c:pt>
                <c:pt idx="76">
                  <c:v>-129.11110829064299</c:v>
                </c:pt>
                <c:pt idx="77">
                  <c:v>-130.20227945034097</c:v>
                </c:pt>
                <c:pt idx="78">
                  <c:v>-131.09699946125346</c:v>
                </c:pt>
                <c:pt idx="79">
                  <c:v>-131.77901681256606</c:v>
                </c:pt>
                <c:pt idx="80">
                  <c:v>-132.23782600597235</c:v>
                </c:pt>
                <c:pt idx="81">
                  <c:v>-132.46569034664068</c:v>
                </c:pt>
                <c:pt idx="82">
                  <c:v>-132.46073859980874</c:v>
                </c:pt>
                <c:pt idx="83">
                  <c:v>-132.22585106835351</c:v>
                </c:pt>
                <c:pt idx="84">
                  <c:v>-131.76856288438358</c:v>
                </c:pt>
                <c:pt idx="85">
                  <c:v>-131.10150293377322</c:v>
                </c:pt>
                <c:pt idx="86">
                  <c:v>-130.24154539156231</c:v>
                </c:pt>
                <c:pt idx="87">
                  <c:v>-129.20908960242562</c:v>
                </c:pt>
                <c:pt idx="88">
                  <c:v>-128.02960029855501</c:v>
                </c:pt>
                <c:pt idx="89">
                  <c:v>-126.72941667625823</c:v>
                </c:pt>
                <c:pt idx="90">
                  <c:v>-125.33810483134685</c:v>
                </c:pt>
                <c:pt idx="91">
                  <c:v>-123.88553962539466</c:v>
                </c:pt>
                <c:pt idx="92">
                  <c:v>-122.40174644669605</c:v>
                </c:pt>
                <c:pt idx="93">
                  <c:v>-120.91496940666737</c:v>
                </c:pt>
                <c:pt idx="94">
                  <c:v>-120.54618043614198</c:v>
                </c:pt>
                <c:pt idx="95">
                  <c:v>-120.36133956500616</c:v>
                </c:pt>
                <c:pt idx="96">
                  <c:v>-120.17913624889206</c:v>
                </c:pt>
                <c:pt idx="97">
                  <c:v>-119.99541867991276</c:v>
                </c:pt>
                <c:pt idx="98">
                  <c:v>-119.81441926469057</c:v>
                </c:pt>
                <c:pt idx="99">
                  <c:v>-119.63196719870612</c:v>
                </c:pt>
                <c:pt idx="100">
                  <c:v>-119.45231025994637</c:v>
                </c:pt>
                <c:pt idx="101">
                  <c:v>-119.27140166051188</c:v>
                </c:pt>
                <c:pt idx="102">
                  <c:v>-119.09335720021068</c:v>
                </c:pt>
                <c:pt idx="103">
                  <c:v>-118.91399499293293</c:v>
                </c:pt>
                <c:pt idx="104">
                  <c:v>-118.73756644118177</c:v>
                </c:pt>
                <c:pt idx="105">
                  <c:v>-118.56002241660669</c:v>
                </c:pt>
                <c:pt idx="106">
                  <c:v>-118.38547344396764</c:v>
                </c:pt>
                <c:pt idx="107">
                  <c:v>-118.21000283626543</c:v>
                </c:pt>
                <c:pt idx="108">
                  <c:v>-118.03758057864768</c:v>
                </c:pt>
                <c:pt idx="109">
                  <c:v>-117.86430490212614</c:v>
                </c:pt>
                <c:pt idx="110">
                  <c:v>-117.69412705073809</c:v>
                </c:pt>
                <c:pt idx="111">
                  <c:v>-117.52305500283968</c:v>
                </c:pt>
                <c:pt idx="112">
                  <c:v>-117.35513055189968</c:v>
                </c:pt>
                <c:pt idx="113">
                  <c:v>-117.18650405648729</c:v>
                </c:pt>
                <c:pt idx="114">
                  <c:v>-117.02106678296842</c:v>
                </c:pt>
                <c:pt idx="115">
                  <c:v>-116.85500570368475</c:v>
                </c:pt>
                <c:pt idx="116">
                  <c:v>-116.69217155037668</c:v>
                </c:pt>
                <c:pt idx="117">
                  <c:v>-116.52879445400134</c:v>
                </c:pt>
                <c:pt idx="118">
                  <c:v>-116.36867804760843</c:v>
                </c:pt>
                <c:pt idx="119">
                  <c:v>-116.20819814306876</c:v>
                </c:pt>
                <c:pt idx="120">
                  <c:v>-116.05100479147727</c:v>
                </c:pt>
                <c:pt idx="121">
                  <c:v>-115.89352505580436</c:v>
                </c:pt>
                <c:pt idx="122">
                  <c:v>-115.73935398582039</c:v>
                </c:pt>
                <c:pt idx="123">
                  <c:v>-115.58488692693535</c:v>
                </c:pt>
                <c:pt idx="124">
                  <c:v>-115.43375073579783</c:v>
                </c:pt>
                <c:pt idx="125">
                  <c:v>-115.2824911633318</c:v>
                </c:pt>
                <c:pt idx="126">
                  <c:v>-115.13457699552345</c:v>
                </c:pt>
                <c:pt idx="127">
                  <c:v>-114.98662081763715</c:v>
                </c:pt>
                <c:pt idx="128">
                  <c:v>-114.84202091911925</c:v>
                </c:pt>
                <c:pt idx="129">
                  <c:v>-114.69746121555018</c:v>
                </c:pt>
                <c:pt idx="130">
                  <c:v>-114.55626505343785</c:v>
                </c:pt>
                <c:pt idx="131">
                  <c:v>-114.41519184617935</c:v>
                </c:pt>
                <c:pt idx="132">
                  <c:v>-114.34592272273778</c:v>
                </c:pt>
                <c:pt idx="133">
                  <c:v>-114.27748588896036</c:v>
                </c:pt>
                <c:pt idx="134">
                  <c:v>-114.20827459036678</c:v>
                </c:pt>
                <c:pt idx="135">
                  <c:v>-114.13991582776157</c:v>
                </c:pt>
                <c:pt idx="136">
                  <c:v>-114.07239976366554</c:v>
                </c:pt>
                <c:pt idx="137">
                  <c:v>-114.00571667811879</c:v>
                </c:pt>
                <c:pt idx="138">
                  <c:v>-113.93837118576448</c:v>
                </c:pt>
                <c:pt idx="139">
                  <c:v>-113.87187673488623</c:v>
                </c:pt>
                <c:pt idx="140">
                  <c:v>-113.80622330535911</c:v>
                </c:pt>
                <c:pt idx="141">
                  <c:v>-113.74140100247791</c:v>
                </c:pt>
                <c:pt idx="142">
                  <c:v>-113.67589226495214</c:v>
                </c:pt>
                <c:pt idx="143">
                  <c:v>-113.6112339528151</c:v>
                </c:pt>
                <c:pt idx="144">
                  <c:v>-113.5474158528351</c:v>
                </c:pt>
                <c:pt idx="145">
                  <c:v>-113.48442788516236</c:v>
                </c:pt>
                <c:pt idx="146">
                  <c:v>-113.42082968088931</c:v>
                </c:pt>
                <c:pt idx="147">
                  <c:v>-113.35807958635516</c:v>
                </c:pt>
                <c:pt idx="148">
                  <c:v>-113.29616723040743</c:v>
                </c:pt>
                <c:pt idx="149">
                  <c:v>-113.23508238252633</c:v>
                </c:pt>
                <c:pt idx="150">
                  <c:v>-113.17343107346964</c:v>
                </c:pt>
                <c:pt idx="151">
                  <c:v>-113.11262475975067</c:v>
                </c:pt>
                <c:pt idx="152">
                  <c:v>-113.05265293197282</c:v>
                </c:pt>
                <c:pt idx="153">
                  <c:v>-112.99350522815702</c:v>
                </c:pt>
                <c:pt idx="154">
                  <c:v>-112.93380794915683</c:v>
                </c:pt>
                <c:pt idx="155">
                  <c:v>-112.87495255024731</c:v>
                </c:pt>
                <c:pt idx="156">
                  <c:v>-112.81692838865028</c:v>
                </c:pt>
                <c:pt idx="157">
                  <c:v>-112.75972497559816</c:v>
                </c:pt>
                <c:pt idx="158">
                  <c:v>-112.70201869342038</c:v>
                </c:pt>
                <c:pt idx="159">
                  <c:v>-112.6451503739297</c:v>
                </c:pt>
                <c:pt idx="160">
                  <c:v>-112.58910926076904</c:v>
                </c:pt>
                <c:pt idx="161">
                  <c:v>-112.53388475771003</c:v>
                </c:pt>
                <c:pt idx="162">
                  <c:v>-112.47822845435662</c:v>
                </c:pt>
                <c:pt idx="163">
                  <c:v>-112.42340469984597</c:v>
                </c:pt>
                <c:pt idx="164">
                  <c:v>-112.36940265793399</c:v>
                </c:pt>
                <c:pt idx="165">
                  <c:v>-112.31621165785272</c:v>
                </c:pt>
                <c:pt idx="166">
                  <c:v>-112.26258782120887</c:v>
                </c:pt>
                <c:pt idx="167">
                  <c:v>-112.20979185735868</c:v>
                </c:pt>
                <c:pt idx="168">
                  <c:v>-112.15781284066171</c:v>
                </c:pt>
                <c:pt idx="169">
                  <c:v>-112.10664001639746</c:v>
                </c:pt>
                <c:pt idx="170">
                  <c:v>-112.0551903843695</c:v>
                </c:pt>
                <c:pt idx="171">
                  <c:v>-112.00455976703854</c:v>
                </c:pt>
                <c:pt idx="172">
                  <c:v>-111.95473723729479</c:v>
                </c:pt>
                <c:pt idx="173">
                  <c:v>-111.90571204244429</c:v>
                </c:pt>
                <c:pt idx="174">
                  <c:v>-111.85626758206871</c:v>
                </c:pt>
                <c:pt idx="175">
                  <c:v>-111.80763882676986</c:v>
                </c:pt>
                <c:pt idx="176">
                  <c:v>-111.75981474205085</c:v>
                </c:pt>
                <c:pt idx="177">
                  <c:v>-111.71278447348311</c:v>
                </c:pt>
                <c:pt idx="178">
                  <c:v>-111.66540989498168</c:v>
                </c:pt>
                <c:pt idx="179">
                  <c:v>-111.61884614916518</c:v>
                </c:pt>
                <c:pt idx="180">
                  <c:v>-111.57308212897262</c:v>
                </c:pt>
                <c:pt idx="181">
                  <c:v>-111.52810691226551</c:v>
                </c:pt>
                <c:pt idx="182">
                  <c:v>-111.48303367885683</c:v>
                </c:pt>
                <c:pt idx="183">
                  <c:v>-111.43875873601075</c:v>
                </c:pt>
                <c:pt idx="184">
                  <c:v>-111.39527106649427</c:v>
                </c:pt>
                <c:pt idx="185">
                  <c:v>-111.35255983913929</c:v>
                </c:pt>
                <c:pt idx="186">
                  <c:v>-111.30947366138273</c:v>
                </c:pt>
                <c:pt idx="187">
                  <c:v>-111.26718454610156</c:v>
                </c:pt>
                <c:pt idx="188">
                  <c:v>-111.22568133662006</c:v>
                </c:pt>
                <c:pt idx="189">
                  <c:v>-111.18495306854759</c:v>
                </c:pt>
                <c:pt idx="190">
                  <c:v>-111.1442336536185</c:v>
                </c:pt>
                <c:pt idx="191">
                  <c:v>-111.10429664301857</c:v>
                </c:pt>
                <c:pt idx="192">
                  <c:v>-111.06513102557794</c:v>
                </c:pt>
                <c:pt idx="193">
                  <c:v>-111.02672598202652</c:v>
                </c:pt>
                <c:pt idx="194">
                  <c:v>-110.98809366201017</c:v>
                </c:pt>
                <c:pt idx="195">
                  <c:v>-110.95023983655243</c:v>
                </c:pt>
                <c:pt idx="196">
                  <c:v>-110.91315341880114</c:v>
                </c:pt>
                <c:pt idx="197">
                  <c:v>-110.87682351844776</c:v>
                </c:pt>
                <c:pt idx="198">
                  <c:v>-110.84046848949322</c:v>
                </c:pt>
                <c:pt idx="199">
                  <c:v>-110.8048810898907</c:v>
                </c:pt>
                <c:pt idx="200">
                  <c:v>-110.77005030894766</c:v>
                </c:pt>
                <c:pt idx="201">
                  <c:v>-110.73596533351797</c:v>
                </c:pt>
                <c:pt idx="202">
                  <c:v>-110.70190887416146</c:v>
                </c:pt>
                <c:pt idx="203">
                  <c:v>-110.66860833405126</c:v>
                </c:pt>
                <c:pt idx="204">
                  <c:v>-110.63605280234613</c:v>
                </c:pt>
                <c:pt idx="205">
                  <c:v>-110.60423156606967</c:v>
                </c:pt>
                <c:pt idx="206">
                  <c:v>-110.57238196576937</c:v>
                </c:pt>
                <c:pt idx="207">
                  <c:v>-110.5412809014728</c:v>
                </c:pt>
                <c:pt idx="208">
                  <c:v>-110.51091747353958</c:v>
                </c:pt>
                <c:pt idx="209">
                  <c:v>-110.48128098256304</c:v>
                </c:pt>
                <c:pt idx="210">
                  <c:v>-110.45158124853724</c:v>
                </c:pt>
                <c:pt idx="211">
                  <c:v>-110.42262642904795</c:v>
                </c:pt>
                <c:pt idx="212">
                  <c:v>-110.39440555644778</c:v>
                </c:pt>
                <c:pt idx="213">
                  <c:v>-110.36690786760479</c:v>
                </c:pt>
                <c:pt idx="214">
                  <c:v>-110.33959605068455</c:v>
                </c:pt>
                <c:pt idx="215">
                  <c:v>-110.31301455080262</c:v>
                </c:pt>
                <c:pt idx="216">
                  <c:v>-110.287152577512</c:v>
                </c:pt>
                <c:pt idx="217">
                  <c:v>-110.2619995430227</c:v>
                </c:pt>
                <c:pt idx="218">
                  <c:v>-110.23699552861319</c:v>
                </c:pt>
                <c:pt idx="219">
                  <c:v>-110.21271137624009</c:v>
                </c:pt>
                <c:pt idx="220">
                  <c:v>-110.18913638654382</c:v>
                </c:pt>
                <c:pt idx="221">
                  <c:v>-110.16626006300426</c:v>
                </c:pt>
                <c:pt idx="222">
                  <c:v>-110.14358523745405</c:v>
                </c:pt>
                <c:pt idx="223">
                  <c:v>-110.12161902138169</c:v>
                </c:pt>
                <c:pt idx="224">
                  <c:v>-110.10035082889985</c:v>
                </c:pt>
                <c:pt idx="225">
                  <c:v>-110.07977027649162</c:v>
                </c:pt>
                <c:pt idx="226">
                  <c:v>-110.05937971674165</c:v>
                </c:pt>
                <c:pt idx="227">
                  <c:v>-110.03969004455195</c:v>
                </c:pt>
                <c:pt idx="228">
                  <c:v>-110.02069071278218</c:v>
                </c:pt>
                <c:pt idx="229">
                  <c:v>-110.00237137802567</c:v>
                </c:pt>
                <c:pt idx="230">
                  <c:v>-109.96692273182337</c:v>
                </c:pt>
                <c:pt idx="231">
                  <c:v>-109.95022612973855</c:v>
                </c:pt>
                <c:pt idx="232">
                  <c:v>-109.93420090378665</c:v>
                </c:pt>
                <c:pt idx="233">
                  <c:v>-109.91848020815627</c:v>
                </c:pt>
                <c:pt idx="234">
                  <c:v>-109.90344198056812</c:v>
                </c:pt>
                <c:pt idx="235">
                  <c:v>-109.8890758293644</c:v>
                </c:pt>
                <c:pt idx="236">
                  <c:v>-109.8753715671826</c:v>
                </c:pt>
                <c:pt idx="237">
                  <c:v>-109.86206105475594</c:v>
                </c:pt>
                <c:pt idx="238">
                  <c:v>-109.84941876735149</c:v>
                </c:pt>
                <c:pt idx="239">
                  <c:v>-109.83743451195899</c:v>
                </c:pt>
                <c:pt idx="240">
                  <c:v>-109.82609829687576</c:v>
                </c:pt>
                <c:pt idx="241">
                  <c:v>-109.8151350819147</c:v>
                </c:pt>
                <c:pt idx="242">
                  <c:v>-109.80483281158524</c:v>
                </c:pt>
                <c:pt idx="243">
                  <c:v>-109.79518133695731</c:v>
                </c:pt>
                <c:pt idx="244">
                  <c:v>-109.78617071141124</c:v>
                </c:pt>
                <c:pt idx="245">
                  <c:v>-109.77761256441357</c:v>
                </c:pt>
                <c:pt idx="246">
                  <c:v>-109.76970359563688</c:v>
                </c:pt>
                <c:pt idx="247">
                  <c:v>-109.76243380685987</c:v>
                </c:pt>
                <c:pt idx="248">
                  <c:v>-109.75579340029616</c:v>
                </c:pt>
                <c:pt idx="249">
                  <c:v>-109.74963359215194</c:v>
                </c:pt>
                <c:pt idx="250">
                  <c:v>-109.74411405241476</c:v>
                </c:pt>
                <c:pt idx="251">
                  <c:v>-109.73922487187832</c:v>
                </c:pt>
                <c:pt idx="252">
                  <c:v>-109.73495634147703</c:v>
                </c:pt>
                <c:pt idx="253">
                  <c:v>-109.73122807798039</c:v>
                </c:pt>
                <c:pt idx="254">
                  <c:v>-109.72812716781968</c:v>
                </c:pt>
                <c:pt idx="255">
                  <c:v>-109.72564388745604</c:v>
                </c:pt>
                <c:pt idx="256">
                  <c:v>-109.72376871053865</c:v>
                </c:pt>
                <c:pt idx="257">
                  <c:v>-109.72246711007921</c:v>
                </c:pt>
                <c:pt idx="258">
                  <c:v>-109.72178583302569</c:v>
                </c:pt>
                <c:pt idx="259">
                  <c:v>-109.7217152090173</c:v>
                </c:pt>
                <c:pt idx="260">
                  <c:v>-109.722245765447</c:v>
                </c:pt>
                <c:pt idx="261">
                  <c:v>-109.72340054039557</c:v>
                </c:pt>
                <c:pt idx="262">
                  <c:v>-109.72516470370593</c:v>
                </c:pt>
                <c:pt idx="263">
                  <c:v>-109.72752873266467</c:v>
                </c:pt>
                <c:pt idx="264">
                  <c:v>-109.73048330026735</c:v>
                </c:pt>
                <c:pt idx="265">
                  <c:v>-109.73410438219808</c:v>
                </c:pt>
                <c:pt idx="266">
                  <c:v>-109.73832343670335</c:v>
                </c:pt>
                <c:pt idx="267">
                  <c:v>-109.74313110405177</c:v>
                </c:pt>
                <c:pt idx="268">
                  <c:v>-109.74851821769417</c:v>
                </c:pt>
                <c:pt idx="269">
                  <c:v>-109.75462668475379</c:v>
                </c:pt>
                <c:pt idx="270">
                  <c:v>-109.76132406741941</c:v>
                </c:pt>
                <c:pt idx="271">
                  <c:v>-109.76860111769294</c:v>
                </c:pt>
                <c:pt idx="272">
                  <c:v>-109.77644877958329</c:v>
                </c:pt>
                <c:pt idx="273">
                  <c:v>-109.78506322878019</c:v>
                </c:pt>
                <c:pt idx="274">
                  <c:v>-109.79425691806104</c:v>
                </c:pt>
                <c:pt idx="275">
                  <c:v>-109.80402072940421</c:v>
                </c:pt>
                <c:pt idx="276">
                  <c:v>-109.81434573507012</c:v>
                </c:pt>
                <c:pt idx="277">
                  <c:v>-109.82545454782489</c:v>
                </c:pt>
                <c:pt idx="278">
                  <c:v>-109.83712986036494</c:v>
                </c:pt>
                <c:pt idx="279">
                  <c:v>-109.84936276068828</c:v>
                </c:pt>
                <c:pt idx="280">
                  <c:v>-109.8621445231842</c:v>
                </c:pt>
                <c:pt idx="281">
                  <c:v>-109.87583491018127</c:v>
                </c:pt>
                <c:pt idx="282">
                  <c:v>-109.89008622220449</c:v>
                </c:pt>
                <c:pt idx="283">
                  <c:v>-109.9048895883911</c:v>
                </c:pt>
                <c:pt idx="284">
                  <c:v>-109.9202363249246</c:v>
                </c:pt>
                <c:pt idx="285">
                  <c:v>-109.93643740962801</c:v>
                </c:pt>
                <c:pt idx="286">
                  <c:v>-109.95318590675298</c:v>
                </c:pt>
                <c:pt idx="287">
                  <c:v>-109.97047317752981</c:v>
                </c:pt>
                <c:pt idx="288">
                  <c:v>-109.98829076550456</c:v>
                </c:pt>
                <c:pt idx="289">
                  <c:v>-110.0071115446456</c:v>
                </c:pt>
                <c:pt idx="290">
                  <c:v>-110.02647296548399</c:v>
                </c:pt>
                <c:pt idx="291">
                  <c:v>-110.04636646612049</c:v>
                </c:pt>
                <c:pt idx="292">
                  <c:v>-110.06678366655133</c:v>
                </c:pt>
                <c:pt idx="293">
                  <c:v>-110.08820613245175</c:v>
                </c:pt>
                <c:pt idx="294">
                  <c:v>-110.11015959908453</c:v>
                </c:pt>
                <c:pt idx="295">
                  <c:v>-110.13263565292227</c:v>
                </c:pt>
                <c:pt idx="296">
                  <c:v>-110.15562605986267</c:v>
                </c:pt>
                <c:pt idx="297">
                  <c:v>-110.17965927218181</c:v>
                </c:pt>
                <c:pt idx="298">
                  <c:v>-110.20421347504015</c:v>
                </c:pt>
                <c:pt idx="299">
                  <c:v>-110.22928041592347</c:v>
                </c:pt>
                <c:pt idx="300">
                  <c:v>-110.25485201886879</c:v>
                </c:pt>
                <c:pt idx="301">
                  <c:v>-110.28150173533892</c:v>
                </c:pt>
                <c:pt idx="302">
                  <c:v>-110.30866213937621</c:v>
                </c:pt>
                <c:pt idx="303">
                  <c:v>-110.33632515032727</c:v>
                </c:pt>
                <c:pt idx="304">
                  <c:v>-110.364482860862</c:v>
                </c:pt>
                <c:pt idx="305">
                  <c:v>-110.39386543530406</c:v>
                </c:pt>
                <c:pt idx="306">
                  <c:v>-110.42375199624203</c:v>
                </c:pt>
                <c:pt idx="307">
                  <c:v>-110.45413455353577</c:v>
                </c:pt>
                <c:pt idx="308">
                  <c:v>-110.48500528942546</c:v>
                </c:pt>
                <c:pt idx="309">
                  <c:v>-110.51702232802687</c:v>
                </c:pt>
                <c:pt idx="310">
                  <c:v>-110.54953239350249</c:v>
                </c:pt>
                <c:pt idx="311">
                  <c:v>-110.58252769085276</c:v>
                </c:pt>
                <c:pt idx="312">
                  <c:v>-110.61600059348309</c:v>
                </c:pt>
                <c:pt idx="313">
                  <c:v>-110.65077732932994</c:v>
                </c:pt>
                <c:pt idx="314">
                  <c:v>-110.6860395736034</c:v>
                </c:pt>
                <c:pt idx="315">
                  <c:v>-110.72177964906548</c:v>
                </c:pt>
                <c:pt idx="316">
                  <c:v>-110.75799004509129</c:v>
                </c:pt>
                <c:pt idx="317">
                  <c:v>-110.79554217206859</c:v>
                </c:pt>
                <c:pt idx="318">
                  <c:v>-110.83357186617953</c:v>
                </c:pt>
                <c:pt idx="319">
                  <c:v>-110.87207158188414</c:v>
                </c:pt>
                <c:pt idx="320">
                  <c:v>-110.9110339380334</c:v>
                </c:pt>
                <c:pt idx="321">
                  <c:v>-110.95137376769371</c:v>
                </c:pt>
                <c:pt idx="322">
                  <c:v>-110.9921828780208</c:v>
                </c:pt>
                <c:pt idx="323">
                  <c:v>-111.03345386734297</c:v>
                </c:pt>
                <c:pt idx="324">
                  <c:v>-111.07517949577341</c:v>
                </c:pt>
                <c:pt idx="325">
                  <c:v>-111.11831630926149</c:v>
                </c:pt>
                <c:pt idx="326">
                  <c:v>-111.16191384419291</c:v>
                </c:pt>
                <c:pt idx="327">
                  <c:v>-111.20596485324727</c:v>
                </c:pt>
                <c:pt idx="328">
                  <c:v>-111.25046224794576</c:v>
                </c:pt>
                <c:pt idx="329">
                  <c:v>-111.29647983399531</c:v>
                </c:pt>
                <c:pt idx="330">
                  <c:v>-111.34295087747608</c:v>
                </c:pt>
                <c:pt idx="331">
                  <c:v>-111.38986825910298</c:v>
                </c:pt>
                <c:pt idx="332">
                  <c:v>-111.43722501622538</c:v>
                </c:pt>
                <c:pt idx="333">
                  <c:v>-111.4860562483389</c:v>
                </c:pt>
                <c:pt idx="334">
                  <c:v>-111.53533192246023</c:v>
                </c:pt>
                <c:pt idx="335">
                  <c:v>-111.58504509252447</c:v>
                </c:pt>
                <c:pt idx="336">
                  <c:v>-111.63518896554292</c:v>
                </c:pt>
                <c:pt idx="337">
                  <c:v>-111.68700157641175</c:v>
                </c:pt>
                <c:pt idx="338">
                  <c:v>-111.73925230196595</c:v>
                </c:pt>
                <c:pt idx="339">
                  <c:v>-111.79193431078203</c:v>
                </c:pt>
                <c:pt idx="340">
                  <c:v>-111.84504092264204</c:v>
                </c:pt>
                <c:pt idx="341">
                  <c:v>-111.89985116663654</c:v>
                </c:pt>
                <c:pt idx="342">
                  <c:v>-111.95509286606564</c:v>
                </c:pt>
                <c:pt idx="343">
                  <c:v>-112.0107593162833</c:v>
                </c:pt>
                <c:pt idx="344">
                  <c:v>-112.06684396160006</c:v>
                </c:pt>
                <c:pt idx="345">
                  <c:v>-112.12457694107181</c:v>
                </c:pt>
                <c:pt idx="346">
                  <c:v>-112.18273317340001</c:v>
                </c:pt>
                <c:pt idx="347">
                  <c:v>-112.24130612085125</c:v>
                </c:pt>
                <c:pt idx="348">
                  <c:v>-112.30028939118833</c:v>
                </c:pt>
                <c:pt idx="349">
                  <c:v>-112.36113020159561</c:v>
                </c:pt>
                <c:pt idx="350">
                  <c:v>-112.42238846658356</c:v>
                </c:pt>
                <c:pt idx="351">
                  <c:v>-112.4840577642519</c:v>
                </c:pt>
                <c:pt idx="352">
                  <c:v>-112.54613181622135</c:v>
                </c:pt>
                <c:pt idx="353">
                  <c:v>-112.6100967369906</c:v>
                </c:pt>
                <c:pt idx="354">
                  <c:v>-112.67447304127867</c:v>
                </c:pt>
                <c:pt idx="355">
                  <c:v>-112.73925443398576</c:v>
                </c:pt>
                <c:pt idx="356">
                  <c:v>-112.80443476121263</c:v>
                </c:pt>
                <c:pt idx="357">
                  <c:v>-112.87144198790625</c:v>
                </c:pt>
                <c:pt idx="358">
                  <c:v>-112.93885317829746</c:v>
                </c:pt>
                <c:pt idx="359">
                  <c:v>-113.0066621994476</c:v>
                </c:pt>
                <c:pt idx="360">
                  <c:v>-113.07486305621939</c:v>
                </c:pt>
                <c:pt idx="361">
                  <c:v>-113.14511319109151</c:v>
                </c:pt>
                <c:pt idx="362">
                  <c:v>-113.21576203920155</c:v>
                </c:pt>
                <c:pt idx="363">
                  <c:v>-113.28680358519591</c:v>
                </c:pt>
                <c:pt idx="364">
                  <c:v>-113.35823194943076</c:v>
                </c:pt>
                <c:pt idx="365">
                  <c:v>-113.43164143443505</c:v>
                </c:pt>
                <c:pt idx="366">
                  <c:v>-113.50544311445078</c:v>
                </c:pt>
                <c:pt idx="367">
                  <c:v>-113.57963112507687</c:v>
                </c:pt>
                <c:pt idx="368">
                  <c:v>-113.65419973450707</c:v>
                </c:pt>
                <c:pt idx="369">
                  <c:v>-113.73098085095582</c:v>
                </c:pt>
                <c:pt idx="370">
                  <c:v>-113.8081496428468</c:v>
                </c:pt>
                <c:pt idx="371">
                  <c:v>-113.88570035698464</c:v>
                </c:pt>
                <c:pt idx="372">
                  <c:v>-113.96362737082721</c:v>
                </c:pt>
                <c:pt idx="373">
                  <c:v>-114.04369475674301</c:v>
                </c:pt>
                <c:pt idx="374">
                  <c:v>-114.12414411445791</c:v>
                </c:pt>
                <c:pt idx="375">
                  <c:v>-114.20496983331493</c:v>
                </c:pt>
                <c:pt idx="376">
                  <c:v>-114.28616643040229</c:v>
                </c:pt>
                <c:pt idx="377">
                  <c:v>-114.36974307833151</c:v>
                </c:pt>
                <c:pt idx="378">
                  <c:v>-114.45369785040765</c:v>
                </c:pt>
                <c:pt idx="379">
                  <c:v>-114.53802524297177</c:v>
                </c:pt>
                <c:pt idx="380">
                  <c:v>-114.62271987825591</c:v>
                </c:pt>
                <c:pt idx="381">
                  <c:v>-114.70961077365565</c:v>
                </c:pt>
                <c:pt idx="382">
                  <c:v>-114.79687392996458</c:v>
                </c:pt>
                <c:pt idx="383">
                  <c:v>-114.88450399946871</c:v>
                </c:pt>
                <c:pt idx="384">
                  <c:v>-114.97249575697987</c:v>
                </c:pt>
                <c:pt idx="385">
                  <c:v>-115.06303813148865</c:v>
                </c:pt>
                <c:pt idx="386">
                  <c:v>-115.15394961296496</c:v>
                </c:pt>
                <c:pt idx="387">
                  <c:v>-115.24522495665603</c:v>
                </c:pt>
                <c:pt idx="388">
                  <c:v>-115.33685903855803</c:v>
                </c:pt>
                <c:pt idx="389">
                  <c:v>-115.43096435372578</c:v>
                </c:pt>
                <c:pt idx="390">
                  <c:v>-115.52543460527598</c:v>
                </c:pt>
                <c:pt idx="391">
                  <c:v>-115.62026467863105</c:v>
                </c:pt>
                <c:pt idx="392">
                  <c:v>-115.71544957733011</c:v>
                </c:pt>
                <c:pt idx="393">
                  <c:v>-115.81313398206636</c:v>
                </c:pt>
                <c:pt idx="394">
                  <c:v>-115.9111791286612</c:v>
                </c:pt>
                <c:pt idx="395">
                  <c:v>-116.00958003839354</c:v>
                </c:pt>
                <c:pt idx="396">
                  <c:v>-116.10833184782133</c:v>
                </c:pt>
                <c:pt idx="397">
                  <c:v>-116.20983991658601</c:v>
                </c:pt>
                <c:pt idx="398">
                  <c:v>-116.31170615793597</c:v>
                </c:pt>
                <c:pt idx="399">
                  <c:v>-116.41392570099489</c:v>
                </c:pt>
                <c:pt idx="400">
                  <c:v>-116.51649378815871</c:v>
                </c:pt>
                <c:pt idx="401">
                  <c:v>-116.62173277507732</c:v>
                </c:pt>
                <c:pt idx="402">
                  <c:v>-116.72732650638856</c:v>
                </c:pt>
                <c:pt idx="403">
                  <c:v>-116.83327024213696</c:v>
                </c:pt>
                <c:pt idx="404">
                  <c:v>-116.93955935288534</c:v>
                </c:pt>
                <c:pt idx="405">
                  <c:v>-117.04866487838414</c:v>
                </c:pt>
                <c:pt idx="406">
                  <c:v>-117.15812251085245</c:v>
                </c:pt>
                <c:pt idx="407">
                  <c:v>-117.26792763078608</c:v>
                </c:pt>
                <c:pt idx="408">
                  <c:v>-117.37807572672912</c:v>
                </c:pt>
                <c:pt idx="409">
                  <c:v>-117.49118859116271</c:v>
                </c:pt>
                <c:pt idx="410">
                  <c:v>-117.60465166954873</c:v>
                </c:pt>
                <c:pt idx="411">
                  <c:v>-117.7184604538801</c:v>
                </c:pt>
                <c:pt idx="412">
                  <c:v>-117.8326105419622</c:v>
                </c:pt>
                <c:pt idx="413">
                  <c:v>-117.94975567126278</c:v>
                </c:pt>
                <c:pt idx="414">
                  <c:v>-118.06724911440826</c:v>
                </c:pt>
                <c:pt idx="415">
                  <c:v>-118.18508648065604</c:v>
                </c:pt>
                <c:pt idx="416">
                  <c:v>-118.30326348260985</c:v>
                </c:pt>
                <c:pt idx="417">
                  <c:v>-118.42458716164784</c:v>
                </c:pt>
                <c:pt idx="418">
                  <c:v>-118.54625798377535</c:v>
                </c:pt>
                <c:pt idx="419">
                  <c:v>-118.66827166731144</c:v>
                </c:pt>
                <c:pt idx="420">
                  <c:v>-118.79062403165385</c:v>
                </c:pt>
                <c:pt idx="421">
                  <c:v>-118.91603015418494</c:v>
                </c:pt>
                <c:pt idx="422">
                  <c:v>-119.04178159403567</c:v>
                </c:pt>
                <c:pt idx="423">
                  <c:v>-119.16787419577203</c:v>
                </c:pt>
                <c:pt idx="424">
                  <c:v>-119.29430390216304</c:v>
                </c:pt>
                <c:pt idx="425">
                  <c:v>-119.42419008241359</c:v>
                </c:pt>
                <c:pt idx="426">
                  <c:v>-119.55442184170612</c:v>
                </c:pt>
                <c:pt idx="427">
                  <c:v>-119.68499511848326</c:v>
                </c:pt>
                <c:pt idx="428">
                  <c:v>-119.81590594745316</c:v>
                </c:pt>
                <c:pt idx="429">
                  <c:v>-119.95018017171442</c:v>
                </c:pt>
                <c:pt idx="430">
                  <c:v>-120.08479959240039</c:v>
                </c:pt>
                <c:pt idx="431">
                  <c:v>-120.21976025852257</c:v>
                </c:pt>
                <c:pt idx="432">
                  <c:v>-120.35505831280398</c:v>
                </c:pt>
                <c:pt idx="433">
                  <c:v>-120.49375029252381</c:v>
                </c:pt>
                <c:pt idx="434">
                  <c:v>-120.63278716914157</c:v>
                </c:pt>
                <c:pt idx="435">
                  <c:v>-120.77216510515782</c:v>
                </c:pt>
                <c:pt idx="436">
                  <c:v>-120.91188035403145</c:v>
                </c:pt>
                <c:pt idx="437">
                  <c:v>-121.05527698964254</c:v>
                </c:pt>
                <c:pt idx="438">
                  <c:v>-121.19901956896221</c:v>
                </c:pt>
                <c:pt idx="439">
                  <c:v>-121.3431043498322</c:v>
                </c:pt>
                <c:pt idx="440">
                  <c:v>-121.48752767874603</c:v>
                </c:pt>
                <c:pt idx="441">
                  <c:v>-121.6356654867825</c:v>
                </c:pt>
                <c:pt idx="442">
                  <c:v>-121.78415034782293</c:v>
                </c:pt>
                <c:pt idx="443">
                  <c:v>-121.93297861818768</c:v>
                </c:pt>
                <c:pt idx="444">
                  <c:v>-122.08214674029765</c:v>
                </c:pt>
                <c:pt idx="445">
                  <c:v>-122.23506189649235</c:v>
                </c:pt>
                <c:pt idx="446">
                  <c:v>-122.38832530608146</c:v>
                </c:pt>
                <c:pt idx="447">
                  <c:v>-122.54193342563867</c:v>
                </c:pt>
                <c:pt idx="448">
                  <c:v>-122.69588279506293</c:v>
                </c:pt>
                <c:pt idx="449">
                  <c:v>-122.85387599416204</c:v>
                </c:pt>
                <c:pt idx="450">
                  <c:v>-123.01221992846308</c:v>
                </c:pt>
                <c:pt idx="451">
                  <c:v>-123.17091113808195</c:v>
                </c:pt>
                <c:pt idx="452">
                  <c:v>-123.32994624400968</c:v>
                </c:pt>
                <c:pt idx="453">
                  <c:v>-123.49292681229888</c:v>
                </c:pt>
                <c:pt idx="454">
                  <c:v>-123.65626009402807</c:v>
                </c:pt>
                <c:pt idx="455">
                  <c:v>-123.81994272229119</c:v>
                </c:pt>
                <c:pt idx="456">
                  <c:v>-123.98397140808672</c:v>
                </c:pt>
                <c:pt idx="457">
                  <c:v>-124.15224787399951</c:v>
                </c:pt>
                <c:pt idx="458">
                  <c:v>-124.32088028125369</c:v>
                </c:pt>
                <c:pt idx="459">
                  <c:v>-124.48986533903813</c:v>
                </c:pt>
                <c:pt idx="460">
                  <c:v>-124.65919983173252</c:v>
                </c:pt>
                <c:pt idx="461">
                  <c:v>-124.83281814605262</c:v>
                </c:pt>
                <c:pt idx="462">
                  <c:v>-125.00679570369361</c:v>
                </c:pt>
                <c:pt idx="463">
                  <c:v>-125.1811292890835</c:v>
                </c:pt>
                <c:pt idx="464">
                  <c:v>-125.35581575884859</c:v>
                </c:pt>
                <c:pt idx="465">
                  <c:v>-125.53495862323783</c:v>
                </c:pt>
                <c:pt idx="466">
                  <c:v>-125.71446466669491</c:v>
                </c:pt>
                <c:pt idx="467">
                  <c:v>-125.89433073921781</c:v>
                </c:pt>
                <c:pt idx="468">
                  <c:v>-126.07455375995153</c:v>
                </c:pt>
                <c:pt idx="469">
                  <c:v>-126.25927018702943</c:v>
                </c:pt>
                <c:pt idx="470">
                  <c:v>-126.44435378879641</c:v>
                </c:pt>
                <c:pt idx="471">
                  <c:v>-126.62980147736592</c:v>
                </c:pt>
                <c:pt idx="472">
                  <c:v>-126.81561023065427</c:v>
                </c:pt>
                <c:pt idx="473">
                  <c:v>-127.00622721980881</c:v>
                </c:pt>
                <c:pt idx="474">
                  <c:v>-127.19721651401302</c:v>
                </c:pt>
                <c:pt idx="475">
                  <c:v>-127.38857506901883</c:v>
                </c:pt>
                <c:pt idx="476">
                  <c:v>-127.58029990310953</c:v>
                </c:pt>
                <c:pt idx="477">
                  <c:v>-127.77687259895652</c:v>
                </c:pt>
                <c:pt idx="478">
                  <c:v>-127.97382273214683</c:v>
                </c:pt>
                <c:pt idx="479">
                  <c:v>-128.17114729611765</c:v>
                </c:pt>
                <c:pt idx="480">
                  <c:v>-128.36884334321647</c:v>
                </c:pt>
                <c:pt idx="481">
                  <c:v>-128.57142655004031</c:v>
                </c:pt>
                <c:pt idx="482">
                  <c:v>-128.77439230831448</c:v>
                </c:pt>
                <c:pt idx="483">
                  <c:v>-128.977737640984</c:v>
                </c:pt>
                <c:pt idx="484">
                  <c:v>-129.18145962593869</c:v>
                </c:pt>
                <c:pt idx="485">
                  <c:v>-129.39024998798612</c:v>
                </c:pt>
                <c:pt idx="486">
                  <c:v>-129.59942849290761</c:v>
                </c:pt>
                <c:pt idx="487">
                  <c:v>-129.80899217668252</c:v>
                </c:pt>
                <c:pt idx="488">
                  <c:v>-130.01893812606411</c:v>
                </c:pt>
                <c:pt idx="489">
                  <c:v>-130.2342792359288</c:v>
                </c:pt>
                <c:pt idx="490">
                  <c:v>-130.45001501738201</c:v>
                </c:pt>
                <c:pt idx="491">
                  <c:v>-130.6661424952143</c:v>
                </c:pt>
                <c:pt idx="492">
                  <c:v>-130.88265874068568</c:v>
                </c:pt>
                <c:pt idx="493">
                  <c:v>-131.10461303035999</c:v>
                </c:pt>
                <c:pt idx="494">
                  <c:v>-131.32696832751083</c:v>
                </c:pt>
                <c:pt idx="495">
                  <c:v>-131.54972163123432</c:v>
                </c:pt>
                <c:pt idx="496">
                  <c:v>-131.77286998234976</c:v>
                </c:pt>
                <c:pt idx="497">
                  <c:v>-132.00164414852455</c:v>
                </c:pt>
                <c:pt idx="498">
                  <c:v>-132.23082591363271</c:v>
                </c:pt>
                <c:pt idx="499">
                  <c:v>-132.46041222778402</c:v>
                </c:pt>
                <c:pt idx="500">
                  <c:v>-132.69040007771252</c:v>
                </c:pt>
                <c:pt idx="501">
                  <c:v>-132.92620350422524</c:v>
                </c:pt>
                <c:pt idx="502">
                  <c:v>-133.16242127512882</c:v>
                </c:pt>
                <c:pt idx="503">
                  <c:v>-133.39905026518679</c:v>
                </c:pt>
                <c:pt idx="504">
                  <c:v>-133.63608738028731</c:v>
                </c:pt>
                <c:pt idx="505">
                  <c:v>-133.8789842620441</c:v>
                </c:pt>
                <c:pt idx="506">
                  <c:v>-134.12230175991363</c:v>
                </c:pt>
                <c:pt idx="507">
                  <c:v>-134.36603664928086</c:v>
                </c:pt>
                <c:pt idx="508">
                  <c:v>-134.61018573064689</c:v>
                </c:pt>
                <c:pt idx="509">
                  <c:v>-134.86038635604174</c:v>
                </c:pt>
                <c:pt idx="510">
                  <c:v>-135.11101377994171</c:v>
                </c:pt>
                <c:pt idx="511">
                  <c:v>-135.36206464466227</c:v>
                </c:pt>
                <c:pt idx="512">
                  <c:v>-135.61353561116678</c:v>
                </c:pt>
                <c:pt idx="513">
                  <c:v>-135.87140083022072</c:v>
                </c:pt>
                <c:pt idx="514">
                  <c:v>-136.12969927860578</c:v>
                </c:pt>
                <c:pt idx="515">
                  <c:v>-136.38842742149004</c:v>
                </c:pt>
                <c:pt idx="516">
                  <c:v>-136.64758173574279</c:v>
                </c:pt>
                <c:pt idx="517">
                  <c:v>-136.91317589342762</c:v>
                </c:pt>
                <c:pt idx="518">
                  <c:v>-137.17920875957518</c:v>
                </c:pt>
                <c:pt idx="519">
                  <c:v>-137.44567658541496</c:v>
                </c:pt>
                <c:pt idx="520">
                  <c:v>-137.71257562634599</c:v>
                </c:pt>
                <c:pt idx="521">
                  <c:v>-137.98611000672705</c:v>
                </c:pt>
                <c:pt idx="522">
                  <c:v>-138.26008791848989</c:v>
                </c:pt>
                <c:pt idx="523">
                  <c:v>-138.53450535089695</c:v>
                </c:pt>
                <c:pt idx="524">
                  <c:v>-138.80935828928</c:v>
                </c:pt>
                <c:pt idx="525">
                  <c:v>-139.09104269046674</c:v>
                </c:pt>
                <c:pt idx="526">
                  <c:v>-139.37317454094637</c:v>
                </c:pt>
                <c:pt idx="527">
                  <c:v>-139.65574951428189</c:v>
                </c:pt>
                <c:pt idx="528">
                  <c:v>-139.93876327142272</c:v>
                </c:pt>
                <c:pt idx="529">
                  <c:v>-140.22880484507135</c:v>
                </c:pt>
                <c:pt idx="530">
                  <c:v>-140.51929659666106</c:v>
                </c:pt>
                <c:pt idx="531">
                  <c:v>-140.8102338241865</c:v>
                </c:pt>
                <c:pt idx="532">
                  <c:v>-141.10161180376224</c:v>
                </c:pt>
                <c:pt idx="533">
                  <c:v>-141.40036799512458</c:v>
                </c:pt>
                <c:pt idx="534">
                  <c:v>-141.69957604439441</c:v>
                </c:pt>
                <c:pt idx="535">
                  <c:v>-141.99923079961735</c:v>
                </c:pt>
                <c:pt idx="536">
                  <c:v>-142.29932707706661</c:v>
                </c:pt>
                <c:pt idx="537">
                  <c:v>-142.60668792094626</c:v>
                </c:pt>
                <c:pt idx="538">
                  <c:v>-142.91449948726554</c:v>
                </c:pt>
                <c:pt idx="539">
                  <c:v>-143.22275611683676</c:v>
                </c:pt>
                <c:pt idx="540">
                  <c:v>-143.53145210843124</c:v>
                </c:pt>
                <c:pt idx="541">
                  <c:v>-143.84791745350662</c:v>
                </c:pt>
                <c:pt idx="542">
                  <c:v>-144.16483101195107</c:v>
                </c:pt>
                <c:pt idx="543">
                  <c:v>-144.48218651994907</c:v>
                </c:pt>
                <c:pt idx="544">
                  <c:v>-144.79997766078699</c:v>
                </c:pt>
                <c:pt idx="545">
                  <c:v>-145.12557439469674</c:v>
                </c:pt>
                <c:pt idx="546">
                  <c:v>-145.45161362278554</c:v>
                </c:pt>
                <c:pt idx="547">
                  <c:v>-145.77808839785234</c:v>
                </c:pt>
                <c:pt idx="548">
                  <c:v>-146.10499170873959</c:v>
                </c:pt>
                <c:pt idx="549">
                  <c:v>-146.43988961001537</c:v>
                </c:pt>
                <c:pt idx="550">
                  <c:v>-146.77522103457795</c:v>
                </c:pt>
                <c:pt idx="551">
                  <c:v>-147.11097825779541</c:v>
                </c:pt>
                <c:pt idx="552">
                  <c:v>-147.44715347992445</c:v>
                </c:pt>
                <c:pt idx="553">
                  <c:v>-147.79166708533904</c:v>
                </c:pt>
                <c:pt idx="554">
                  <c:v>-148.13660182087531</c:v>
                </c:pt>
                <c:pt idx="555">
                  <c:v>-148.48194907219903</c:v>
                </c:pt>
                <c:pt idx="556">
                  <c:v>-148.82770013870618</c:v>
                </c:pt>
                <c:pt idx="557">
                  <c:v>-149.53664645609877</c:v>
                </c:pt>
                <c:pt idx="558">
                  <c:v>-150.24717128001078</c:v>
                </c:pt>
                <c:pt idx="559">
                  <c:v>-150.97553409097421</c:v>
                </c:pt>
                <c:pt idx="560">
                  <c:v>-151.70538167153182</c:v>
                </c:pt>
                <c:pt idx="561">
                  <c:v>-152.45399273653521</c:v>
                </c:pt>
                <c:pt idx="562">
                  <c:v>-153.20397361125981</c:v>
                </c:pt>
                <c:pt idx="563">
                  <c:v>-153.97136187829639</c:v>
                </c:pt>
                <c:pt idx="564">
                  <c:v>-154.73997290033699</c:v>
                </c:pt>
                <c:pt idx="565">
                  <c:v>-155.52911778688804</c:v>
                </c:pt>
                <c:pt idx="566">
                  <c:v>-156.31931754842384</c:v>
                </c:pt>
                <c:pt idx="567">
                  <c:v>-157.12991747376918</c:v>
                </c:pt>
                <c:pt idx="568">
                  <c:v>-157.94136848079449</c:v>
                </c:pt>
                <c:pt idx="569">
                  <c:v>-158.76978759587013</c:v>
                </c:pt>
                <c:pt idx="570">
                  <c:v>-159.59881110544129</c:v>
                </c:pt>
                <c:pt idx="571">
                  <c:v>-160.45106935498501</c:v>
                </c:pt>
                <c:pt idx="572">
                  <c:v>-161.30365362227775</c:v>
                </c:pt>
                <c:pt idx="573">
                  <c:v>-162.1726774140337</c:v>
                </c:pt>
                <c:pt idx="574">
                  <c:v>-163.04170071327934</c:v>
                </c:pt>
                <c:pt idx="575">
                  <c:v>-163.93332491701267</c:v>
                </c:pt>
                <c:pt idx="576">
                  <c:v>-164.82457698221253</c:v>
                </c:pt>
                <c:pt idx="577">
                  <c:v>-168.58925024706272</c:v>
                </c:pt>
                <c:pt idx="578">
                  <c:v>-172.32933274549376</c:v>
                </c:pt>
                <c:pt idx="579">
                  <c:v>-180.36997966403658</c:v>
                </c:pt>
                <c:pt idx="580">
                  <c:v>-188.81742091908663</c:v>
                </c:pt>
                <c:pt idx="581">
                  <c:v>-197.462188637509</c:v>
                </c:pt>
                <c:pt idx="582">
                  <c:v>-206.0825552475587</c:v>
                </c:pt>
                <c:pt idx="583">
                  <c:v>-214.45220754334863</c:v>
                </c:pt>
                <c:pt idx="584">
                  <c:v>-222.39762622649491</c:v>
                </c:pt>
                <c:pt idx="585">
                  <c:v>-229.79189745134698</c:v>
                </c:pt>
                <c:pt idx="586">
                  <c:v>-236.57118022724512</c:v>
                </c:pt>
                <c:pt idx="587">
                  <c:v>-242.71863044333355</c:v>
                </c:pt>
                <c:pt idx="588">
                  <c:v>-248.23794612421651</c:v>
                </c:pt>
                <c:pt idx="589">
                  <c:v>-253.15959188167861</c:v>
                </c:pt>
                <c:pt idx="590">
                  <c:v>-257.5145157469683</c:v>
                </c:pt>
                <c:pt idx="591">
                  <c:v>-261.33822957620146</c:v>
                </c:pt>
                <c:pt idx="592">
                  <c:v>-264.66526898549535</c:v>
                </c:pt>
                <c:pt idx="593">
                  <c:v>-267.53106571496573</c:v>
                </c:pt>
                <c:pt idx="594">
                  <c:v>-269.96925444724218</c:v>
                </c:pt>
                <c:pt idx="595">
                  <c:v>-272.01539968189434</c:v>
                </c:pt>
                <c:pt idx="596">
                  <c:v>-273.705270539943</c:v>
                </c:pt>
                <c:pt idx="597">
                  <c:v>-275.07665966623193</c:v>
                </c:pt>
                <c:pt idx="598">
                  <c:v>-276.1676577139815</c:v>
                </c:pt>
                <c:pt idx="599">
                  <c:v>-277.01737805647394</c:v>
                </c:pt>
                <c:pt idx="600">
                  <c:v>-277.66409768496317</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333321344"/>
        <c:axId val="333322880"/>
      </c:scatterChart>
      <c:valAx>
        <c:axId val="332788864"/>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2790784"/>
        <c:crossesAt val="-40"/>
        <c:crossBetween val="midCat"/>
        <c:majorUnit val="10"/>
        <c:minorUnit val="10"/>
      </c:valAx>
      <c:valAx>
        <c:axId val="332790784"/>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332788864"/>
        <c:crossesAt val="0.1"/>
        <c:crossBetween val="midCat"/>
        <c:majorUnit val="20"/>
        <c:minorUnit val="4"/>
      </c:valAx>
      <c:valAx>
        <c:axId val="333321344"/>
        <c:scaling>
          <c:logBase val="10"/>
          <c:orientation val="minMax"/>
        </c:scaling>
        <c:delete val="1"/>
        <c:axPos val="t"/>
        <c:numFmt formatCode="General" sourceLinked="1"/>
        <c:majorTickMark val="out"/>
        <c:minorTickMark val="none"/>
        <c:tickLblPos val="none"/>
        <c:crossAx val="333322880"/>
        <c:crossesAt val="0"/>
        <c:crossBetween val="midCat"/>
      </c:valAx>
      <c:valAx>
        <c:axId val="33332288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33332134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A7-4FA6-AB73-85DC72E744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162817.6468352669</c:v>
                </c:pt>
              </c:numCache>
            </c:numRef>
          </c:xVal>
          <c:yVal>
            <c:numRef>
              <c:f>'Stability Calculations'!$U$627</c:f>
              <c:numCache>
                <c:formatCode>0.00</c:formatCode>
                <c:ptCount val="1"/>
                <c:pt idx="0">
                  <c:v>-15.43147044723</c:v>
                </c:pt>
              </c:numCache>
            </c:numRef>
          </c:yVal>
          <c:smooth val="0"/>
          <c:extLst>
            <c:ext xmlns:c16="http://schemas.microsoft.com/office/drawing/2014/chart" uri="{C3380CC4-5D6E-409C-BE32-E72D297353CC}">
              <c16:uniqueId val="{00000001-4BA7-4FA6-AB73-85DC72E7447B}"/>
            </c:ext>
          </c:extLst>
        </c:ser>
        <c:dLbls>
          <c:showLegendKey val="0"/>
          <c:showVal val="0"/>
          <c:showCatName val="0"/>
          <c:showSerName val="0"/>
          <c:showPercent val="0"/>
          <c:showBubbleSize val="0"/>
        </c:dLbls>
        <c:axId val="333063296"/>
        <c:axId val="33306521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103.76250593059312</c:v>
                </c:pt>
                <c:pt idx="1">
                  <c:v>103.23535706288351</c:v>
                </c:pt>
                <c:pt idx="2">
                  <c:v>102.67618092377404</c:v>
                </c:pt>
                <c:pt idx="3">
                  <c:v>102.0872226364047</c:v>
                </c:pt>
                <c:pt idx="4">
                  <c:v>101.47135536702841</c:v>
                </c:pt>
                <c:pt idx="5">
                  <c:v>100.83010923526786</c:v>
                </c:pt>
                <c:pt idx="6">
                  <c:v>100.16695189492432</c:v>
                </c:pt>
                <c:pt idx="7">
                  <c:v>99.483962775938522</c:v>
                </c:pt>
                <c:pt idx="8">
                  <c:v>98.784026515101303</c:v>
                </c:pt>
                <c:pt idx="9">
                  <c:v>98.068828847444308</c:v>
                </c:pt>
                <c:pt idx="10">
                  <c:v>97.340796871649275</c:v>
                </c:pt>
                <c:pt idx="11">
                  <c:v>96.601646186074518</c:v>
                </c:pt>
                <c:pt idx="12">
                  <c:v>95.852589563444454</c:v>
                </c:pt>
                <c:pt idx="13">
                  <c:v>95.095760210768418</c:v>
                </c:pt>
                <c:pt idx="14">
                  <c:v>94.331786413678955</c:v>
                </c:pt>
                <c:pt idx="15">
                  <c:v>93.562022060260617</c:v>
                </c:pt>
                <c:pt idx="16">
                  <c:v>92.787317594529966</c:v>
                </c:pt>
                <c:pt idx="17">
                  <c:v>92.008562329541519</c:v>
                </c:pt>
                <c:pt idx="18">
                  <c:v>91.226191288913085</c:v>
                </c:pt>
                <c:pt idx="19">
                  <c:v>90.440973963695626</c:v>
                </c:pt>
                <c:pt idx="20">
                  <c:v>89.653225662563727</c:v>
                </c:pt>
                <c:pt idx="21">
                  <c:v>88.863503598963959</c:v>
                </c:pt>
                <c:pt idx="22">
                  <c:v>88.071971469922772</c:v>
                </c:pt>
                <c:pt idx="23">
                  <c:v>87.279103076374128</c:v>
                </c:pt>
                <c:pt idx="24">
                  <c:v>86.48492847539417</c:v>
                </c:pt>
                <c:pt idx="25">
                  <c:v>85.68976326598937</c:v>
                </c:pt>
                <c:pt idx="26">
                  <c:v>84.893581892674419</c:v>
                </c:pt>
                <c:pt idx="27">
                  <c:v>84.096769841522303</c:v>
                </c:pt>
                <c:pt idx="28">
                  <c:v>83.299404905577944</c:v>
                </c:pt>
                <c:pt idx="29">
                  <c:v>82.502071610107507</c:v>
                </c:pt>
                <c:pt idx="30">
                  <c:v>81.703493112073389</c:v>
                </c:pt>
                <c:pt idx="31">
                  <c:v>80.904841974602249</c:v>
                </c:pt>
                <c:pt idx="32">
                  <c:v>80.105620925237204</c:v>
                </c:pt>
                <c:pt idx="33">
                  <c:v>79.306432699802883</c:v>
                </c:pt>
                <c:pt idx="34">
                  <c:v>78.506684076513139</c:v>
                </c:pt>
                <c:pt idx="35">
                  <c:v>77.706838736160194</c:v>
                </c:pt>
                <c:pt idx="36">
                  <c:v>76.906778922690961</c:v>
                </c:pt>
                <c:pt idx="37">
                  <c:v>76.106069169439536</c:v>
                </c:pt>
                <c:pt idx="38">
                  <c:v>75.305458199267306</c:v>
                </c:pt>
                <c:pt idx="39">
                  <c:v>74.50427724921424</c:v>
                </c:pt>
                <c:pt idx="40">
                  <c:v>73.702794304744032</c:v>
                </c:pt>
                <c:pt idx="41">
                  <c:v>72.900893008074618</c:v>
                </c:pt>
                <c:pt idx="42">
                  <c:v>72.098622174924159</c:v>
                </c:pt>
                <c:pt idx="43">
                  <c:v>71.295667736600009</c:v>
                </c:pt>
                <c:pt idx="44">
                  <c:v>70.492145838991604</c:v>
                </c:pt>
                <c:pt idx="45">
                  <c:v>69.687774949399582</c:v>
                </c:pt>
                <c:pt idx="46">
                  <c:v>68.882572288470143</c:v>
                </c:pt>
                <c:pt idx="47">
                  <c:v>68.076188948130337</c:v>
                </c:pt>
                <c:pt idx="48">
                  <c:v>67.268612286198177</c:v>
                </c:pt>
                <c:pt idx="49">
                  <c:v>66.459382902038172</c:v>
                </c:pt>
                <c:pt idx="50">
                  <c:v>65.648322867330705</c:v>
                </c:pt>
                <c:pt idx="51">
                  <c:v>64.83488190060298</c:v>
                </c:pt>
                <c:pt idx="52">
                  <c:v>64.018890155313144</c:v>
                </c:pt>
                <c:pt idx="53">
                  <c:v>63.199809201820578</c:v>
                </c:pt>
                <c:pt idx="54">
                  <c:v>62.377553186850633</c:v>
                </c:pt>
                <c:pt idx="55">
                  <c:v>61.550025394787838</c:v>
                </c:pt>
                <c:pt idx="56">
                  <c:v>60.717553039461748</c:v>
                </c:pt>
                <c:pt idx="57">
                  <c:v>59.878610387114023</c:v>
                </c:pt>
                <c:pt idx="58">
                  <c:v>59.032683348216935</c:v>
                </c:pt>
                <c:pt idx="59">
                  <c:v>58.17784030993208</c:v>
                </c:pt>
                <c:pt idx="60">
                  <c:v>57.313102481712789</c:v>
                </c:pt>
                <c:pt idx="61">
                  <c:v>56.436698066638954</c:v>
                </c:pt>
                <c:pt idx="62">
                  <c:v>55.546316980233613</c:v>
                </c:pt>
                <c:pt idx="63">
                  <c:v>54.640801350839226</c:v>
                </c:pt>
                <c:pt idx="64">
                  <c:v>53.717266197880434</c:v>
                </c:pt>
                <c:pt idx="65">
                  <c:v>52.773782359587585</c:v>
                </c:pt>
                <c:pt idx="66">
                  <c:v>51.807945476585502</c:v>
                </c:pt>
                <c:pt idx="67">
                  <c:v>50.817596024818307</c:v>
                </c:pt>
                <c:pt idx="68">
                  <c:v>49.800273281453364</c:v>
                </c:pt>
                <c:pt idx="69">
                  <c:v>48.754322859060871</c:v>
                </c:pt>
                <c:pt idx="70">
                  <c:v>47.677983404921719</c:v>
                </c:pt>
                <c:pt idx="71">
                  <c:v>46.57042000207251</c:v>
                </c:pt>
                <c:pt idx="72">
                  <c:v>45.430951979656633</c:v>
                </c:pt>
                <c:pt idx="73">
                  <c:v>44.260118157678193</c:v>
                </c:pt>
                <c:pt idx="74">
                  <c:v>43.058630594027449</c:v>
                </c:pt>
                <c:pt idx="75">
                  <c:v>41.828448317403392</c:v>
                </c:pt>
                <c:pt idx="76">
                  <c:v>40.571796979351326</c:v>
                </c:pt>
                <c:pt idx="77">
                  <c:v>39.292272370498964</c:v>
                </c:pt>
                <c:pt idx="78">
                  <c:v>37.993619830363329</c:v>
                </c:pt>
                <c:pt idx="79">
                  <c:v>36.680933182163272</c:v>
                </c:pt>
                <c:pt idx="80">
                  <c:v>35.356621713372014</c:v>
                </c:pt>
                <c:pt idx="81">
                  <c:v>34.027408125620234</c:v>
                </c:pt>
                <c:pt idx="82">
                  <c:v>32.697403401515913</c:v>
                </c:pt>
                <c:pt idx="83">
                  <c:v>31.372573898804205</c:v>
                </c:pt>
                <c:pt idx="84">
                  <c:v>30.056810751984745</c:v>
                </c:pt>
                <c:pt idx="85">
                  <c:v>28.755542927576595</c:v>
                </c:pt>
                <c:pt idx="86">
                  <c:v>27.472906028693242</c:v>
                </c:pt>
                <c:pt idx="87">
                  <c:v>26.212101712814079</c:v>
                </c:pt>
                <c:pt idx="88">
                  <c:v>24.977636736502781</c:v>
                </c:pt>
                <c:pt idx="89">
                  <c:v>23.771151431462968</c:v>
                </c:pt>
                <c:pt idx="90">
                  <c:v>22.595020198582301</c:v>
                </c:pt>
                <c:pt idx="91">
                  <c:v>21.450280305552898</c:v>
                </c:pt>
                <c:pt idx="92">
                  <c:v>20.337465093258025</c:v>
                </c:pt>
                <c:pt idx="93">
                  <c:v>19.25591795141727</c:v>
                </c:pt>
                <c:pt idx="94">
                  <c:v>18.990453340271731</c:v>
                </c:pt>
                <c:pt idx="95">
                  <c:v>18.85761373850211</c:v>
                </c:pt>
                <c:pt idx="96">
                  <c:v>18.726761321326045</c:v>
                </c:pt>
                <c:pt idx="97">
                  <c:v>18.594877102754271</c:v>
                </c:pt>
                <c:pt idx="98">
                  <c:v>18.464963060400851</c:v>
                </c:pt>
                <c:pt idx="99">
                  <c:v>18.333989099903654</c:v>
                </c:pt>
                <c:pt idx="100">
                  <c:v>18.204968997124489</c:v>
                </c:pt>
                <c:pt idx="101">
                  <c:v>18.074960978701384</c:v>
                </c:pt>
                <c:pt idx="102">
                  <c:v>17.94688821915425</c:v>
                </c:pt>
                <c:pt idx="103">
                  <c:v>17.817707652751601</c:v>
                </c:pt>
                <c:pt idx="104">
                  <c:v>17.690447224874688</c:v>
                </c:pt>
                <c:pt idx="105">
                  <c:v>17.562152253558658</c:v>
                </c:pt>
                <c:pt idx="106">
                  <c:v>17.435759987620479</c:v>
                </c:pt>
                <c:pt idx="107">
                  <c:v>17.308401416740889</c:v>
                </c:pt>
                <c:pt idx="108">
                  <c:v>17.182926049642248</c:v>
                </c:pt>
                <c:pt idx="109">
                  <c:v>17.056462416934281</c:v>
                </c:pt>
                <c:pt idx="110">
                  <c:v>16.931863155439981</c:v>
                </c:pt>
                <c:pt idx="111">
                  <c:v>16.806173711118721</c:v>
                </c:pt>
                <c:pt idx="112">
                  <c:v>16.682332807772791</c:v>
                </c:pt>
                <c:pt idx="113">
                  <c:v>16.557470865793515</c:v>
                </c:pt>
                <c:pt idx="114">
                  <c:v>16.43443956610286</c:v>
                </c:pt>
                <c:pt idx="115">
                  <c:v>16.310373460507492</c:v>
                </c:pt>
                <c:pt idx="116">
                  <c:v>16.188120534391736</c:v>
                </c:pt>
                <c:pt idx="117">
                  <c:v>16.064821365141928</c:v>
                </c:pt>
                <c:pt idx="118">
                  <c:v>15.943318286884594</c:v>
                </c:pt>
                <c:pt idx="119">
                  <c:v>15.820833400351045</c:v>
                </c:pt>
                <c:pt idx="120">
                  <c:v>15.70012571098067</c:v>
                </c:pt>
                <c:pt idx="121">
                  <c:v>15.578424642638398</c:v>
                </c:pt>
                <c:pt idx="122">
                  <c:v>15.458482348461899</c:v>
                </c:pt>
                <c:pt idx="123">
                  <c:v>15.337467551242428</c:v>
                </c:pt>
                <c:pt idx="124">
                  <c:v>15.218195513536596</c:v>
                </c:pt>
                <c:pt idx="125">
                  <c:v>15.097914796404069</c:v>
                </c:pt>
                <c:pt idx="126">
                  <c:v>14.97935908831673</c:v>
                </c:pt>
                <c:pt idx="127">
                  <c:v>14.859788608382926</c:v>
                </c:pt>
                <c:pt idx="128">
                  <c:v>14.741925726600343</c:v>
                </c:pt>
                <c:pt idx="129">
                  <c:v>14.623043539093</c:v>
                </c:pt>
                <c:pt idx="130">
                  <c:v>14.505851844076915</c:v>
                </c:pt>
                <c:pt idx="131">
                  <c:v>14.387637738378864</c:v>
                </c:pt>
                <c:pt idx="132">
                  <c:v>14.329161220004972</c:v>
                </c:pt>
                <c:pt idx="133">
                  <c:v>14.271097295237254</c:v>
                </c:pt>
                <c:pt idx="134">
                  <c:v>14.212074580272882</c:v>
                </c:pt>
                <c:pt idx="135">
                  <c:v>14.153472383301962</c:v>
                </c:pt>
                <c:pt idx="136">
                  <c:v>14.095284850045573</c:v>
                </c:pt>
                <c:pt idx="137">
                  <c:v>14.037506242166351</c:v>
                </c:pt>
                <c:pt idx="138">
                  <c:v>13.978832934609592</c:v>
                </c:pt>
                <c:pt idx="139">
                  <c:v>13.920575550435954</c:v>
                </c:pt>
                <c:pt idx="140">
                  <c:v>13.862728309277433</c:v>
                </c:pt>
                <c:pt idx="141">
                  <c:v>13.805285545394796</c:v>
                </c:pt>
                <c:pt idx="142">
                  <c:v>13.746893797504043</c:v>
                </c:pt>
                <c:pt idx="143">
                  <c:v>13.688914277123661</c:v>
                </c:pt>
                <c:pt idx="144">
                  <c:v>13.631341260677912</c:v>
                </c:pt>
                <c:pt idx="145">
                  <c:v>13.574169138323143</c:v>
                </c:pt>
                <c:pt idx="146">
                  <c:v>13.516081870438629</c:v>
                </c:pt>
                <c:pt idx="147">
                  <c:v>13.45840275533309</c:v>
                </c:pt>
                <c:pt idx="148">
                  <c:v>13.401126135569925</c:v>
                </c:pt>
                <c:pt idx="149">
                  <c:v>13.344246466267087</c:v>
                </c:pt>
                <c:pt idx="150">
                  <c:v>13.286456815913963</c:v>
                </c:pt>
                <c:pt idx="151">
                  <c:v>13.229071290264542</c:v>
                </c:pt>
                <c:pt idx="152">
                  <c:v>13.172084298457428</c:v>
                </c:pt>
                <c:pt idx="153">
                  <c:v>13.115490360962831</c:v>
                </c:pt>
                <c:pt idx="154">
                  <c:v>13.057965611580967</c:v>
                </c:pt>
                <c:pt idx="155">
                  <c:v>13.000841368717673</c:v>
                </c:pt>
                <c:pt idx="156">
                  <c:v>12.944112100946306</c:v>
                </c:pt>
                <c:pt idx="157">
                  <c:v>12.887772387105077</c:v>
                </c:pt>
                <c:pt idx="158">
                  <c:v>12.83050882090631</c:v>
                </c:pt>
                <c:pt idx="159">
                  <c:v>12.773642151772037</c:v>
                </c:pt>
                <c:pt idx="160">
                  <c:v>12.71716690880011</c:v>
                </c:pt>
                <c:pt idx="161">
                  <c:v>12.66107773022599</c:v>
                </c:pt>
                <c:pt idx="162">
                  <c:v>12.604096873149144</c:v>
                </c:pt>
                <c:pt idx="163">
                  <c:v>12.54750896995542</c:v>
                </c:pt>
                <c:pt idx="164">
                  <c:v>12.491308618321998</c:v>
                </c:pt>
                <c:pt idx="165">
                  <c:v>12.435490523691914</c:v>
                </c:pt>
                <c:pt idx="166">
                  <c:v>12.378738649250804</c:v>
                </c:pt>
                <c:pt idx="167">
                  <c:v>12.322376490791838</c:v>
                </c:pt>
                <c:pt idx="168">
                  <c:v>12.266398701190441</c:v>
                </c:pt>
                <c:pt idx="169">
                  <c:v>12.210800040041153</c:v>
                </c:pt>
                <c:pt idx="170">
                  <c:v>12.154394353734839</c:v>
                </c:pt>
                <c:pt idx="171">
                  <c:v>12.098373518157846</c:v>
                </c:pt>
                <c:pt idx="172">
                  <c:v>12.042732275724351</c:v>
                </c:pt>
                <c:pt idx="173">
                  <c:v>11.987465473581906</c:v>
                </c:pt>
                <c:pt idx="174">
                  <c:v>11.931188822701408</c:v>
                </c:pt>
                <c:pt idx="175">
                  <c:v>11.875295087209651</c:v>
                </c:pt>
                <c:pt idx="176">
                  <c:v>11.819779040145541</c:v>
                </c:pt>
                <c:pt idx="177">
                  <c:v>11.764635558829184</c:v>
                </c:pt>
                <c:pt idx="178">
                  <c:v>11.708517260995796</c:v>
                </c:pt>
                <c:pt idx="179">
                  <c:v>11.652779513603964</c:v>
                </c:pt>
                <c:pt idx="180">
                  <c:v>11.597417130064613</c:v>
                </c:pt>
                <c:pt idx="181">
                  <c:v>11.542425027333927</c:v>
                </c:pt>
                <c:pt idx="182">
                  <c:v>11.486709379512408</c:v>
                </c:pt>
                <c:pt idx="183">
                  <c:v>11.431368606983499</c:v>
                </c:pt>
                <c:pt idx="184">
                  <c:v>11.3763976316328</c:v>
                </c:pt>
                <c:pt idx="185">
                  <c:v>11.321791476326018</c:v>
                </c:pt>
                <c:pt idx="186">
                  <c:v>11.266061180749196</c:v>
                </c:pt>
                <c:pt idx="187">
                  <c:v>11.210705673394886</c:v>
                </c:pt>
                <c:pt idx="188">
                  <c:v>11.155719872064155</c:v>
                </c:pt>
                <c:pt idx="189">
                  <c:v>11.10109879592877</c:v>
                </c:pt>
                <c:pt idx="190">
                  <c:v>11.04580551087604</c:v>
                </c:pt>
                <c:pt idx="191">
                  <c:v>10.990880870636541</c:v>
                </c:pt>
                <c:pt idx="192">
                  <c:v>10.936319912143235</c:v>
                </c:pt>
                <c:pt idx="193">
                  <c:v>10.882117770808421</c:v>
                </c:pt>
                <c:pt idx="194">
                  <c:v>10.826862650323527</c:v>
                </c:pt>
                <c:pt idx="195">
                  <c:v>10.771975335208348</c:v>
                </c:pt>
                <c:pt idx="196">
                  <c:v>10.717450875175595</c:v>
                </c:pt>
                <c:pt idx="197">
                  <c:v>10.663284418314456</c:v>
                </c:pt>
                <c:pt idx="198">
                  <c:v>10.608296734133123</c:v>
                </c:pt>
                <c:pt idx="199">
                  <c:v>10.553672962789332</c:v>
                </c:pt>
                <c:pt idx="200">
                  <c:v>10.499408228781682</c:v>
                </c:pt>
                <c:pt idx="201">
                  <c:v>10.44549775322608</c:v>
                </c:pt>
                <c:pt idx="202">
                  <c:v>10.390792909416209</c:v>
                </c:pt>
                <c:pt idx="203">
                  <c:v>10.336447888244004</c:v>
                </c:pt>
                <c:pt idx="204">
                  <c:v>10.282457893298124</c:v>
                </c:pt>
                <c:pt idx="205">
                  <c:v>10.228818222895706</c:v>
                </c:pt>
                <c:pt idx="206">
                  <c:v>10.174224166052174</c:v>
                </c:pt>
                <c:pt idx="207">
                  <c:v>10.119988096633907</c:v>
                </c:pt>
                <c:pt idx="208">
                  <c:v>10.066105252791292</c:v>
                </c:pt>
                <c:pt idx="209">
                  <c:v>10.012570966666763</c:v>
                </c:pt>
                <c:pt idx="210">
                  <c:v>9.9579331484497828</c:v>
                </c:pt>
                <c:pt idx="211">
                  <c:v>9.9036534890715142</c:v>
                </c:pt>
                <c:pt idx="212">
                  <c:v>9.8497272218828975</c:v>
                </c:pt>
                <c:pt idx="213">
                  <c:v>9.7961496745064398</c:v>
                </c:pt>
                <c:pt idx="214">
                  <c:v>9.7418586027869143</c:v>
                </c:pt>
                <c:pt idx="215">
                  <c:v>9.6879207631339543</c:v>
                </c:pt>
                <c:pt idx="216">
                  <c:v>9.6343314857587252</c:v>
                </c:pt>
                <c:pt idx="217">
                  <c:v>9.5810861927406243</c:v>
                </c:pt>
                <c:pt idx="218">
                  <c:v>9.5269779985153829</c:v>
                </c:pt>
                <c:pt idx="219">
                  <c:v>9.4732202508433598</c:v>
                </c:pt>
                <c:pt idx="220">
                  <c:v>9.4198083345464099</c:v>
                </c:pt>
                <c:pt idx="221">
                  <c:v>9.36673772500626</c:v>
                </c:pt>
                <c:pt idx="222">
                  <c:v>9.3128321979824147</c:v>
                </c:pt>
                <c:pt idx="223">
                  <c:v>9.2592740818849446</c:v>
                </c:pt>
                <c:pt idx="224">
                  <c:v>9.2060588212835945</c:v>
                </c:pt>
                <c:pt idx="225">
                  <c:v>9.1531819498537104</c:v>
                </c:pt>
                <c:pt idx="226">
                  <c:v>9.0993338373124359</c:v>
                </c:pt>
                <c:pt idx="227">
                  <c:v>9.0458319677459258</c:v>
                </c:pt>
                <c:pt idx="228">
                  <c:v>8.992671809108586</c:v>
                </c:pt>
                <c:pt idx="229">
                  <c:v>8.9398489179394272</c:v>
                </c:pt>
                <c:pt idx="230">
                  <c:v>8.8326691781292954</c:v>
                </c:pt>
                <c:pt idx="231">
                  <c:v>8.7795918666245196</c:v>
                </c:pt>
                <c:pt idx="232">
                  <c:v>8.7268503470538921</c:v>
                </c:pt>
                <c:pt idx="233">
                  <c:v>8.6732001288506932</c:v>
                </c:pt>
                <c:pt idx="234">
                  <c:v>8.6198927464813959</c:v>
                </c:pt>
                <c:pt idx="235">
                  <c:v>8.5669237364588788</c:v>
                </c:pt>
                <c:pt idx="236">
                  <c:v>8.5142887222362553</c:v>
                </c:pt>
                <c:pt idx="237">
                  <c:v>8.4609255280207538</c:v>
                </c:pt>
                <c:pt idx="238">
                  <c:v>8.4079010832120424</c:v>
                </c:pt>
                <c:pt idx="239">
                  <c:v>8.3552110050804895</c:v>
                </c:pt>
                <c:pt idx="240">
                  <c:v>8.3028509957996199</c:v>
                </c:pt>
                <c:pt idx="241">
                  <c:v>8.2494906570114104</c:v>
                </c:pt>
                <c:pt idx="242">
                  <c:v>8.1964685896591458</c:v>
                </c:pt>
                <c:pt idx="243">
                  <c:v>8.1437804219504724</c:v>
                </c:pt>
                <c:pt idx="244">
                  <c:v>8.0914218667511211</c:v>
                </c:pt>
                <c:pt idx="245">
                  <c:v>8.0382392841800492</c:v>
                </c:pt>
                <c:pt idx="246">
                  <c:v>7.9853922884810293</c:v>
                </c:pt>
                <c:pt idx="247">
                  <c:v>7.9328765615273849</c:v>
                </c:pt>
                <c:pt idx="248">
                  <c:v>7.8806878684979385</c:v>
                </c:pt>
                <c:pt idx="249">
                  <c:v>7.82756103502415</c:v>
                </c:pt>
                <c:pt idx="250">
                  <c:v>7.7747686455383915</c:v>
                </c:pt>
                <c:pt idx="251">
                  <c:v>7.7223064059513131</c:v>
                </c:pt>
                <c:pt idx="252">
                  <c:v>7.6701701048795945</c:v>
                </c:pt>
                <c:pt idx="253">
                  <c:v>7.6172624563097155</c:v>
                </c:pt>
                <c:pt idx="254">
                  <c:v>7.5646860672620351</c:v>
                </c:pt>
                <c:pt idx="255">
                  <c:v>7.5124367068284332</c:v>
                </c:pt>
                <c:pt idx="256">
                  <c:v>7.4605102252006086</c:v>
                </c:pt>
                <c:pt idx="257">
                  <c:v>7.4075697658661195</c:v>
                </c:pt>
                <c:pt idx="258">
                  <c:v>7.3549605362715775</c:v>
                </c:pt>
                <c:pt idx="259">
                  <c:v>7.3026783083930553</c:v>
                </c:pt>
                <c:pt idx="260">
                  <c:v>7.2507189352320083</c:v>
                </c:pt>
                <c:pt idx="261">
                  <c:v>7.1979083725522717</c:v>
                </c:pt>
                <c:pt idx="262">
                  <c:v>7.1454269833366437</c:v>
                </c:pt>
                <c:pt idx="263">
                  <c:v>7.0932705811406729</c:v>
                </c:pt>
                <c:pt idx="264">
                  <c:v>7.0414350594793307</c:v>
                </c:pt>
                <c:pt idx="265">
                  <c:v>6.9887750988853705</c:v>
                </c:pt>
                <c:pt idx="266">
                  <c:v>6.93644200824337</c:v>
                </c:pt>
                <c:pt idx="267">
                  <c:v>6.8844316472744005</c:v>
                </c:pt>
                <c:pt idx="268">
                  <c:v>6.83273995447367</c:v>
                </c:pt>
                <c:pt idx="269">
                  <c:v>6.7801258141004395</c:v>
                </c:pt>
                <c:pt idx="270">
                  <c:v>6.7278375440513862</c:v>
                </c:pt>
                <c:pt idx="271">
                  <c:v>6.675871025434521</c:v>
                </c:pt>
                <c:pt idx="272">
                  <c:v>6.6242222175696384</c:v>
                </c:pt>
                <c:pt idx="273">
                  <c:v>6.5716801787107642</c:v>
                </c:pt>
                <c:pt idx="274">
                  <c:v>6.5194626893583791</c:v>
                </c:pt>
                <c:pt idx="275">
                  <c:v>6.467565658033231</c:v>
                </c:pt>
                <c:pt idx="276">
                  <c:v>6.4159850707488797</c:v>
                </c:pt>
                <c:pt idx="277">
                  <c:v>6.3636571058562819</c:v>
                </c:pt>
                <c:pt idx="278">
                  <c:v>6.3116506328143016</c:v>
                </c:pt>
                <c:pt idx="279">
                  <c:v>6.2599616200814108</c:v>
                </c:pt>
                <c:pt idx="280">
                  <c:v>6.2085861120707513</c:v>
                </c:pt>
                <c:pt idx="281">
                  <c:v>6.1561412238809723</c:v>
                </c:pt>
                <c:pt idx="282">
                  <c:v>6.1040188342590787</c:v>
                </c:pt>
                <c:pt idx="283">
                  <c:v>6.0522148951898522</c:v>
                </c:pt>
                <c:pt idx="284">
                  <c:v>6.0007254349870873</c:v>
                </c:pt>
                <c:pt idx="285">
                  <c:v>5.9485373332641629</c:v>
                </c:pt>
                <c:pt idx="286">
                  <c:v>5.8966681661877693</c:v>
                </c:pt>
                <c:pt idx="287">
                  <c:v>5.8451139547830033</c:v>
                </c:pt>
                <c:pt idx="288">
                  <c:v>5.7938707946361836</c:v>
                </c:pt>
                <c:pt idx="289">
                  <c:v>5.741621586789889</c:v>
                </c:pt>
                <c:pt idx="290">
                  <c:v>5.6896916357063585</c:v>
                </c:pt>
                <c:pt idx="291">
                  <c:v>5.6380769586624258</c:v>
                </c:pt>
                <c:pt idx="292">
                  <c:v>5.5867736475425254</c:v>
                </c:pt>
                <c:pt idx="293">
                  <c:v>5.5346029984229332</c:v>
                </c:pt>
                <c:pt idx="294">
                  <c:v>5.4827502273383866</c:v>
                </c:pt>
                <c:pt idx="295">
                  <c:v>5.431211379417209</c:v>
                </c:pt>
                <c:pt idx="296">
                  <c:v>5.3799825736518345</c:v>
                </c:pt>
                <c:pt idx="297">
                  <c:v>5.327913306574187</c:v>
                </c:pt>
                <c:pt idx="298">
                  <c:v>5.2761602660972216</c:v>
                </c:pt>
                <c:pt idx="299">
                  <c:v>5.2247195300643279</c:v>
                </c:pt>
                <c:pt idx="300">
                  <c:v>5.1735872493177943</c:v>
                </c:pt>
                <c:pt idx="301">
                  <c:v>5.1216403587085466</c:v>
                </c:pt>
                <c:pt idx="302">
                  <c:v>5.0700077950106355</c:v>
                </c:pt>
                <c:pt idx="303">
                  <c:v>5.0186856731283092</c:v>
                </c:pt>
                <c:pt idx="304">
                  <c:v>4.967670179992191</c:v>
                </c:pt>
                <c:pt idx="305">
                  <c:v>4.9156662928855699</c:v>
                </c:pt>
                <c:pt idx="306">
                  <c:v>4.863976998988754</c:v>
                </c:pt>
                <c:pt idx="307">
                  <c:v>4.8125984100136767</c:v>
                </c:pt>
                <c:pt idx="308">
                  <c:v>4.7615267097165761</c:v>
                </c:pt>
                <c:pt idx="309">
                  <c:v>4.7096915511748012</c:v>
                </c:pt>
                <c:pt idx="310">
                  <c:v>4.6581685322048818</c:v>
                </c:pt>
                <c:pt idx="311">
                  <c:v>4.6069538113205661</c:v>
                </c:pt>
                <c:pt idx="312">
                  <c:v>4.5560436178664805</c:v>
                </c:pt>
                <c:pt idx="313">
                  <c:v>4.5042036027661227</c:v>
                </c:pt>
                <c:pt idx="314">
                  <c:v>4.452675361432572</c:v>
                </c:pt>
                <c:pt idx="315">
                  <c:v>4.4014550604541842</c:v>
                </c:pt>
                <c:pt idx="316">
                  <c:v>4.3505389369863243</c:v>
                </c:pt>
                <c:pt idx="317">
                  <c:v>4.2987217951302314</c:v>
                </c:pt>
                <c:pt idx="318">
                  <c:v>4.2472157248175124</c:v>
                </c:pt>
                <c:pt idx="319">
                  <c:v>4.196016906668846</c:v>
                </c:pt>
                <c:pt idx="320">
                  <c:v>4.1451215914599455</c:v>
                </c:pt>
                <c:pt idx="321">
                  <c:v>4.0933529972743852</c:v>
                </c:pt>
                <c:pt idx="322">
                  <c:v>4.0418944616018697</c:v>
                </c:pt>
                <c:pt idx="323">
                  <c:v>3.9907421845364599</c:v>
                </c:pt>
                <c:pt idx="324">
                  <c:v>3.9398924357807603</c:v>
                </c:pt>
                <c:pt idx="325">
                  <c:v>3.8881961143229566</c:v>
                </c:pt>
                <c:pt idx="326">
                  <c:v>3.8368085520582715</c:v>
                </c:pt>
                <c:pt idx="327">
                  <c:v>3.7857259734951008</c:v>
                </c:pt>
                <c:pt idx="328">
                  <c:v>3.7349446720827402</c:v>
                </c:pt>
                <c:pt idx="329">
                  <c:v>3.6832564695143706</c:v>
                </c:pt>
                <c:pt idx="330">
                  <c:v>3.63187648583986</c:v>
                </c:pt>
                <c:pt idx="331">
                  <c:v>3.580800955788455</c:v>
                </c:pt>
                <c:pt idx="332">
                  <c:v>3.5300261827057797</c:v>
                </c:pt>
                <c:pt idx="333">
                  <c:v>3.47845629618319</c:v>
                </c:pt>
                <c:pt idx="334">
                  <c:v>3.427192773316869</c:v>
                </c:pt>
                <c:pt idx="335">
                  <c:v>3.3762318827175983</c:v>
                </c:pt>
                <c:pt idx="336">
                  <c:v>3.3255699607144189</c:v>
                </c:pt>
                <c:pt idx="337">
                  <c:v>3.2739726138120591</c:v>
                </c:pt>
                <c:pt idx="338">
                  <c:v>3.2226814960843191</c:v>
                </c:pt>
                <c:pt idx="339">
                  <c:v>3.1716928783021348</c:v>
                </c:pt>
                <c:pt idx="340">
                  <c:v>3.121003098820978</c:v>
                </c:pt>
                <c:pt idx="341">
                  <c:v>3.0694065377980442</c:v>
                </c:pt>
                <c:pt idx="342">
                  <c:v>3.0181157249523638</c:v>
                </c:pt>
                <c:pt idx="343">
                  <c:v>2.9671269391653929</c:v>
                </c:pt>
                <c:pt idx="344">
                  <c:v>2.9164365266230661</c:v>
                </c:pt>
                <c:pt idx="345">
                  <c:v>2.864945186794893</c:v>
                </c:pt>
                <c:pt idx="346">
                  <c:v>2.8137578702238839</c:v>
                </c:pt>
                <c:pt idx="347">
                  <c:v>2.7628708861168843</c:v>
                </c:pt>
                <c:pt idx="348">
                  <c:v>2.7122806101698567</c:v>
                </c:pt>
                <c:pt idx="349">
                  <c:v>2.6607603563374411</c:v>
                </c:pt>
                <c:pt idx="350">
                  <c:v>2.6095439684443007</c:v>
                </c:pt>
                <c:pt idx="351">
                  <c:v>2.5586277571122857</c:v>
                </c:pt>
                <c:pt idx="352">
                  <c:v>2.5080080993277676</c:v>
                </c:pt>
                <c:pt idx="353">
                  <c:v>2.4564867251937059</c:v>
                </c:pt>
                <c:pt idx="354">
                  <c:v>2.4052687149724674</c:v>
                </c:pt>
                <c:pt idx="355">
                  <c:v>2.3543503865069577</c:v>
                </c:pt>
                <c:pt idx="356">
                  <c:v>2.3037281237375318</c:v>
                </c:pt>
                <c:pt idx="357">
                  <c:v>2.2523043015036963</c:v>
                </c:pt>
                <c:pt idx="358">
                  <c:v>2.2011821665889855</c:v>
                </c:pt>
                <c:pt idx="359">
                  <c:v>2.150358064865781</c:v>
                </c:pt>
                <c:pt idx="360">
                  <c:v>2.09982840753832</c:v>
                </c:pt>
                <c:pt idx="361">
                  <c:v>2.0483783660693229</c:v>
                </c:pt>
                <c:pt idx="362">
                  <c:v>1.9972297650652249</c:v>
                </c:pt>
                <c:pt idx="363">
                  <c:v>1.9463789519838679</c:v>
                </c:pt>
                <c:pt idx="364">
                  <c:v>1.8958223394752471</c:v>
                </c:pt>
                <c:pt idx="365">
                  <c:v>1.8444426579188438</c:v>
                </c:pt>
                <c:pt idx="366">
                  <c:v>1.7933630191236871</c:v>
                </c:pt>
                <c:pt idx="367">
                  <c:v>1.742579792410333</c:v>
                </c:pt>
                <c:pt idx="368">
                  <c:v>1.6920894116672591</c:v>
                </c:pt>
                <c:pt idx="369">
                  <c:v>1.6406642265007272</c:v>
                </c:pt>
                <c:pt idx="370">
                  <c:v>1.5895390106630292</c:v>
                </c:pt>
                <c:pt idx="371">
                  <c:v>1.5387101307510664</c:v>
                </c:pt>
                <c:pt idx="372">
                  <c:v>1.4881740178826028</c:v>
                </c:pt>
                <c:pt idx="373">
                  <c:v>1.4367975871113916</c:v>
                </c:pt>
                <c:pt idx="374">
                  <c:v>1.3857199263861331</c:v>
                </c:pt>
                <c:pt idx="375">
                  <c:v>1.3349374193055206</c:v>
                </c:pt>
                <c:pt idx="376">
                  <c:v>1.2844465134714886</c:v>
                </c:pt>
                <c:pt idx="377">
                  <c:v>1.2330101635624684</c:v>
                </c:pt>
                <c:pt idx="378">
                  <c:v>1.1818726122987411</c:v>
                </c:pt>
                <c:pt idx="379">
                  <c:v>1.1310302373293111</c:v>
                </c:pt>
                <c:pt idx="380">
                  <c:v>1.0804794803231952</c:v>
                </c:pt>
                <c:pt idx="381">
                  <c:v>1.0291383856447407</c:v>
                </c:pt>
                <c:pt idx="382">
                  <c:v>0.97809428622712868</c:v>
                </c:pt>
                <c:pt idx="383">
                  <c:v>0.92734358619100243</c:v>
                </c:pt>
                <c:pt idx="384">
                  <c:v>0.87688275292683349</c:v>
                </c:pt>
                <c:pt idx="385">
                  <c:v>0.825468442601486</c:v>
                </c:pt>
                <c:pt idx="386">
                  <c:v>0.77435123028192865</c:v>
                </c:pt>
                <c:pt idx="387">
                  <c:v>0.72352751119206427</c:v>
                </c:pt>
                <c:pt idx="388">
                  <c:v>0.67299374389677535</c:v>
                </c:pt>
                <c:pt idx="389">
                  <c:v>0.62159537612144966</c:v>
                </c:pt>
                <c:pt idx="390">
                  <c:v>0.5704931355260906</c:v>
                </c:pt>
                <c:pt idx="391">
                  <c:v>0.51968342698954983</c:v>
                </c:pt>
                <c:pt idx="392">
                  <c:v>0.46916271836126489</c:v>
                </c:pt>
                <c:pt idx="393">
                  <c:v>0.41780257750870864</c:v>
                </c:pt>
                <c:pt idx="394">
                  <c:v>0.36673729037727004</c:v>
                </c:pt>
                <c:pt idx="395">
                  <c:v>0.31596327602996682</c:v>
                </c:pt>
                <c:pt idx="396">
                  <c:v>0.26547701601709101</c:v>
                </c:pt>
                <c:pt idx="397">
                  <c:v>0.21405978306587845</c:v>
                </c:pt>
                <c:pt idx="398">
                  <c:v>0.16293716817382284</c:v>
                </c:pt>
                <c:pt idx="399">
                  <c:v>0.11210558466801368</c:v>
                </c:pt>
                <c:pt idx="400">
                  <c:v>6.1561508332312831E-2</c:v>
                </c:pt>
                <c:pt idx="401">
                  <c:v>1.0170189631795079E-2</c:v>
                </c:pt>
                <c:pt idx="402">
                  <c:v>-4.092775526326202E-2</c:v>
                </c:pt>
                <c:pt idx="403">
                  <c:v>-9.1735901568827716E-2</c:v>
                </c:pt>
                <c:pt idx="404">
                  <c:v>-0.1422577624830349</c:v>
                </c:pt>
                <c:pt idx="405">
                  <c:v>-0.19365794485382168</c:v>
                </c:pt>
                <c:pt idx="406">
                  <c:v>-0.24476566513569942</c:v>
                </c:pt>
                <c:pt idx="407">
                  <c:v>-0.29558449438476592</c:v>
                </c:pt>
                <c:pt idx="408">
                  <c:v>-0.34611794192061224</c:v>
                </c:pt>
                <c:pt idx="409">
                  <c:v>-0.39755865239580679</c:v>
                </c:pt>
                <c:pt idx="410">
                  <c:v>-0.44870752585009438</c:v>
                </c:pt>
                <c:pt idx="411">
                  <c:v>-0.49956813579124071</c:v>
                </c:pt>
                <c:pt idx="412">
                  <c:v>-0.55014399413271831</c:v>
                </c:pt>
                <c:pt idx="413">
                  <c:v>-0.60160118712799238</c:v>
                </c:pt>
                <c:pt idx="414">
                  <c:v>-0.65276752036578789</c:v>
                </c:pt>
                <c:pt idx="415">
                  <c:v>-0.70364656486046795</c:v>
                </c:pt>
                <c:pt idx="416">
                  <c:v>-0.75424183030172665</c:v>
                </c:pt>
                <c:pt idx="417">
                  <c:v>-0.80574520154915186</c:v>
                </c:pt>
                <c:pt idx="418">
                  <c:v>-0.8569584431250814</c:v>
                </c:pt>
                <c:pt idx="419">
                  <c:v>-0.90788512972731272</c:v>
                </c:pt>
                <c:pt idx="420">
                  <c:v>-0.95852877487306876</c:v>
                </c:pt>
                <c:pt idx="421">
                  <c:v>-1.0100043932815519</c:v>
                </c:pt>
                <c:pt idx="422">
                  <c:v>-1.0611915359748385</c:v>
                </c:pt>
                <c:pt idx="423">
                  <c:v>-1.1120937660632979</c:v>
                </c:pt>
                <c:pt idx="424">
                  <c:v>-1.1627145859838819</c:v>
                </c:pt>
                <c:pt idx="425">
                  <c:v>-1.2142927151337026</c:v>
                </c:pt>
                <c:pt idx="426">
                  <c:v>-1.2655826699793162</c:v>
                </c:pt>
                <c:pt idx="427">
                  <c:v>-1.3165880289823531</c:v>
                </c:pt>
                <c:pt idx="428">
                  <c:v>-1.3673123098462294</c:v>
                </c:pt>
                <c:pt idx="429">
                  <c:v>-1.4189187595109074</c:v>
                </c:pt>
                <c:pt idx="430">
                  <c:v>-1.4702382811133352</c:v>
                </c:pt>
                <c:pt idx="431">
                  <c:v>-1.5212744531121694</c:v>
                </c:pt>
                <c:pt idx="432">
                  <c:v>-1.572030793490315</c:v>
                </c:pt>
                <c:pt idx="433">
                  <c:v>-1.6236451802116765</c:v>
                </c:pt>
                <c:pt idx="434">
                  <c:v>-1.6749742331900885</c:v>
                </c:pt>
                <c:pt idx="435">
                  <c:v>-1.7260215266469454</c:v>
                </c:pt>
                <c:pt idx="436">
                  <c:v>-1.7767905747254606</c:v>
                </c:pt>
                <c:pt idx="437">
                  <c:v>-1.82848705861237</c:v>
                </c:pt>
                <c:pt idx="438">
                  <c:v>-1.8798991211742033</c:v>
                </c:pt>
                <c:pt idx="439">
                  <c:v>-1.9310303476850676</c:v>
                </c:pt>
                <c:pt idx="440">
                  <c:v>-1.9818842634194445</c:v>
                </c:pt>
                <c:pt idx="441">
                  <c:v>-2.0336405409774452</c:v>
                </c:pt>
                <c:pt idx="442">
                  <c:v>-2.085113707000791</c:v>
                </c:pt>
                <c:pt idx="443">
                  <c:v>-2.1363073531406824</c:v>
                </c:pt>
                <c:pt idx="444">
                  <c:v>-2.1872250112566878</c:v>
                </c:pt>
                <c:pt idx="445">
                  <c:v>-2.2390210584790422</c:v>
                </c:pt>
                <c:pt idx="446">
                  <c:v>-2.2905356845275184</c:v>
                </c:pt>
                <c:pt idx="447">
                  <c:v>-2.3417724831945477</c:v>
                </c:pt>
                <c:pt idx="448">
                  <c:v>-2.3927349888084666</c:v>
                </c:pt>
                <c:pt idx="449">
                  <c:v>-2.4446396322943511</c:v>
                </c:pt>
                <c:pt idx="450">
                  <c:v>-2.4962639782934546</c:v>
                </c:pt>
                <c:pt idx="451">
                  <c:v>-2.5476116368818005</c:v>
                </c:pt>
                <c:pt idx="452">
                  <c:v>-2.5986861587160992</c:v>
                </c:pt>
                <c:pt idx="453">
                  <c:v>-2.6506358409205024</c:v>
                </c:pt>
                <c:pt idx="454">
                  <c:v>-2.7023072298825483</c:v>
                </c:pt>
                <c:pt idx="455">
                  <c:v>-2.7537039386258195</c:v>
                </c:pt>
                <c:pt idx="456">
                  <c:v>-2.8048295211210479</c:v>
                </c:pt>
                <c:pt idx="457">
                  <c:v>-2.8568911909243817</c:v>
                </c:pt>
                <c:pt idx="458">
                  <c:v>-2.9086760673175922</c:v>
                </c:pt>
                <c:pt idx="459">
                  <c:v>-2.9601877799783911</c:v>
                </c:pt>
                <c:pt idx="460">
                  <c:v>-3.0114298996311679</c:v>
                </c:pt>
                <c:pt idx="461">
                  <c:v>-3.0635845104028245</c:v>
                </c:pt>
                <c:pt idx="462">
                  <c:v>-3.1154642641554298</c:v>
                </c:pt>
                <c:pt idx="463">
                  <c:v>-3.1670728030201629</c:v>
                </c:pt>
                <c:pt idx="464">
                  <c:v>-3.2184137103986781</c:v>
                </c:pt>
                <c:pt idx="465">
                  <c:v>-3.2706844855443853</c:v>
                </c:pt>
                <c:pt idx="466">
                  <c:v>-3.3226823491131423</c:v>
                </c:pt>
                <c:pt idx="467">
                  <c:v>-3.3744109602265597</c:v>
                </c:pt>
                <c:pt idx="468">
                  <c:v>-3.4258739194375516</c:v>
                </c:pt>
                <c:pt idx="469">
                  <c:v>-3.4782442663475828</c:v>
                </c:pt>
                <c:pt idx="470">
                  <c:v>-3.5303440940202742</c:v>
                </c:pt>
                <c:pt idx="471">
                  <c:v>-3.5821770747186426</c:v>
                </c:pt>
                <c:pt idx="472">
                  <c:v>-3.6337468224144072</c:v>
                </c:pt>
                <c:pt idx="473">
                  <c:v>-3.6862790636377669</c:v>
                </c:pt>
                <c:pt idx="474">
                  <c:v>-3.7385428357939974</c:v>
                </c:pt>
                <c:pt idx="475">
                  <c:v>-3.7905418368771815</c:v>
                </c:pt>
                <c:pt idx="476">
                  <c:v>-3.8422797066377945</c:v>
                </c:pt>
                <c:pt idx="477">
                  <c:v>-3.8949576901160072</c:v>
                </c:pt>
                <c:pt idx="478">
                  <c:v>-3.9473697501416138</c:v>
                </c:pt>
                <c:pt idx="479">
                  <c:v>-3.9995196064903022</c:v>
                </c:pt>
                <c:pt idx="480">
                  <c:v>-4.0514109208615645</c:v>
                </c:pt>
                <c:pt idx="481">
                  <c:v>-4.1042212522473749</c:v>
                </c:pt>
                <c:pt idx="482">
                  <c:v>-4.1567686901275334</c:v>
                </c:pt>
                <c:pt idx="483">
                  <c:v>-4.2090569725159375</c:v>
                </c:pt>
                <c:pt idx="484">
                  <c:v>-4.2610897796251486</c:v>
                </c:pt>
                <c:pt idx="485">
                  <c:v>-4.3140577555893014</c:v>
                </c:pt>
                <c:pt idx="486">
                  <c:v>-4.3667659911356873</c:v>
                </c:pt>
                <c:pt idx="487">
                  <c:v>-4.4192182469740162</c:v>
                </c:pt>
                <c:pt idx="488">
                  <c:v>-4.4714182262271276</c:v>
                </c:pt>
                <c:pt idx="489">
                  <c:v>-4.5246043518920871</c:v>
                </c:pt>
                <c:pt idx="490">
                  <c:v>-4.5775337130550495</c:v>
                </c:pt>
                <c:pt idx="491">
                  <c:v>-4.6302101049065794</c:v>
                </c:pt>
                <c:pt idx="492">
                  <c:v>-4.6826372650558969</c:v>
                </c:pt>
                <c:pt idx="493">
                  <c:v>-4.7360303131425256</c:v>
                </c:pt>
                <c:pt idx="494">
                  <c:v>-4.7891701339972936</c:v>
                </c:pt>
                <c:pt idx="495">
                  <c:v>-4.8420605536317458</c:v>
                </c:pt>
                <c:pt idx="496">
                  <c:v>-4.8947053405833323</c:v>
                </c:pt>
                <c:pt idx="497">
                  <c:v>-4.9483311392609144</c:v>
                </c:pt>
                <c:pt idx="498">
                  <c:v>-5.0017074867074189</c:v>
                </c:pt>
                <c:pt idx="499">
                  <c:v>-5.0548382437131796</c:v>
                </c:pt>
                <c:pt idx="500">
                  <c:v>-5.1077272136435958</c:v>
                </c:pt>
                <c:pt idx="501">
                  <c:v>-5.1616121910879409</c:v>
                </c:pt>
                <c:pt idx="502">
                  <c:v>-5.2152517711590978</c:v>
                </c:pt>
                <c:pt idx="503">
                  <c:v>-5.2686498532099977</c:v>
                </c:pt>
                <c:pt idx="504">
                  <c:v>-5.3218102791568267</c:v>
                </c:pt>
                <c:pt idx="505">
                  <c:v>-5.3759489343056313</c:v>
                </c:pt>
                <c:pt idx="506">
                  <c:v>-5.4298468528252721</c:v>
                </c:pt>
                <c:pt idx="507">
                  <c:v>-5.4835079691140898</c:v>
                </c:pt>
                <c:pt idx="508">
                  <c:v>-5.5369361601934832</c:v>
                </c:pt>
                <c:pt idx="509">
                  <c:v>-5.5913585105173889</c:v>
                </c:pt>
                <c:pt idx="510">
                  <c:v>-5.6455451074394034</c:v>
                </c:pt>
                <c:pt idx="511">
                  <c:v>-5.699499924086707</c:v>
                </c:pt>
                <c:pt idx="512">
                  <c:v>-5.7532268761865826</c:v>
                </c:pt>
                <c:pt idx="513">
                  <c:v>-5.8079957298545057</c:v>
                </c:pt>
                <c:pt idx="514">
                  <c:v>-5.8625339108968353</c:v>
                </c:pt>
                <c:pt idx="515">
                  <c:v>-5.91684544149535</c:v>
                </c:pt>
                <c:pt idx="516">
                  <c:v>-5.9709342861850701</c:v>
                </c:pt>
                <c:pt idx="517">
                  <c:v>-6.0260495060554025</c:v>
                </c:pt>
                <c:pt idx="518">
                  <c:v>-6.0809398223863775</c:v>
                </c:pt>
                <c:pt idx="519">
                  <c:v>-6.1356093023163529</c:v>
                </c:pt>
                <c:pt idx="520">
                  <c:v>-6.1900619551230198</c:v>
                </c:pt>
                <c:pt idx="521">
                  <c:v>-6.2455577725375608</c:v>
                </c:pt>
                <c:pt idx="522">
                  <c:v>-6.3008348961069274</c:v>
                </c:pt>
                <c:pt idx="523">
                  <c:v>-6.3558974405632043</c:v>
                </c:pt>
                <c:pt idx="524">
                  <c:v>-6.4107494624436177</c:v>
                </c:pt>
                <c:pt idx="525">
                  <c:v>-6.4666619583006</c:v>
                </c:pt>
                <c:pt idx="526">
                  <c:v>-6.5223624487153202</c:v>
                </c:pt>
                <c:pt idx="527">
                  <c:v>-6.5778550981364923</c:v>
                </c:pt>
                <c:pt idx="528">
                  <c:v>-6.633144012344518</c:v>
                </c:pt>
                <c:pt idx="529">
                  <c:v>-6.6895113494497549</c:v>
                </c:pt>
                <c:pt idx="530">
                  <c:v>-6.7456738849537441</c:v>
                </c:pt>
                <c:pt idx="531">
                  <c:v>-6.8016358345148928</c:v>
                </c:pt>
                <c:pt idx="532">
                  <c:v>-6.8574013544878509</c:v>
                </c:pt>
                <c:pt idx="533">
                  <c:v>-6.914293310210744</c:v>
                </c:pt>
                <c:pt idx="534">
                  <c:v>-6.9709880170906775</c:v>
                </c:pt>
                <c:pt idx="535">
                  <c:v>-7.0274897492850785</c:v>
                </c:pt>
                <c:pt idx="536">
                  <c:v>-7.0838027207008736</c:v>
                </c:pt>
                <c:pt idx="537">
                  <c:v>-7.1412033033087656</c:v>
                </c:pt>
                <c:pt idx="538">
                  <c:v>-7.1984151835039665</c:v>
                </c:pt>
                <c:pt idx="539">
                  <c:v>-7.2554426804738625</c:v>
                </c:pt>
                <c:pt idx="540">
                  <c:v>-7.3122900522385574</c:v>
                </c:pt>
                <c:pt idx="541">
                  <c:v>-7.3703032691770201</c:v>
                </c:pt>
                <c:pt idx="542">
                  <c:v>-7.4281365556752723</c:v>
                </c:pt>
                <c:pt idx="543">
                  <c:v>-7.4857942877208767</c:v>
                </c:pt>
                <c:pt idx="544">
                  <c:v>-7.543280778717353</c:v>
                </c:pt>
                <c:pt idx="545">
                  <c:v>-7.6019260911070194</c:v>
                </c:pt>
                <c:pt idx="546">
                  <c:v>-7.6604010768518025</c:v>
                </c:pt>
                <c:pt idx="547">
                  <c:v>-7.7187101594246084</c:v>
                </c:pt>
                <c:pt idx="548">
                  <c:v>-7.7768576981321456</c:v>
                </c:pt>
                <c:pt idx="549">
                  <c:v>-7.8361869790720826</c:v>
                </c:pt>
                <c:pt idx="550">
                  <c:v>-7.8953561901561153</c:v>
                </c:pt>
                <c:pt idx="551">
                  <c:v>-7.954369798043988</c:v>
                </c:pt>
                <c:pt idx="552">
                  <c:v>-8.0132322033172905</c:v>
                </c:pt>
                <c:pt idx="553">
                  <c:v>-8.0733281994423116</c:v>
                </c:pt>
                <c:pt idx="554">
                  <c:v>-8.1332749114079022</c:v>
                </c:pt>
                <c:pt idx="555">
                  <c:v>-8.1930768490573893</c:v>
                </c:pt>
                <c:pt idx="556">
                  <c:v>-8.2527384537479982</c:v>
                </c:pt>
                <c:pt idx="557">
                  <c:v>-8.3744415854315903</c:v>
                </c:pt>
                <c:pt idx="558">
                  <c:v>-8.4956116365996746</c:v>
                </c:pt>
                <c:pt idx="559">
                  <c:v>-8.6190445280556656</c:v>
                </c:pt>
                <c:pt idx="560">
                  <c:v>-8.7419935634916097</c:v>
                </c:pt>
                <c:pt idx="561">
                  <c:v>-8.8673956217429737</c:v>
                </c:pt>
                <c:pt idx="562">
                  <c:v>-8.9923648354480328</c:v>
                </c:pt>
                <c:pt idx="563">
                  <c:v>-9.1196060083914752</c:v>
                </c:pt>
                <c:pt idx="564">
                  <c:v>-9.2464694859423382</c:v>
                </c:pt>
                <c:pt idx="565">
                  <c:v>-9.3761761423089478</c:v>
                </c:pt>
                <c:pt idx="566">
                  <c:v>-9.5055597332255601</c:v>
                </c:pt>
                <c:pt idx="567">
                  <c:v>-9.6378267349340305</c:v>
                </c:pt>
                <c:pt idx="568">
                  <c:v>-9.769828150629511</c:v>
                </c:pt>
                <c:pt idx="569">
                  <c:v>-9.9042322682850905</c:v>
                </c:pt>
                <c:pt idx="570">
                  <c:v>-10.038432020172765</c:v>
                </c:pt>
                <c:pt idx="571">
                  <c:v>-10.176138528248824</c:v>
                </c:pt>
                <c:pt idx="572">
                  <c:v>-10.313700296687871</c:v>
                </c:pt>
                <c:pt idx="573">
                  <c:v>-10.45377298785224</c:v>
                </c:pt>
                <c:pt idx="574">
                  <c:v>-10.593763663081761</c:v>
                </c:pt>
                <c:pt idx="575">
                  <c:v>-10.737372565649441</c:v>
                </c:pt>
                <c:pt idx="576">
                  <c:v>-10.880960989737087</c:v>
                </c:pt>
                <c:pt idx="577">
                  <c:v>-11.489293347004107</c:v>
                </c:pt>
                <c:pt idx="578">
                  <c:v>-12.099701737529942</c:v>
                </c:pt>
                <c:pt idx="579">
                  <c:v>-13.450560951503391</c:v>
                </c:pt>
                <c:pt idx="580">
                  <c:v>-14.958600023525062</c:v>
                </c:pt>
                <c:pt idx="581">
                  <c:v>-16.637209080020181</c:v>
                </c:pt>
                <c:pt idx="582">
                  <c:v>-18.491807339359195</c:v>
                </c:pt>
                <c:pt idx="583">
                  <c:v>-20.513364392358007</c:v>
                </c:pt>
                <c:pt idx="584">
                  <c:v>-22.686074094609445</c:v>
                </c:pt>
                <c:pt idx="585">
                  <c:v>-24.986027721191114</c:v>
                </c:pt>
                <c:pt idx="586">
                  <c:v>-27.389753336899794</c:v>
                </c:pt>
                <c:pt idx="587">
                  <c:v>-29.876748753632661</c:v>
                </c:pt>
                <c:pt idx="588">
                  <c:v>-32.426087270692875</c:v>
                </c:pt>
                <c:pt idx="589">
                  <c:v>-35.024684744455186</c:v>
                </c:pt>
                <c:pt idx="590">
                  <c:v>-37.659397712023313</c:v>
                </c:pt>
                <c:pt idx="591">
                  <c:v>-40.320516371110813</c:v>
                </c:pt>
                <c:pt idx="592">
                  <c:v>-42.999345135903049</c:v>
                </c:pt>
                <c:pt idx="593">
                  <c:v>-45.68947896253691</c:v>
                </c:pt>
                <c:pt idx="594">
                  <c:v>-48.383851267500944</c:v>
                </c:pt>
                <c:pt idx="595">
                  <c:v>-51.077355205734456</c:v>
                </c:pt>
                <c:pt idx="596">
                  <c:v>-53.764472311048976</c:v>
                </c:pt>
                <c:pt idx="597">
                  <c:v>-56.441515874320778</c:v>
                </c:pt>
                <c:pt idx="598">
                  <c:v>-59.10432881589827</c:v>
                </c:pt>
                <c:pt idx="599">
                  <c:v>-61.750902998161699</c:v>
                </c:pt>
                <c:pt idx="600">
                  <c:v>-64.378962845313211</c:v>
                </c:pt>
              </c:numCache>
            </c:numRef>
          </c:yVal>
          <c:smooth val="1"/>
          <c:extLst>
            <c:ext xmlns:c16="http://schemas.microsoft.com/office/drawing/2014/chart" uri="{C3380CC4-5D6E-409C-BE32-E72D297353CC}">
              <c16:uniqueId val="{00000002-4BA7-4FA6-AB73-85DC72E7447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3889.4169910497644</c:v>
                </c:pt>
              </c:numCache>
            </c:numRef>
          </c:xVal>
          <c:yVal>
            <c:numRef>
              <c:f>'Stability Calculations'!$D$635</c:f>
              <c:numCache>
                <c:formatCode>0.00</c:formatCode>
                <c:ptCount val="1"/>
                <c:pt idx="0">
                  <c:v>22.88959879348015</c:v>
                </c:pt>
              </c:numCache>
            </c:numRef>
          </c:yVal>
          <c:smooth val="1"/>
          <c:extLst>
            <c:ext xmlns:c16="http://schemas.microsoft.com/office/drawing/2014/chart" uri="{C3380CC4-5D6E-409C-BE32-E72D297353CC}">
              <c16:uniqueId val="{00000004-4BA7-4FA6-AB73-85DC72E7447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0.75342856523137813</c:v>
                </c:pt>
              </c:numCache>
            </c:numRef>
          </c:xVal>
          <c:yVal>
            <c:numRef>
              <c:f>'Stability Calculations'!$U$624</c:f>
              <c:numCache>
                <c:formatCode>0.00</c:formatCode>
                <c:ptCount val="1"/>
                <c:pt idx="0">
                  <c:v>105.16387105295154</c:v>
                </c:pt>
              </c:numCache>
            </c:numRef>
          </c:yVal>
          <c:smooth val="1"/>
          <c:extLst>
            <c:ext xmlns:c16="http://schemas.microsoft.com/office/drawing/2014/chart" uri="{C3380CC4-5D6E-409C-BE32-E72D297353CC}">
              <c16:uniqueId val="{00000006-4BA7-4FA6-AB73-85DC72E7447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788.38347997702385</c:v>
                </c:pt>
              </c:numCache>
            </c:numRef>
          </c:xVal>
          <c:yVal>
            <c:numRef>
              <c:f>'Stability Calculations'!$D$632</c:f>
              <c:numCache>
                <c:formatCode>0.00</c:formatCode>
                <c:ptCount val="1"/>
                <c:pt idx="0">
                  <c:v>44.944824219988405</c:v>
                </c:pt>
              </c:numCache>
            </c:numRef>
          </c:yVal>
          <c:smooth val="1"/>
          <c:extLst>
            <c:ext xmlns:c16="http://schemas.microsoft.com/office/drawing/2014/chart" uri="{C3380CC4-5D6E-409C-BE32-E72D297353CC}">
              <c16:uniqueId val="{00000008-4BA7-4FA6-AB73-85DC72E7447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A7-4FA6-AB73-85DC72E7447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795774.71636878187</c:v>
                </c:pt>
              </c:numCache>
            </c:numRef>
          </c:xVal>
          <c:yVal>
            <c:numRef>
              <c:f>'Stability Calculations'!$U$623</c:f>
              <c:numCache>
                <c:formatCode>0.00</c:formatCode>
                <c:ptCount val="1"/>
                <c:pt idx="0">
                  <c:v>-57.827466450691752</c:v>
                </c:pt>
              </c:numCache>
            </c:numRef>
          </c:yVal>
          <c:smooth val="1"/>
          <c:extLst>
            <c:ext xmlns:c16="http://schemas.microsoft.com/office/drawing/2014/chart" uri="{C3380CC4-5D6E-409C-BE32-E72D297353CC}">
              <c16:uniqueId val="{0000000A-4BA7-4FA6-AB73-85DC72E7447B}"/>
            </c:ext>
          </c:extLst>
        </c:ser>
        <c:dLbls>
          <c:showLegendKey val="0"/>
          <c:showVal val="0"/>
          <c:showCatName val="0"/>
          <c:showSerName val="0"/>
          <c:showPercent val="0"/>
          <c:showBubbleSize val="0"/>
        </c:dLbls>
        <c:axId val="333063296"/>
        <c:axId val="33306521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-53.063086870084511</c:v>
                </c:pt>
                <c:pt idx="1">
                  <c:v>-55.570357509225644</c:v>
                </c:pt>
                <c:pt idx="2">
                  <c:v>-57.996771545678122</c:v>
                </c:pt>
                <c:pt idx="3">
                  <c:v>-60.32849624030866</c:v>
                </c:pt>
                <c:pt idx="4">
                  <c:v>-62.553347891642247</c:v>
                </c:pt>
                <c:pt idx="5">
                  <c:v>-64.667273333327273</c:v>
                </c:pt>
                <c:pt idx="6">
                  <c:v>-66.662369898909375</c:v>
                </c:pt>
                <c:pt idx="7">
                  <c:v>-68.537790322154393</c:v>
                </c:pt>
                <c:pt idx="8">
                  <c:v>-70.292266760896212</c:v>
                </c:pt>
                <c:pt idx="9">
                  <c:v>-71.929077050610431</c:v>
                </c:pt>
                <c:pt idx="10">
                  <c:v>-73.450663189510038</c:v>
                </c:pt>
                <c:pt idx="11">
                  <c:v>-74.861805302770136</c:v>
                </c:pt>
                <c:pt idx="12">
                  <c:v>-76.168491147208456</c:v>
                </c:pt>
                <c:pt idx="13">
                  <c:v>-77.375291052248642</c:v>
                </c:pt>
                <c:pt idx="14">
                  <c:v>-78.489313693123378</c:v>
                </c:pt>
                <c:pt idx="15">
                  <c:v>-79.516333553852661</c:v>
                </c:pt>
                <c:pt idx="16">
                  <c:v>-80.462660191163565</c:v>
                </c:pt>
                <c:pt idx="17">
                  <c:v>-81.33427196365804</c:v>
                </c:pt>
                <c:pt idx="18">
                  <c:v>-82.137327634633934</c:v>
                </c:pt>
                <c:pt idx="19">
                  <c:v>-82.877275714217049</c:v>
                </c:pt>
                <c:pt idx="20">
                  <c:v>-83.559667558826177</c:v>
                </c:pt>
                <c:pt idx="21">
                  <c:v>-84.18948396064205</c:v>
                </c:pt>
                <c:pt idx="22">
                  <c:v>-84.771691843402834</c:v>
                </c:pt>
                <c:pt idx="23">
                  <c:v>-85.31069773933207</c:v>
                </c:pt>
                <c:pt idx="24">
                  <c:v>-85.810916206832133</c:v>
                </c:pt>
                <c:pt idx="25">
                  <c:v>-86.27628239641642</c:v>
                </c:pt>
                <c:pt idx="26">
                  <c:v>-86.710673565064184</c:v>
                </c:pt>
                <c:pt idx="27">
                  <c:v>-87.11750239634209</c:v>
                </c:pt>
                <c:pt idx="28">
                  <c:v>-87.50014478649841</c:v>
                </c:pt>
                <c:pt idx="29">
                  <c:v>-87.861557457807777</c:v>
                </c:pt>
                <c:pt idx="30">
                  <c:v>-88.205352162713112</c:v>
                </c:pt>
                <c:pt idx="31">
                  <c:v>-88.533902867123359</c:v>
                </c:pt>
                <c:pt idx="32">
                  <c:v>-88.850188576010481</c:v>
                </c:pt>
                <c:pt idx="33">
                  <c:v>-89.156640338462708</c:v>
                </c:pt>
                <c:pt idx="34">
                  <c:v>-89.456072655716312</c:v>
                </c:pt>
                <c:pt idx="35">
                  <c:v>-89.750834121908312</c:v>
                </c:pt>
                <c:pt idx="36">
                  <c:v>-90.043451629206956</c:v>
                </c:pt>
                <c:pt idx="37">
                  <c:v>-90.336544305692257</c:v>
                </c:pt>
                <c:pt idx="38">
                  <c:v>-90.632295061630941</c:v>
                </c:pt>
                <c:pt idx="39">
                  <c:v>-90.933423912556876</c:v>
                </c:pt>
                <c:pt idx="40">
                  <c:v>-91.242340002130661</c:v>
                </c:pt>
                <c:pt idx="41">
                  <c:v>-91.561648137253883</c:v>
                </c:pt>
                <c:pt idx="42">
                  <c:v>-91.893957127271136</c:v>
                </c:pt>
                <c:pt idx="43">
                  <c:v>-92.242115294088038</c:v>
                </c:pt>
                <c:pt idx="44">
                  <c:v>-92.608894037808909</c:v>
                </c:pt>
                <c:pt idx="45">
                  <c:v>-92.997360395933924</c:v>
                </c:pt>
                <c:pt idx="46">
                  <c:v>-93.41057506791141</c:v>
                </c:pt>
                <c:pt idx="47">
                  <c:v>-93.851928625537525</c:v>
                </c:pt>
                <c:pt idx="48">
                  <c:v>-94.324786413154143</c:v>
                </c:pt>
                <c:pt idx="49">
                  <c:v>-94.832927927101139</c:v>
                </c:pt>
                <c:pt idx="50">
                  <c:v>-95.380127953254984</c:v>
                </c:pt>
                <c:pt idx="51">
                  <c:v>-95.970562385940511</c:v>
                </c:pt>
                <c:pt idx="52">
                  <c:v>-96.608266415311647</c:v>
                </c:pt>
                <c:pt idx="53">
                  <c:v>-97.297627730600595</c:v>
                </c:pt>
                <c:pt idx="54">
                  <c:v>-98.04265433059976</c:v>
                </c:pt>
                <c:pt idx="55">
                  <c:v>-98.849206626651977</c:v>
                </c:pt>
                <c:pt idx="56">
                  <c:v>-99.72078561313009</c:v>
                </c:pt>
                <c:pt idx="57">
                  <c:v>-100.6624429958036</c:v>
                </c:pt>
                <c:pt idx="58">
                  <c:v>-101.67772063739561</c:v>
                </c:pt>
                <c:pt idx="59">
                  <c:v>-102.77120446595676</c:v>
                </c:pt>
                <c:pt idx="60">
                  <c:v>-103.94546627225016</c:v>
                </c:pt>
                <c:pt idx="61">
                  <c:v>-105.20291445670877</c:v>
                </c:pt>
                <c:pt idx="62">
                  <c:v>-106.54531254227877</c:v>
                </c:pt>
                <c:pt idx="63">
                  <c:v>-107.97082331570903</c:v>
                </c:pt>
                <c:pt idx="64">
                  <c:v>-109.47802668246635</c:v>
                </c:pt>
                <c:pt idx="65">
                  <c:v>-111.06143579478682</c:v>
                </c:pt>
                <c:pt idx="66">
                  <c:v>-112.71344215672828</c:v>
                </c:pt>
                <c:pt idx="67">
                  <c:v>-114.42294795875908</c:v>
                </c:pt>
                <c:pt idx="68">
                  <c:v>-116.17625350662051</c:v>
                </c:pt>
                <c:pt idx="69">
                  <c:v>-117.9552867543796</c:v>
                </c:pt>
                <c:pt idx="70">
                  <c:v>-119.73953167406367</c:v>
                </c:pt>
                <c:pt idx="71">
                  <c:v>-121.50487291145308</c:v>
                </c:pt>
                <c:pt idx="72">
                  <c:v>-123.22566420501317</c:v>
                </c:pt>
                <c:pt idx="73">
                  <c:v>-124.87402000054772</c:v>
                </c:pt>
                <c:pt idx="74">
                  <c:v>-126.4224276234966</c:v>
                </c:pt>
                <c:pt idx="75">
                  <c:v>-127.84327759898123</c:v>
                </c:pt>
                <c:pt idx="76">
                  <c:v>-129.11110829064299</c:v>
                </c:pt>
                <c:pt idx="77">
                  <c:v>-130.20227945034097</c:v>
                </c:pt>
                <c:pt idx="78">
                  <c:v>-131.09699946125346</c:v>
                </c:pt>
                <c:pt idx="79">
                  <c:v>-131.77901681256606</c:v>
                </c:pt>
                <c:pt idx="80">
                  <c:v>-132.23782600597235</c:v>
                </c:pt>
                <c:pt idx="81">
                  <c:v>-132.46569034664068</c:v>
                </c:pt>
                <c:pt idx="82">
                  <c:v>-132.46073859980874</c:v>
                </c:pt>
                <c:pt idx="83">
                  <c:v>-132.22585106835351</c:v>
                </c:pt>
                <c:pt idx="84">
                  <c:v>-131.76856288438358</c:v>
                </c:pt>
                <c:pt idx="85">
                  <c:v>-131.10150293377322</c:v>
                </c:pt>
                <c:pt idx="86">
                  <c:v>-130.24154539156231</c:v>
                </c:pt>
                <c:pt idx="87">
                  <c:v>-129.20908960242562</c:v>
                </c:pt>
                <c:pt idx="88">
                  <c:v>-128.02960029855501</c:v>
                </c:pt>
                <c:pt idx="89">
                  <c:v>-126.72941667625823</c:v>
                </c:pt>
                <c:pt idx="90">
                  <c:v>-125.33810483134685</c:v>
                </c:pt>
                <c:pt idx="91">
                  <c:v>-123.88553962539466</c:v>
                </c:pt>
                <c:pt idx="92">
                  <c:v>-122.40174644669605</c:v>
                </c:pt>
                <c:pt idx="93">
                  <c:v>-120.91496940666737</c:v>
                </c:pt>
                <c:pt idx="94">
                  <c:v>-120.54618043614198</c:v>
                </c:pt>
                <c:pt idx="95">
                  <c:v>-120.36133956500616</c:v>
                </c:pt>
                <c:pt idx="96">
                  <c:v>-120.17913624889206</c:v>
                </c:pt>
                <c:pt idx="97">
                  <c:v>-119.99541867991276</c:v>
                </c:pt>
                <c:pt idx="98">
                  <c:v>-119.81441926469057</c:v>
                </c:pt>
                <c:pt idx="99">
                  <c:v>-119.63196719870612</c:v>
                </c:pt>
                <c:pt idx="100">
                  <c:v>-119.45231025994637</c:v>
                </c:pt>
                <c:pt idx="101">
                  <c:v>-119.27140166051188</c:v>
                </c:pt>
                <c:pt idx="102">
                  <c:v>-119.09335720021068</c:v>
                </c:pt>
                <c:pt idx="103">
                  <c:v>-118.91399499293293</c:v>
                </c:pt>
                <c:pt idx="104">
                  <c:v>-118.73756644118177</c:v>
                </c:pt>
                <c:pt idx="105">
                  <c:v>-118.56002241660669</c:v>
                </c:pt>
                <c:pt idx="106">
                  <c:v>-118.38547344396764</c:v>
                </c:pt>
                <c:pt idx="107">
                  <c:v>-118.21000283626543</c:v>
                </c:pt>
                <c:pt idx="108">
                  <c:v>-118.03758057864768</c:v>
                </c:pt>
                <c:pt idx="109">
                  <c:v>-117.86430490212614</c:v>
                </c:pt>
                <c:pt idx="110">
                  <c:v>-117.69412705073809</c:v>
                </c:pt>
                <c:pt idx="111">
                  <c:v>-117.52305500283968</c:v>
                </c:pt>
                <c:pt idx="112">
                  <c:v>-117.35513055189968</c:v>
                </c:pt>
                <c:pt idx="113">
                  <c:v>-117.18650405648729</c:v>
                </c:pt>
                <c:pt idx="114">
                  <c:v>-117.02106678296842</c:v>
                </c:pt>
                <c:pt idx="115">
                  <c:v>-116.85500570368475</c:v>
                </c:pt>
                <c:pt idx="116">
                  <c:v>-116.69217155037668</c:v>
                </c:pt>
                <c:pt idx="117">
                  <c:v>-116.52879445400134</c:v>
                </c:pt>
                <c:pt idx="118">
                  <c:v>-116.36867804760843</c:v>
                </c:pt>
                <c:pt idx="119">
                  <c:v>-116.20819814306876</c:v>
                </c:pt>
                <c:pt idx="120">
                  <c:v>-116.05100479147727</c:v>
                </c:pt>
                <c:pt idx="121">
                  <c:v>-115.89352505580436</c:v>
                </c:pt>
                <c:pt idx="122">
                  <c:v>-115.73935398582039</c:v>
                </c:pt>
                <c:pt idx="123">
                  <c:v>-115.58488692693535</c:v>
                </c:pt>
                <c:pt idx="124">
                  <c:v>-115.43375073579783</c:v>
                </c:pt>
                <c:pt idx="125">
                  <c:v>-115.2824911633318</c:v>
                </c:pt>
                <c:pt idx="126">
                  <c:v>-115.13457699552345</c:v>
                </c:pt>
                <c:pt idx="127">
                  <c:v>-114.98662081763715</c:v>
                </c:pt>
                <c:pt idx="128">
                  <c:v>-114.84202091911925</c:v>
                </c:pt>
                <c:pt idx="129">
                  <c:v>-114.69746121555018</c:v>
                </c:pt>
                <c:pt idx="130">
                  <c:v>-114.55626505343785</c:v>
                </c:pt>
                <c:pt idx="131">
                  <c:v>-114.41519184617935</c:v>
                </c:pt>
                <c:pt idx="132">
                  <c:v>-114.34592272273778</c:v>
                </c:pt>
                <c:pt idx="133">
                  <c:v>-114.27748588896036</c:v>
                </c:pt>
                <c:pt idx="134">
                  <c:v>-114.20827459036678</c:v>
                </c:pt>
                <c:pt idx="135">
                  <c:v>-114.13991582776157</c:v>
                </c:pt>
                <c:pt idx="136">
                  <c:v>-114.07239976366554</c:v>
                </c:pt>
                <c:pt idx="137">
                  <c:v>-114.00571667811879</c:v>
                </c:pt>
                <c:pt idx="138">
                  <c:v>-113.93837118576448</c:v>
                </c:pt>
                <c:pt idx="139">
                  <c:v>-113.87187673488623</c:v>
                </c:pt>
                <c:pt idx="140">
                  <c:v>-113.80622330535911</c:v>
                </c:pt>
                <c:pt idx="141">
                  <c:v>-113.74140100247791</c:v>
                </c:pt>
                <c:pt idx="142">
                  <c:v>-113.67589226495214</c:v>
                </c:pt>
                <c:pt idx="143">
                  <c:v>-113.6112339528151</c:v>
                </c:pt>
                <c:pt idx="144">
                  <c:v>-113.5474158528351</c:v>
                </c:pt>
                <c:pt idx="145">
                  <c:v>-113.48442788516236</c:v>
                </c:pt>
                <c:pt idx="146">
                  <c:v>-113.42082968088931</c:v>
                </c:pt>
                <c:pt idx="147">
                  <c:v>-113.35807958635516</c:v>
                </c:pt>
                <c:pt idx="148">
                  <c:v>-113.29616723040743</c:v>
                </c:pt>
                <c:pt idx="149">
                  <c:v>-113.23508238252633</c:v>
                </c:pt>
                <c:pt idx="150">
                  <c:v>-113.17343107346964</c:v>
                </c:pt>
                <c:pt idx="151">
                  <c:v>-113.11262475975067</c:v>
                </c:pt>
                <c:pt idx="152">
                  <c:v>-113.05265293197282</c:v>
                </c:pt>
                <c:pt idx="153">
                  <c:v>-112.99350522815702</c:v>
                </c:pt>
                <c:pt idx="154">
                  <c:v>-112.93380794915683</c:v>
                </c:pt>
                <c:pt idx="155">
                  <c:v>-112.87495255024731</c:v>
                </c:pt>
                <c:pt idx="156">
                  <c:v>-112.81692838865028</c:v>
                </c:pt>
                <c:pt idx="157">
                  <c:v>-112.75972497559816</c:v>
                </c:pt>
                <c:pt idx="158">
                  <c:v>-112.70201869342038</c:v>
                </c:pt>
                <c:pt idx="159">
                  <c:v>-112.6451503739297</c:v>
                </c:pt>
                <c:pt idx="160">
                  <c:v>-112.58910926076904</c:v>
                </c:pt>
                <c:pt idx="161">
                  <c:v>-112.53388475771003</c:v>
                </c:pt>
                <c:pt idx="162">
                  <c:v>-112.47822845435662</c:v>
                </c:pt>
                <c:pt idx="163">
                  <c:v>-112.42340469984597</c:v>
                </c:pt>
                <c:pt idx="164">
                  <c:v>-112.36940265793399</c:v>
                </c:pt>
                <c:pt idx="165">
                  <c:v>-112.31621165785272</c:v>
                </c:pt>
                <c:pt idx="166">
                  <c:v>-112.26258782120887</c:v>
                </c:pt>
                <c:pt idx="167">
                  <c:v>-112.20979185735868</c:v>
                </c:pt>
                <c:pt idx="168">
                  <c:v>-112.15781284066171</c:v>
                </c:pt>
                <c:pt idx="169">
                  <c:v>-112.10664001639746</c:v>
                </c:pt>
                <c:pt idx="170">
                  <c:v>-112.0551903843695</c:v>
                </c:pt>
                <c:pt idx="171">
                  <c:v>-112.00455976703854</c:v>
                </c:pt>
                <c:pt idx="172">
                  <c:v>-111.95473723729479</c:v>
                </c:pt>
                <c:pt idx="173">
                  <c:v>-111.90571204244429</c:v>
                </c:pt>
                <c:pt idx="174">
                  <c:v>-111.85626758206871</c:v>
                </c:pt>
                <c:pt idx="175">
                  <c:v>-111.80763882676986</c:v>
                </c:pt>
                <c:pt idx="176">
                  <c:v>-111.75981474205085</c:v>
                </c:pt>
                <c:pt idx="177">
                  <c:v>-111.71278447348311</c:v>
                </c:pt>
                <c:pt idx="178">
                  <c:v>-111.66540989498168</c:v>
                </c:pt>
                <c:pt idx="179">
                  <c:v>-111.61884614916518</c:v>
                </c:pt>
                <c:pt idx="180">
                  <c:v>-111.57308212897262</c:v>
                </c:pt>
                <c:pt idx="181">
                  <c:v>-111.52810691226551</c:v>
                </c:pt>
                <c:pt idx="182">
                  <c:v>-111.48303367885683</c:v>
                </c:pt>
                <c:pt idx="183">
                  <c:v>-111.43875873601075</c:v>
                </c:pt>
                <c:pt idx="184">
                  <c:v>-111.39527106649427</c:v>
                </c:pt>
                <c:pt idx="185">
                  <c:v>-111.35255983913929</c:v>
                </c:pt>
                <c:pt idx="186">
                  <c:v>-111.30947366138273</c:v>
                </c:pt>
                <c:pt idx="187">
                  <c:v>-111.26718454610156</c:v>
                </c:pt>
                <c:pt idx="188">
                  <c:v>-111.22568133662006</c:v>
                </c:pt>
                <c:pt idx="189">
                  <c:v>-111.18495306854759</c:v>
                </c:pt>
                <c:pt idx="190">
                  <c:v>-111.1442336536185</c:v>
                </c:pt>
                <c:pt idx="191">
                  <c:v>-111.10429664301857</c:v>
                </c:pt>
                <c:pt idx="192">
                  <c:v>-111.06513102557794</c:v>
                </c:pt>
                <c:pt idx="193">
                  <c:v>-111.02672598202652</c:v>
                </c:pt>
                <c:pt idx="194">
                  <c:v>-110.98809366201017</c:v>
                </c:pt>
                <c:pt idx="195">
                  <c:v>-110.95023983655243</c:v>
                </c:pt>
                <c:pt idx="196">
                  <c:v>-110.91315341880114</c:v>
                </c:pt>
                <c:pt idx="197">
                  <c:v>-110.87682351844776</c:v>
                </c:pt>
                <c:pt idx="198">
                  <c:v>-110.84046848949322</c:v>
                </c:pt>
                <c:pt idx="199">
                  <c:v>-110.8048810898907</c:v>
                </c:pt>
                <c:pt idx="200">
                  <c:v>-110.77005030894766</c:v>
                </c:pt>
                <c:pt idx="201">
                  <c:v>-110.73596533351797</c:v>
                </c:pt>
                <c:pt idx="202">
                  <c:v>-110.70190887416146</c:v>
                </c:pt>
                <c:pt idx="203">
                  <c:v>-110.66860833405126</c:v>
                </c:pt>
                <c:pt idx="204">
                  <c:v>-110.63605280234613</c:v>
                </c:pt>
                <c:pt idx="205">
                  <c:v>-110.60423156606967</c:v>
                </c:pt>
                <c:pt idx="206">
                  <c:v>-110.57238196576937</c:v>
                </c:pt>
                <c:pt idx="207">
                  <c:v>-110.5412809014728</c:v>
                </c:pt>
                <c:pt idx="208">
                  <c:v>-110.51091747353958</c:v>
                </c:pt>
                <c:pt idx="209">
                  <c:v>-110.48128098256304</c:v>
                </c:pt>
                <c:pt idx="210">
                  <c:v>-110.45158124853724</c:v>
                </c:pt>
                <c:pt idx="211">
                  <c:v>-110.42262642904795</c:v>
                </c:pt>
                <c:pt idx="212">
                  <c:v>-110.39440555644778</c:v>
                </c:pt>
                <c:pt idx="213">
                  <c:v>-110.36690786760479</c:v>
                </c:pt>
                <c:pt idx="214">
                  <c:v>-110.33959605068455</c:v>
                </c:pt>
                <c:pt idx="215">
                  <c:v>-110.31301455080262</c:v>
                </c:pt>
                <c:pt idx="216">
                  <c:v>-110.287152577512</c:v>
                </c:pt>
                <c:pt idx="217">
                  <c:v>-110.2619995430227</c:v>
                </c:pt>
                <c:pt idx="218">
                  <c:v>-110.23699552861319</c:v>
                </c:pt>
                <c:pt idx="219">
                  <c:v>-110.21271137624009</c:v>
                </c:pt>
                <c:pt idx="220">
                  <c:v>-110.18913638654382</c:v>
                </c:pt>
                <c:pt idx="221">
                  <c:v>-110.16626006300426</c:v>
                </c:pt>
                <c:pt idx="222">
                  <c:v>-110.14358523745405</c:v>
                </c:pt>
                <c:pt idx="223">
                  <c:v>-110.12161902138169</c:v>
                </c:pt>
                <c:pt idx="224">
                  <c:v>-110.10035082889985</c:v>
                </c:pt>
                <c:pt idx="225">
                  <c:v>-110.07977027649162</c:v>
                </c:pt>
                <c:pt idx="226">
                  <c:v>-110.05937971674165</c:v>
                </c:pt>
                <c:pt idx="227">
                  <c:v>-110.03969004455195</c:v>
                </c:pt>
                <c:pt idx="228">
                  <c:v>-110.02069071278218</c:v>
                </c:pt>
                <c:pt idx="229">
                  <c:v>-110.00237137802567</c:v>
                </c:pt>
                <c:pt idx="230">
                  <c:v>-109.96692273182337</c:v>
                </c:pt>
                <c:pt idx="231">
                  <c:v>-109.95022612973855</c:v>
                </c:pt>
                <c:pt idx="232">
                  <c:v>-109.93420090378665</c:v>
                </c:pt>
                <c:pt idx="233">
                  <c:v>-109.91848020815627</c:v>
                </c:pt>
                <c:pt idx="234">
                  <c:v>-109.90344198056812</c:v>
                </c:pt>
                <c:pt idx="235">
                  <c:v>-109.8890758293644</c:v>
                </c:pt>
                <c:pt idx="236">
                  <c:v>-109.8753715671826</c:v>
                </c:pt>
                <c:pt idx="237">
                  <c:v>-109.86206105475594</c:v>
                </c:pt>
                <c:pt idx="238">
                  <c:v>-109.84941876735149</c:v>
                </c:pt>
                <c:pt idx="239">
                  <c:v>-109.83743451195899</c:v>
                </c:pt>
                <c:pt idx="240">
                  <c:v>-109.82609829687576</c:v>
                </c:pt>
                <c:pt idx="241">
                  <c:v>-109.8151350819147</c:v>
                </c:pt>
                <c:pt idx="242">
                  <c:v>-109.80483281158524</c:v>
                </c:pt>
                <c:pt idx="243">
                  <c:v>-109.79518133695731</c:v>
                </c:pt>
                <c:pt idx="244">
                  <c:v>-109.78617071141124</c:v>
                </c:pt>
                <c:pt idx="245">
                  <c:v>-109.77761256441357</c:v>
                </c:pt>
                <c:pt idx="246">
                  <c:v>-109.76970359563688</c:v>
                </c:pt>
                <c:pt idx="247">
                  <c:v>-109.76243380685987</c:v>
                </c:pt>
                <c:pt idx="248">
                  <c:v>-109.75579340029616</c:v>
                </c:pt>
                <c:pt idx="249">
                  <c:v>-109.74963359215194</c:v>
                </c:pt>
                <c:pt idx="250">
                  <c:v>-109.74411405241476</c:v>
                </c:pt>
                <c:pt idx="251">
                  <c:v>-109.73922487187832</c:v>
                </c:pt>
                <c:pt idx="252">
                  <c:v>-109.73495634147703</c:v>
                </c:pt>
                <c:pt idx="253">
                  <c:v>-109.73122807798039</c:v>
                </c:pt>
                <c:pt idx="254">
                  <c:v>-109.72812716781968</c:v>
                </c:pt>
                <c:pt idx="255">
                  <c:v>-109.72564388745604</c:v>
                </c:pt>
                <c:pt idx="256">
                  <c:v>-109.72376871053865</c:v>
                </c:pt>
                <c:pt idx="257">
                  <c:v>-109.72246711007921</c:v>
                </c:pt>
                <c:pt idx="258">
                  <c:v>-109.72178583302569</c:v>
                </c:pt>
                <c:pt idx="259">
                  <c:v>-109.7217152090173</c:v>
                </c:pt>
                <c:pt idx="260">
                  <c:v>-109.722245765447</c:v>
                </c:pt>
                <c:pt idx="261">
                  <c:v>-109.72340054039557</c:v>
                </c:pt>
                <c:pt idx="262">
                  <c:v>-109.72516470370593</c:v>
                </c:pt>
                <c:pt idx="263">
                  <c:v>-109.72752873266467</c:v>
                </c:pt>
                <c:pt idx="264">
                  <c:v>-109.73048330026735</c:v>
                </c:pt>
                <c:pt idx="265">
                  <c:v>-109.73410438219808</c:v>
                </c:pt>
                <c:pt idx="266">
                  <c:v>-109.73832343670335</c:v>
                </c:pt>
                <c:pt idx="267">
                  <c:v>-109.74313110405177</c:v>
                </c:pt>
                <c:pt idx="268">
                  <c:v>-109.74851821769417</c:v>
                </c:pt>
                <c:pt idx="269">
                  <c:v>-109.75462668475379</c:v>
                </c:pt>
                <c:pt idx="270">
                  <c:v>-109.76132406741941</c:v>
                </c:pt>
                <c:pt idx="271">
                  <c:v>-109.76860111769294</c:v>
                </c:pt>
                <c:pt idx="272">
                  <c:v>-109.77644877958329</c:v>
                </c:pt>
                <c:pt idx="273">
                  <c:v>-109.78506322878019</c:v>
                </c:pt>
                <c:pt idx="274">
                  <c:v>-109.79425691806104</c:v>
                </c:pt>
                <c:pt idx="275">
                  <c:v>-109.80402072940421</c:v>
                </c:pt>
                <c:pt idx="276">
                  <c:v>-109.81434573507012</c:v>
                </c:pt>
                <c:pt idx="277">
                  <c:v>-109.82545454782489</c:v>
                </c:pt>
                <c:pt idx="278">
                  <c:v>-109.83712986036494</c:v>
                </c:pt>
                <c:pt idx="279">
                  <c:v>-109.84936276068828</c:v>
                </c:pt>
                <c:pt idx="280">
                  <c:v>-109.8621445231842</c:v>
                </c:pt>
                <c:pt idx="281">
                  <c:v>-109.87583491018127</c:v>
                </c:pt>
                <c:pt idx="282">
                  <c:v>-109.89008622220449</c:v>
                </c:pt>
                <c:pt idx="283">
                  <c:v>-109.9048895883911</c:v>
                </c:pt>
                <c:pt idx="284">
                  <c:v>-109.9202363249246</c:v>
                </c:pt>
                <c:pt idx="285">
                  <c:v>-109.93643740962801</c:v>
                </c:pt>
                <c:pt idx="286">
                  <c:v>-109.95318590675298</c:v>
                </c:pt>
                <c:pt idx="287">
                  <c:v>-109.97047317752981</c:v>
                </c:pt>
                <c:pt idx="288">
                  <c:v>-109.98829076550456</c:v>
                </c:pt>
                <c:pt idx="289">
                  <c:v>-110.0071115446456</c:v>
                </c:pt>
                <c:pt idx="290">
                  <c:v>-110.02647296548399</c:v>
                </c:pt>
                <c:pt idx="291">
                  <c:v>-110.04636646612049</c:v>
                </c:pt>
                <c:pt idx="292">
                  <c:v>-110.06678366655133</c:v>
                </c:pt>
                <c:pt idx="293">
                  <c:v>-110.08820613245175</c:v>
                </c:pt>
                <c:pt idx="294">
                  <c:v>-110.11015959908453</c:v>
                </c:pt>
                <c:pt idx="295">
                  <c:v>-110.13263565292227</c:v>
                </c:pt>
                <c:pt idx="296">
                  <c:v>-110.15562605986267</c:v>
                </c:pt>
                <c:pt idx="297">
                  <c:v>-110.17965927218181</c:v>
                </c:pt>
                <c:pt idx="298">
                  <c:v>-110.20421347504015</c:v>
                </c:pt>
                <c:pt idx="299">
                  <c:v>-110.22928041592347</c:v>
                </c:pt>
                <c:pt idx="300">
                  <c:v>-110.25485201886879</c:v>
                </c:pt>
                <c:pt idx="301">
                  <c:v>-110.28150173533892</c:v>
                </c:pt>
                <c:pt idx="302">
                  <c:v>-110.30866213937621</c:v>
                </c:pt>
                <c:pt idx="303">
                  <c:v>-110.33632515032727</c:v>
                </c:pt>
                <c:pt idx="304">
                  <c:v>-110.364482860862</c:v>
                </c:pt>
                <c:pt idx="305">
                  <c:v>-110.39386543530406</c:v>
                </c:pt>
                <c:pt idx="306">
                  <c:v>-110.42375199624203</c:v>
                </c:pt>
                <c:pt idx="307">
                  <c:v>-110.45413455353577</c:v>
                </c:pt>
                <c:pt idx="308">
                  <c:v>-110.48500528942546</c:v>
                </c:pt>
                <c:pt idx="309">
                  <c:v>-110.51702232802687</c:v>
                </c:pt>
                <c:pt idx="310">
                  <c:v>-110.54953239350249</c:v>
                </c:pt>
                <c:pt idx="311">
                  <c:v>-110.58252769085276</c:v>
                </c:pt>
                <c:pt idx="312">
                  <c:v>-110.61600059348309</c:v>
                </c:pt>
                <c:pt idx="313">
                  <c:v>-110.65077732932994</c:v>
                </c:pt>
                <c:pt idx="314">
                  <c:v>-110.6860395736034</c:v>
                </c:pt>
                <c:pt idx="315">
                  <c:v>-110.72177964906548</c:v>
                </c:pt>
                <c:pt idx="316">
                  <c:v>-110.75799004509129</c:v>
                </c:pt>
                <c:pt idx="317">
                  <c:v>-110.79554217206859</c:v>
                </c:pt>
                <c:pt idx="318">
                  <c:v>-110.83357186617953</c:v>
                </c:pt>
                <c:pt idx="319">
                  <c:v>-110.87207158188414</c:v>
                </c:pt>
                <c:pt idx="320">
                  <c:v>-110.9110339380334</c:v>
                </c:pt>
                <c:pt idx="321">
                  <c:v>-110.95137376769371</c:v>
                </c:pt>
                <c:pt idx="322">
                  <c:v>-110.9921828780208</c:v>
                </c:pt>
                <c:pt idx="323">
                  <c:v>-111.03345386734297</c:v>
                </c:pt>
                <c:pt idx="324">
                  <c:v>-111.07517949577341</c:v>
                </c:pt>
                <c:pt idx="325">
                  <c:v>-111.11831630926149</c:v>
                </c:pt>
                <c:pt idx="326">
                  <c:v>-111.16191384419291</c:v>
                </c:pt>
                <c:pt idx="327">
                  <c:v>-111.20596485324727</c:v>
                </c:pt>
                <c:pt idx="328">
                  <c:v>-111.25046224794576</c:v>
                </c:pt>
                <c:pt idx="329">
                  <c:v>-111.29647983399531</c:v>
                </c:pt>
                <c:pt idx="330">
                  <c:v>-111.34295087747608</c:v>
                </c:pt>
                <c:pt idx="331">
                  <c:v>-111.38986825910298</c:v>
                </c:pt>
                <c:pt idx="332">
                  <c:v>-111.43722501622538</c:v>
                </c:pt>
                <c:pt idx="333">
                  <c:v>-111.4860562483389</c:v>
                </c:pt>
                <c:pt idx="334">
                  <c:v>-111.53533192246023</c:v>
                </c:pt>
                <c:pt idx="335">
                  <c:v>-111.58504509252447</c:v>
                </c:pt>
                <c:pt idx="336">
                  <c:v>-111.63518896554292</c:v>
                </c:pt>
                <c:pt idx="337">
                  <c:v>-111.68700157641175</c:v>
                </c:pt>
                <c:pt idx="338">
                  <c:v>-111.73925230196595</c:v>
                </c:pt>
                <c:pt idx="339">
                  <c:v>-111.79193431078203</c:v>
                </c:pt>
                <c:pt idx="340">
                  <c:v>-111.84504092264204</c:v>
                </c:pt>
                <c:pt idx="341">
                  <c:v>-111.89985116663654</c:v>
                </c:pt>
                <c:pt idx="342">
                  <c:v>-111.95509286606564</c:v>
                </c:pt>
                <c:pt idx="343">
                  <c:v>-112.0107593162833</c:v>
                </c:pt>
                <c:pt idx="344">
                  <c:v>-112.06684396160006</c:v>
                </c:pt>
                <c:pt idx="345">
                  <c:v>-112.12457694107181</c:v>
                </c:pt>
                <c:pt idx="346">
                  <c:v>-112.18273317340001</c:v>
                </c:pt>
                <c:pt idx="347">
                  <c:v>-112.24130612085125</c:v>
                </c:pt>
                <c:pt idx="348">
                  <c:v>-112.30028939118833</c:v>
                </c:pt>
                <c:pt idx="349">
                  <c:v>-112.36113020159561</c:v>
                </c:pt>
                <c:pt idx="350">
                  <c:v>-112.42238846658356</c:v>
                </c:pt>
                <c:pt idx="351">
                  <c:v>-112.4840577642519</c:v>
                </c:pt>
                <c:pt idx="352">
                  <c:v>-112.54613181622135</c:v>
                </c:pt>
                <c:pt idx="353">
                  <c:v>-112.6100967369906</c:v>
                </c:pt>
                <c:pt idx="354">
                  <c:v>-112.67447304127867</c:v>
                </c:pt>
                <c:pt idx="355">
                  <c:v>-112.73925443398576</c:v>
                </c:pt>
                <c:pt idx="356">
                  <c:v>-112.80443476121263</c:v>
                </c:pt>
                <c:pt idx="357">
                  <c:v>-112.87144198790625</c:v>
                </c:pt>
                <c:pt idx="358">
                  <c:v>-112.93885317829746</c:v>
                </c:pt>
                <c:pt idx="359">
                  <c:v>-113.0066621994476</c:v>
                </c:pt>
                <c:pt idx="360">
                  <c:v>-113.07486305621939</c:v>
                </c:pt>
                <c:pt idx="361">
                  <c:v>-113.14511319109151</c:v>
                </c:pt>
                <c:pt idx="362">
                  <c:v>-113.21576203920155</c:v>
                </c:pt>
                <c:pt idx="363">
                  <c:v>-113.28680358519591</c:v>
                </c:pt>
                <c:pt idx="364">
                  <c:v>-113.35823194943076</c:v>
                </c:pt>
                <c:pt idx="365">
                  <c:v>-113.43164143443505</c:v>
                </c:pt>
                <c:pt idx="366">
                  <c:v>-113.50544311445078</c:v>
                </c:pt>
                <c:pt idx="367">
                  <c:v>-113.57963112507687</c:v>
                </c:pt>
                <c:pt idx="368">
                  <c:v>-113.65419973450707</c:v>
                </c:pt>
                <c:pt idx="369">
                  <c:v>-113.73098085095582</c:v>
                </c:pt>
                <c:pt idx="370">
                  <c:v>-113.8081496428468</c:v>
                </c:pt>
                <c:pt idx="371">
                  <c:v>-113.88570035698464</c:v>
                </c:pt>
                <c:pt idx="372">
                  <c:v>-113.96362737082721</c:v>
                </c:pt>
                <c:pt idx="373">
                  <c:v>-114.04369475674301</c:v>
                </c:pt>
                <c:pt idx="374">
                  <c:v>-114.12414411445791</c:v>
                </c:pt>
                <c:pt idx="375">
                  <c:v>-114.20496983331493</c:v>
                </c:pt>
                <c:pt idx="376">
                  <c:v>-114.28616643040229</c:v>
                </c:pt>
                <c:pt idx="377">
                  <c:v>-114.36974307833151</c:v>
                </c:pt>
                <c:pt idx="378">
                  <c:v>-114.45369785040765</c:v>
                </c:pt>
                <c:pt idx="379">
                  <c:v>-114.53802524297177</c:v>
                </c:pt>
                <c:pt idx="380">
                  <c:v>-114.62271987825591</c:v>
                </c:pt>
                <c:pt idx="381">
                  <c:v>-114.70961077365565</c:v>
                </c:pt>
                <c:pt idx="382">
                  <c:v>-114.79687392996458</c:v>
                </c:pt>
                <c:pt idx="383">
                  <c:v>-114.88450399946871</c:v>
                </c:pt>
                <c:pt idx="384">
                  <c:v>-114.97249575697987</c:v>
                </c:pt>
                <c:pt idx="385">
                  <c:v>-115.06303813148865</c:v>
                </c:pt>
                <c:pt idx="386">
                  <c:v>-115.15394961296496</c:v>
                </c:pt>
                <c:pt idx="387">
                  <c:v>-115.24522495665603</c:v>
                </c:pt>
                <c:pt idx="388">
                  <c:v>-115.33685903855803</c:v>
                </c:pt>
                <c:pt idx="389">
                  <c:v>-115.43096435372578</c:v>
                </c:pt>
                <c:pt idx="390">
                  <c:v>-115.52543460527598</c:v>
                </c:pt>
                <c:pt idx="391">
                  <c:v>-115.62026467863105</c:v>
                </c:pt>
                <c:pt idx="392">
                  <c:v>-115.71544957733011</c:v>
                </c:pt>
                <c:pt idx="393">
                  <c:v>-115.81313398206636</c:v>
                </c:pt>
                <c:pt idx="394">
                  <c:v>-115.9111791286612</c:v>
                </c:pt>
                <c:pt idx="395">
                  <c:v>-116.00958003839354</c:v>
                </c:pt>
                <c:pt idx="396">
                  <c:v>-116.10833184782133</c:v>
                </c:pt>
                <c:pt idx="397">
                  <c:v>-116.20983991658601</c:v>
                </c:pt>
                <c:pt idx="398">
                  <c:v>-116.31170615793597</c:v>
                </c:pt>
                <c:pt idx="399">
                  <c:v>-116.41392570099489</c:v>
                </c:pt>
                <c:pt idx="400">
                  <c:v>-116.51649378815871</c:v>
                </c:pt>
                <c:pt idx="401">
                  <c:v>-116.62173277507732</c:v>
                </c:pt>
                <c:pt idx="402">
                  <c:v>-116.72732650638856</c:v>
                </c:pt>
                <c:pt idx="403">
                  <c:v>-116.83327024213696</c:v>
                </c:pt>
                <c:pt idx="404">
                  <c:v>-116.93955935288534</c:v>
                </c:pt>
                <c:pt idx="405">
                  <c:v>-117.04866487838414</c:v>
                </c:pt>
                <c:pt idx="406">
                  <c:v>-117.15812251085245</c:v>
                </c:pt>
                <c:pt idx="407">
                  <c:v>-117.26792763078608</c:v>
                </c:pt>
                <c:pt idx="408">
                  <c:v>-117.37807572672912</c:v>
                </c:pt>
                <c:pt idx="409">
                  <c:v>-117.49118859116271</c:v>
                </c:pt>
                <c:pt idx="410">
                  <c:v>-117.60465166954873</c:v>
                </c:pt>
                <c:pt idx="411">
                  <c:v>-117.7184604538801</c:v>
                </c:pt>
                <c:pt idx="412">
                  <c:v>-117.8326105419622</c:v>
                </c:pt>
                <c:pt idx="413">
                  <c:v>-117.94975567126278</c:v>
                </c:pt>
                <c:pt idx="414">
                  <c:v>-118.06724911440826</c:v>
                </c:pt>
                <c:pt idx="415">
                  <c:v>-118.18508648065604</c:v>
                </c:pt>
                <c:pt idx="416">
                  <c:v>-118.30326348260985</c:v>
                </c:pt>
                <c:pt idx="417">
                  <c:v>-118.42458716164784</c:v>
                </c:pt>
                <c:pt idx="418">
                  <c:v>-118.54625798377535</c:v>
                </c:pt>
                <c:pt idx="419">
                  <c:v>-118.66827166731144</c:v>
                </c:pt>
                <c:pt idx="420">
                  <c:v>-118.79062403165385</c:v>
                </c:pt>
                <c:pt idx="421">
                  <c:v>-118.91603015418494</c:v>
                </c:pt>
                <c:pt idx="422">
                  <c:v>-119.04178159403567</c:v>
                </c:pt>
                <c:pt idx="423">
                  <c:v>-119.16787419577203</c:v>
                </c:pt>
                <c:pt idx="424">
                  <c:v>-119.29430390216304</c:v>
                </c:pt>
                <c:pt idx="425">
                  <c:v>-119.42419008241359</c:v>
                </c:pt>
                <c:pt idx="426">
                  <c:v>-119.55442184170612</c:v>
                </c:pt>
                <c:pt idx="427">
                  <c:v>-119.68499511848326</c:v>
                </c:pt>
                <c:pt idx="428">
                  <c:v>-119.81590594745316</c:v>
                </c:pt>
                <c:pt idx="429">
                  <c:v>-119.95018017171442</c:v>
                </c:pt>
                <c:pt idx="430">
                  <c:v>-120.08479959240039</c:v>
                </c:pt>
                <c:pt idx="431">
                  <c:v>-120.21976025852257</c:v>
                </c:pt>
                <c:pt idx="432">
                  <c:v>-120.35505831280398</c:v>
                </c:pt>
                <c:pt idx="433">
                  <c:v>-120.49375029252381</c:v>
                </c:pt>
                <c:pt idx="434">
                  <c:v>-120.63278716914157</c:v>
                </c:pt>
                <c:pt idx="435">
                  <c:v>-120.77216510515782</c:v>
                </c:pt>
                <c:pt idx="436">
                  <c:v>-120.91188035403145</c:v>
                </c:pt>
                <c:pt idx="437">
                  <c:v>-121.05527698964254</c:v>
                </c:pt>
                <c:pt idx="438">
                  <c:v>-121.19901956896221</c:v>
                </c:pt>
                <c:pt idx="439">
                  <c:v>-121.3431043498322</c:v>
                </c:pt>
                <c:pt idx="440">
                  <c:v>-121.48752767874603</c:v>
                </c:pt>
                <c:pt idx="441">
                  <c:v>-121.6356654867825</c:v>
                </c:pt>
                <c:pt idx="442">
                  <c:v>-121.78415034782293</c:v>
                </c:pt>
                <c:pt idx="443">
                  <c:v>-121.93297861818768</c:v>
                </c:pt>
                <c:pt idx="444">
                  <c:v>-122.08214674029765</c:v>
                </c:pt>
                <c:pt idx="445">
                  <c:v>-122.23506189649235</c:v>
                </c:pt>
                <c:pt idx="446">
                  <c:v>-122.38832530608146</c:v>
                </c:pt>
                <c:pt idx="447">
                  <c:v>-122.54193342563867</c:v>
                </c:pt>
                <c:pt idx="448">
                  <c:v>-122.69588279506293</c:v>
                </c:pt>
                <c:pt idx="449">
                  <c:v>-122.85387599416204</c:v>
                </c:pt>
                <c:pt idx="450">
                  <c:v>-123.01221992846308</c:v>
                </c:pt>
                <c:pt idx="451">
                  <c:v>-123.17091113808195</c:v>
                </c:pt>
                <c:pt idx="452">
                  <c:v>-123.32994624400968</c:v>
                </c:pt>
                <c:pt idx="453">
                  <c:v>-123.49292681229888</c:v>
                </c:pt>
                <c:pt idx="454">
                  <c:v>-123.65626009402807</c:v>
                </c:pt>
                <c:pt idx="455">
                  <c:v>-123.81994272229119</c:v>
                </c:pt>
                <c:pt idx="456">
                  <c:v>-123.98397140808672</c:v>
                </c:pt>
                <c:pt idx="457">
                  <c:v>-124.15224787399951</c:v>
                </c:pt>
                <c:pt idx="458">
                  <c:v>-124.32088028125369</c:v>
                </c:pt>
                <c:pt idx="459">
                  <c:v>-124.48986533903813</c:v>
                </c:pt>
                <c:pt idx="460">
                  <c:v>-124.65919983173252</c:v>
                </c:pt>
                <c:pt idx="461">
                  <c:v>-124.83281814605262</c:v>
                </c:pt>
                <c:pt idx="462">
                  <c:v>-125.00679570369361</c:v>
                </c:pt>
                <c:pt idx="463">
                  <c:v>-125.1811292890835</c:v>
                </c:pt>
                <c:pt idx="464">
                  <c:v>-125.35581575884859</c:v>
                </c:pt>
                <c:pt idx="465">
                  <c:v>-125.53495862323783</c:v>
                </c:pt>
                <c:pt idx="466">
                  <c:v>-125.71446466669491</c:v>
                </c:pt>
                <c:pt idx="467">
                  <c:v>-125.89433073921781</c:v>
                </c:pt>
                <c:pt idx="468">
                  <c:v>-126.07455375995153</c:v>
                </c:pt>
                <c:pt idx="469">
                  <c:v>-126.25927018702943</c:v>
                </c:pt>
                <c:pt idx="470">
                  <c:v>-126.44435378879641</c:v>
                </c:pt>
                <c:pt idx="471">
                  <c:v>-126.62980147736592</c:v>
                </c:pt>
                <c:pt idx="472">
                  <c:v>-126.81561023065427</c:v>
                </c:pt>
                <c:pt idx="473">
                  <c:v>-127.00622721980881</c:v>
                </c:pt>
                <c:pt idx="474">
                  <c:v>-127.19721651401302</c:v>
                </c:pt>
                <c:pt idx="475">
                  <c:v>-127.38857506901883</c:v>
                </c:pt>
                <c:pt idx="476">
                  <c:v>-127.58029990310953</c:v>
                </c:pt>
                <c:pt idx="477">
                  <c:v>-127.77687259895652</c:v>
                </c:pt>
                <c:pt idx="478">
                  <c:v>-127.97382273214683</c:v>
                </c:pt>
                <c:pt idx="479">
                  <c:v>-128.17114729611765</c:v>
                </c:pt>
                <c:pt idx="480">
                  <c:v>-128.36884334321647</c:v>
                </c:pt>
                <c:pt idx="481">
                  <c:v>-128.57142655004031</c:v>
                </c:pt>
                <c:pt idx="482">
                  <c:v>-128.77439230831448</c:v>
                </c:pt>
                <c:pt idx="483">
                  <c:v>-128.977737640984</c:v>
                </c:pt>
                <c:pt idx="484">
                  <c:v>-129.18145962593869</c:v>
                </c:pt>
                <c:pt idx="485">
                  <c:v>-129.39024998798612</c:v>
                </c:pt>
                <c:pt idx="486">
                  <c:v>-129.59942849290761</c:v>
                </c:pt>
                <c:pt idx="487">
                  <c:v>-129.80899217668252</c:v>
                </c:pt>
                <c:pt idx="488">
                  <c:v>-130.01893812606411</c:v>
                </c:pt>
                <c:pt idx="489">
                  <c:v>-130.2342792359288</c:v>
                </c:pt>
                <c:pt idx="490">
                  <c:v>-130.45001501738201</c:v>
                </c:pt>
                <c:pt idx="491">
                  <c:v>-130.6661424952143</c:v>
                </c:pt>
                <c:pt idx="492">
                  <c:v>-130.88265874068568</c:v>
                </c:pt>
                <c:pt idx="493">
                  <c:v>-131.10461303035999</c:v>
                </c:pt>
                <c:pt idx="494">
                  <c:v>-131.32696832751083</c:v>
                </c:pt>
                <c:pt idx="495">
                  <c:v>-131.54972163123432</c:v>
                </c:pt>
                <c:pt idx="496">
                  <c:v>-131.77286998234976</c:v>
                </c:pt>
                <c:pt idx="497">
                  <c:v>-132.00164414852455</c:v>
                </c:pt>
                <c:pt idx="498">
                  <c:v>-132.23082591363271</c:v>
                </c:pt>
                <c:pt idx="499">
                  <c:v>-132.46041222778402</c:v>
                </c:pt>
                <c:pt idx="500">
                  <c:v>-132.69040007771252</c:v>
                </c:pt>
                <c:pt idx="501">
                  <c:v>-132.92620350422524</c:v>
                </c:pt>
                <c:pt idx="502">
                  <c:v>-133.16242127512882</c:v>
                </c:pt>
                <c:pt idx="503">
                  <c:v>-133.39905026518679</c:v>
                </c:pt>
                <c:pt idx="504">
                  <c:v>-133.63608738028731</c:v>
                </c:pt>
                <c:pt idx="505">
                  <c:v>-133.8789842620441</c:v>
                </c:pt>
                <c:pt idx="506">
                  <c:v>-134.12230175991363</c:v>
                </c:pt>
                <c:pt idx="507">
                  <c:v>-134.36603664928086</c:v>
                </c:pt>
                <c:pt idx="508">
                  <c:v>-134.61018573064689</c:v>
                </c:pt>
                <c:pt idx="509">
                  <c:v>-134.86038635604174</c:v>
                </c:pt>
                <c:pt idx="510">
                  <c:v>-135.11101377994171</c:v>
                </c:pt>
                <c:pt idx="511">
                  <c:v>-135.36206464466227</c:v>
                </c:pt>
                <c:pt idx="512">
                  <c:v>-135.61353561116678</c:v>
                </c:pt>
                <c:pt idx="513">
                  <c:v>-135.87140083022072</c:v>
                </c:pt>
                <c:pt idx="514">
                  <c:v>-136.12969927860578</c:v>
                </c:pt>
                <c:pt idx="515">
                  <c:v>-136.38842742149004</c:v>
                </c:pt>
                <c:pt idx="516">
                  <c:v>-136.64758173574279</c:v>
                </c:pt>
                <c:pt idx="517">
                  <c:v>-136.91317589342762</c:v>
                </c:pt>
                <c:pt idx="518">
                  <c:v>-137.17920875957518</c:v>
                </c:pt>
                <c:pt idx="519">
                  <c:v>-137.44567658541496</c:v>
                </c:pt>
                <c:pt idx="520">
                  <c:v>-137.71257562634599</c:v>
                </c:pt>
                <c:pt idx="521">
                  <c:v>-137.98611000672705</c:v>
                </c:pt>
                <c:pt idx="522">
                  <c:v>-138.26008791848989</c:v>
                </c:pt>
                <c:pt idx="523">
                  <c:v>-138.53450535089695</c:v>
                </c:pt>
                <c:pt idx="524">
                  <c:v>-138.80935828928</c:v>
                </c:pt>
                <c:pt idx="525">
                  <c:v>-139.09104269046674</c:v>
                </c:pt>
                <c:pt idx="526">
                  <c:v>-139.37317454094637</c:v>
                </c:pt>
                <c:pt idx="527">
                  <c:v>-139.65574951428189</c:v>
                </c:pt>
                <c:pt idx="528">
                  <c:v>-139.93876327142272</c:v>
                </c:pt>
                <c:pt idx="529">
                  <c:v>-140.22880484507135</c:v>
                </c:pt>
                <c:pt idx="530">
                  <c:v>-140.51929659666106</c:v>
                </c:pt>
                <c:pt idx="531">
                  <c:v>-140.8102338241865</c:v>
                </c:pt>
                <c:pt idx="532">
                  <c:v>-141.10161180376224</c:v>
                </c:pt>
                <c:pt idx="533">
                  <c:v>-141.40036799512458</c:v>
                </c:pt>
                <c:pt idx="534">
                  <c:v>-141.69957604439441</c:v>
                </c:pt>
                <c:pt idx="535">
                  <c:v>-141.99923079961735</c:v>
                </c:pt>
                <c:pt idx="536">
                  <c:v>-142.29932707706661</c:v>
                </c:pt>
                <c:pt idx="537">
                  <c:v>-142.60668792094626</c:v>
                </c:pt>
                <c:pt idx="538">
                  <c:v>-142.91449948726554</c:v>
                </c:pt>
                <c:pt idx="539">
                  <c:v>-143.22275611683676</c:v>
                </c:pt>
                <c:pt idx="540">
                  <c:v>-143.53145210843124</c:v>
                </c:pt>
                <c:pt idx="541">
                  <c:v>-143.84791745350662</c:v>
                </c:pt>
                <c:pt idx="542">
                  <c:v>-144.16483101195107</c:v>
                </c:pt>
                <c:pt idx="543">
                  <c:v>-144.48218651994907</c:v>
                </c:pt>
                <c:pt idx="544">
                  <c:v>-144.79997766078699</c:v>
                </c:pt>
                <c:pt idx="545">
                  <c:v>-145.12557439469674</c:v>
                </c:pt>
                <c:pt idx="546">
                  <c:v>-145.45161362278554</c:v>
                </c:pt>
                <c:pt idx="547">
                  <c:v>-145.77808839785234</c:v>
                </c:pt>
                <c:pt idx="548">
                  <c:v>-146.10499170873959</c:v>
                </c:pt>
                <c:pt idx="549">
                  <c:v>-146.43988961001537</c:v>
                </c:pt>
                <c:pt idx="550">
                  <c:v>-146.77522103457795</c:v>
                </c:pt>
                <c:pt idx="551">
                  <c:v>-147.11097825779541</c:v>
                </c:pt>
                <c:pt idx="552">
                  <c:v>-147.44715347992445</c:v>
                </c:pt>
                <c:pt idx="553">
                  <c:v>-147.79166708533904</c:v>
                </c:pt>
                <c:pt idx="554">
                  <c:v>-148.13660182087531</c:v>
                </c:pt>
                <c:pt idx="555">
                  <c:v>-148.48194907219903</c:v>
                </c:pt>
                <c:pt idx="556">
                  <c:v>-148.82770013870618</c:v>
                </c:pt>
                <c:pt idx="557">
                  <c:v>-149.53664645609877</c:v>
                </c:pt>
                <c:pt idx="558">
                  <c:v>-150.24717128001078</c:v>
                </c:pt>
                <c:pt idx="559">
                  <c:v>-150.97553409097421</c:v>
                </c:pt>
                <c:pt idx="560">
                  <c:v>-151.70538167153182</c:v>
                </c:pt>
                <c:pt idx="561">
                  <c:v>-152.45399273653521</c:v>
                </c:pt>
                <c:pt idx="562">
                  <c:v>-153.20397361125981</c:v>
                </c:pt>
                <c:pt idx="563">
                  <c:v>-153.97136187829639</c:v>
                </c:pt>
                <c:pt idx="564">
                  <c:v>-154.73997290033699</c:v>
                </c:pt>
                <c:pt idx="565">
                  <c:v>-155.52911778688804</c:v>
                </c:pt>
                <c:pt idx="566">
                  <c:v>-156.31931754842384</c:v>
                </c:pt>
                <c:pt idx="567">
                  <c:v>-157.12991747376918</c:v>
                </c:pt>
                <c:pt idx="568">
                  <c:v>-157.94136848079449</c:v>
                </c:pt>
                <c:pt idx="569">
                  <c:v>-158.76978759587013</c:v>
                </c:pt>
                <c:pt idx="570">
                  <c:v>-159.59881110544129</c:v>
                </c:pt>
                <c:pt idx="571">
                  <c:v>-160.45106935498501</c:v>
                </c:pt>
                <c:pt idx="572">
                  <c:v>-161.30365362227775</c:v>
                </c:pt>
                <c:pt idx="573">
                  <c:v>-162.1726774140337</c:v>
                </c:pt>
                <c:pt idx="574">
                  <c:v>-163.04170071327934</c:v>
                </c:pt>
                <c:pt idx="575">
                  <c:v>-163.93332491701267</c:v>
                </c:pt>
                <c:pt idx="576">
                  <c:v>-164.82457698221253</c:v>
                </c:pt>
                <c:pt idx="577">
                  <c:v>-168.58925024706272</c:v>
                </c:pt>
                <c:pt idx="578">
                  <c:v>-172.32933274549376</c:v>
                </c:pt>
                <c:pt idx="579">
                  <c:v>-180.36997966403658</c:v>
                </c:pt>
                <c:pt idx="580">
                  <c:v>-188.81742091908663</c:v>
                </c:pt>
                <c:pt idx="581">
                  <c:v>-197.462188637509</c:v>
                </c:pt>
                <c:pt idx="582">
                  <c:v>-206.0825552475587</c:v>
                </c:pt>
                <c:pt idx="583">
                  <c:v>-214.45220754334863</c:v>
                </c:pt>
                <c:pt idx="584">
                  <c:v>-222.39762622649491</c:v>
                </c:pt>
                <c:pt idx="585">
                  <c:v>-229.79189745134698</c:v>
                </c:pt>
                <c:pt idx="586">
                  <c:v>-236.57118022724512</c:v>
                </c:pt>
                <c:pt idx="587">
                  <c:v>-242.71863044333355</c:v>
                </c:pt>
                <c:pt idx="588">
                  <c:v>-248.23794612421651</c:v>
                </c:pt>
                <c:pt idx="589">
                  <c:v>-253.15959188167861</c:v>
                </c:pt>
                <c:pt idx="590">
                  <c:v>-257.5145157469683</c:v>
                </c:pt>
                <c:pt idx="591">
                  <c:v>-261.33822957620146</c:v>
                </c:pt>
                <c:pt idx="592">
                  <c:v>-264.66526898549535</c:v>
                </c:pt>
                <c:pt idx="593">
                  <c:v>-267.53106571496573</c:v>
                </c:pt>
                <c:pt idx="594">
                  <c:v>-269.96925444724218</c:v>
                </c:pt>
                <c:pt idx="595">
                  <c:v>-272.01539968189434</c:v>
                </c:pt>
                <c:pt idx="596">
                  <c:v>-273.705270539943</c:v>
                </c:pt>
                <c:pt idx="597">
                  <c:v>-275.07665966623193</c:v>
                </c:pt>
                <c:pt idx="598">
                  <c:v>-276.1676577139815</c:v>
                </c:pt>
                <c:pt idx="599">
                  <c:v>-277.01737805647394</c:v>
                </c:pt>
                <c:pt idx="600">
                  <c:v>-277.66409768496317</c:v>
                </c:pt>
              </c:numCache>
            </c:numRef>
          </c:yVal>
          <c:smooth val="0"/>
          <c:extLst>
            <c:ext xmlns:c16="http://schemas.microsoft.com/office/drawing/2014/chart" uri="{C3380CC4-5D6E-409C-BE32-E72D297353CC}">
              <c16:uniqueId val="{0000000B-4BA7-4FA6-AB73-85DC72E7447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A7-4FA6-AB73-85DC72E7447B}"/>
              </c:ext>
            </c:extLst>
          </c:dPt>
          <c:xVal>
            <c:numRef>
              <c:f>'Stability Calculations'!$A$617:$A$618</c:f>
              <c:numCache>
                <c:formatCode>General</c:formatCode>
                <c:ptCount val="2"/>
                <c:pt idx="0">
                  <c:v>39131.5</c:v>
                </c:pt>
                <c:pt idx="1">
                  <c:v>39131.5</c:v>
                </c:pt>
              </c:numCache>
            </c:numRef>
          </c:xVal>
          <c:yVal>
            <c:numRef>
              <c:f>'Stability Calculations'!$V$617:$V$618</c:f>
              <c:numCache>
                <c:formatCode>0.00</c:formatCode>
                <c:ptCount val="2"/>
                <c:pt idx="0">
                  <c:v>-116.62173277507732</c:v>
                </c:pt>
                <c:pt idx="1">
                  <c:v>-135</c:v>
                </c:pt>
              </c:numCache>
            </c:numRef>
          </c:yVal>
          <c:smooth val="0"/>
          <c:extLst>
            <c:ext xmlns:c16="http://schemas.microsoft.com/office/drawing/2014/chart" uri="{C3380CC4-5D6E-409C-BE32-E72D297353CC}">
              <c16:uniqueId val="{0000000D-4BA7-4FA6-AB73-85DC72E7447B}"/>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39131.5</c:v>
                </c:pt>
                <c:pt idx="1">
                  <c:v>1000000</c:v>
                </c:pt>
              </c:numCache>
            </c:numRef>
          </c:xVal>
          <c:yVal>
            <c:numRef>
              <c:f>'Stability Calculations'!$V$619:$V$620</c:f>
              <c:numCache>
                <c:formatCode>0.00</c:formatCode>
                <c:ptCount val="2"/>
                <c:pt idx="1">
                  <c:v>-116.62173277507732</c:v>
                </c:pt>
              </c:numCache>
            </c:numRef>
          </c:yVal>
          <c:smooth val="0"/>
          <c:extLst>
            <c:ext xmlns:c16="http://schemas.microsoft.com/office/drawing/2014/chart" uri="{C3380CC4-5D6E-409C-BE32-E72D297353CC}">
              <c16:uniqueId val="{0000000E-4BA7-4FA6-AB73-85DC72E7447B}"/>
            </c:ext>
          </c:extLst>
        </c:ser>
        <c:dLbls>
          <c:showLegendKey val="0"/>
          <c:showVal val="0"/>
          <c:showCatName val="0"/>
          <c:showSerName val="0"/>
          <c:showPercent val="0"/>
          <c:showBubbleSize val="0"/>
        </c:dLbls>
        <c:axId val="333075584"/>
        <c:axId val="333077120"/>
      </c:scatterChart>
      <c:valAx>
        <c:axId val="333063296"/>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065216"/>
        <c:crossesAt val="-80"/>
        <c:crossBetween val="midCat"/>
      </c:valAx>
      <c:valAx>
        <c:axId val="333065216"/>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063296"/>
        <c:crossesAt val="1.0000000000000005E-2"/>
        <c:crossBetween val="midCat"/>
        <c:majorUnit val="20"/>
      </c:valAx>
      <c:valAx>
        <c:axId val="333075584"/>
        <c:scaling>
          <c:logBase val="10"/>
          <c:orientation val="minMax"/>
        </c:scaling>
        <c:delete val="1"/>
        <c:axPos val="b"/>
        <c:numFmt formatCode="General" sourceLinked="1"/>
        <c:majorTickMark val="out"/>
        <c:minorTickMark val="none"/>
        <c:tickLblPos val="none"/>
        <c:crossAx val="333077120"/>
        <c:crosses val="autoZero"/>
        <c:crossBetween val="midCat"/>
      </c:valAx>
      <c:valAx>
        <c:axId val="333077120"/>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3075584"/>
        <c:crosses val="max"/>
        <c:crossBetween val="midCat"/>
        <c:majorUnit val="45"/>
      </c:valAx>
      <c:spPr>
        <a:noFill/>
        <a:ln w="12700">
          <a:solidFill>
            <a:srgbClr val="808080"/>
          </a:solidFill>
          <a:prstDash val="solid"/>
        </a:ln>
      </c:spPr>
    </c:plotArea>
    <c:plotVisOnly val="1"/>
    <c:dispBlanksAs val="span"/>
    <c:showDLblsOverMax val="0"/>
  </c:chart>
  <c:spPr>
    <a:no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Filter Attenuations (lower = better)</a:t>
            </a: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0861197204072899"/>
          <c:h val="0.762051843542218"/>
        </c:manualLayout>
      </c:layout>
      <c:scatterChart>
        <c:scatterStyle val="smoothMarker"/>
        <c:varyColors val="0"/>
        <c:ser>
          <c:idx val="2"/>
          <c:order val="0"/>
          <c:tx>
            <c:v>AEF</c:v>
          </c:tx>
          <c:spPr>
            <a:ln w="31750">
              <a:solidFill>
                <a:srgbClr val="FF0000"/>
              </a:solidFill>
              <a:prstDash val="solid"/>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Calculations'!$AM$13:$AM$96</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yVal>
          <c:smooth val="1"/>
          <c:extLst>
            <c:ext xmlns:c16="http://schemas.microsoft.com/office/drawing/2014/chart" uri="{C3380CC4-5D6E-409C-BE32-E72D297353CC}">
              <c16:uniqueId val="{00000002-1554-471F-B0A2-55C295C7D7CC}"/>
            </c:ext>
          </c:extLst>
        </c:ser>
        <c:ser>
          <c:idx val="0"/>
          <c:order val="1"/>
          <c:tx>
            <c:v>Passive</c:v>
          </c:tx>
          <c:spPr>
            <a:ln>
              <a:solidFill>
                <a:srgbClr val="FFC000"/>
              </a:solidFill>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Calculations'!$AA$13:$AA$96</c:f>
              <c:numCache>
                <c:formatCode>General</c:formatCode>
                <c:ptCount val="84"/>
                <c:pt idx="0">
                  <c:v>3.4274512546547312E-10</c:v>
                </c:pt>
                <c:pt idx="1">
                  <c:v>1.3710672912527204E-9</c:v>
                </c:pt>
                <c:pt idx="2">
                  <c:v>3.0848797076462865E-9</c:v>
                </c:pt>
                <c:pt idx="3">
                  <c:v>5.484271092367277E-9</c:v>
                </c:pt>
                <c:pt idx="4">
                  <c:v>8.5692375875376739E-9</c:v>
                </c:pt>
                <c:pt idx="5">
                  <c:v>1.2339696260264985E-8</c:v>
                </c:pt>
                <c:pt idx="6">
                  <c:v>1.6795643252346658E-8</c:v>
                </c:pt>
                <c:pt idx="7">
                  <c:v>2.1937169209509332E-8</c:v>
                </c:pt>
                <c:pt idx="8">
                  <c:v>2.7764185412408903E-8</c:v>
                </c:pt>
                <c:pt idx="9">
                  <c:v>3.4276778649137416E-8</c:v>
                </c:pt>
                <c:pt idx="10">
                  <c:v>1.3710720057442979E-7</c:v>
                </c:pt>
                <c:pt idx="11">
                  <c:v>3.0849126526975555E-7</c:v>
                </c:pt>
                <c:pt idx="12">
                  <c:v>5.4842887803037698E-7</c:v>
                </c:pt>
                <c:pt idx="13">
                  <c:v>8.5692003703246746E-7</c:v>
                </c:pt>
                <c:pt idx="14">
                  <c:v>1.2339649066219747E-6</c:v>
                </c:pt>
                <c:pt idx="15">
                  <c:v>1.6795633910819215E-6</c:v>
                </c:pt>
                <c:pt idx="16">
                  <c:v>2.1937155666510632E-6</c:v>
                </c:pt>
                <c:pt idx="17">
                  <c:v>2.7764213343660625E-6</c:v>
                </c:pt>
                <c:pt idx="18">
                  <c:v>3.4276806823585146E-6</c:v>
                </c:pt>
                <c:pt idx="19">
                  <c:v>1.3710729639650269E-5</c:v>
                </c:pt>
                <c:pt idx="20">
                  <c:v>3.084916708360373E-5</c:v>
                </c:pt>
                <c:pt idx="21">
                  <c:v>5.4843026783634755E-5</c:v>
                </c:pt>
                <c:pt idx="22">
                  <c:v>8.5692356072072088E-5</c:v>
                </c:pt>
                <c:pt idx="23">
                  <c:v>1.2339721601309145E-4</c:v>
                </c:pt>
                <c:pt idx="24">
                  <c:v>1.6795768070547058E-4</c:v>
                </c:pt>
                <c:pt idx="25">
                  <c:v>2.1937383832667357E-4</c:v>
                </c:pt>
                <c:pt idx="26">
                  <c:v>2.7764579017865241E-4</c:v>
                </c:pt>
                <c:pt idx="27">
                  <c:v>3.4277365128982361E-4</c:v>
                </c:pt>
                <c:pt idx="28">
                  <c:v>1.3711622397485389E-3</c:v>
                </c:pt>
                <c:pt idx="29">
                  <c:v>3.0853687138606856E-3</c:v>
                </c:pt>
                <c:pt idx="30">
                  <c:v>5.4857314697180446E-3</c:v>
                </c:pt>
                <c:pt idx="31">
                  <c:v>8.5727245740982051E-3</c:v>
                </c:pt>
                <c:pt idx="32">
                  <c:v>1.2346958077157324E-2</c:v>
                </c:pt>
                <c:pt idx="33">
                  <c:v>1.680917841515581E-2</c:v>
                </c:pt>
                <c:pt idx="34">
                  <c:v>2.1960268903701091E-2</c:v>
                </c:pt>
                <c:pt idx="35">
                  <c:v>2.7801250322054171E-2</c:v>
                </c:pt>
                <c:pt idx="36">
                  <c:v>3.4333281589256678E-2</c:v>
                </c:pt>
                <c:pt idx="37">
                  <c:v>4.1557660533084087E-2</c:v>
                </c:pt>
                <c:pt idx="38">
                  <c:v>4.9475824752593413E-2</c:v>
                </c:pt>
                <c:pt idx="39">
                  <c:v>5.808935257490936E-2</c:v>
                </c:pt>
                <c:pt idx="40">
                  <c:v>7.7409522394356958E-2</c:v>
                </c:pt>
                <c:pt idx="41">
                  <c:v>8.8120034652894183E-2</c:v>
                </c:pt>
                <c:pt idx="42">
                  <c:v>0.10550484102978921</c:v>
                </c:pt>
                <c:pt idx="43">
                  <c:v>0.12447955922984369</c:v>
                </c:pt>
                <c:pt idx="44">
                  <c:v>0.13801689257265934</c:v>
                </c:pt>
                <c:pt idx="45">
                  <c:v>0.21646204909008521</c:v>
                </c:pt>
                <c:pt idx="46">
                  <c:v>0.31314808208663503</c:v>
                </c:pt>
                <c:pt idx="47">
                  <c:v>0.42858150735745315</c:v>
                </c:pt>
                <c:pt idx="48">
                  <c:v>0.56338125510820847</c:v>
                </c:pt>
                <c:pt idx="49">
                  <c:v>0.71828994959670589</c:v>
                </c:pt>
                <c:pt idx="50">
                  <c:v>0.89418785513768861</c:v>
                </c:pt>
                <c:pt idx="51">
                  <c:v>1.0921099587044569</c:v>
                </c:pt>
                <c:pt idx="52">
                  <c:v>1.3132667689997053</c:v>
                </c:pt>
                <c:pt idx="53">
                  <c:v>1.5590695347266561</c:v>
                </c:pt>
                <c:pt idx="54">
                  <c:v>1.8311607132208529</c:v>
                </c:pt>
                <c:pt idx="55">
                  <c:v>2.1314506343374608</c:v>
                </c:pt>
                <c:pt idx="56">
                  <c:v>2.4621613570964245</c:v>
                </c:pt>
                <c:pt idx="57">
                  <c:v>3.2256122149724868</c:v>
                </c:pt>
                <c:pt idx="58">
                  <c:v>4.1477004385549856</c:v>
                </c:pt>
                <c:pt idx="59">
                  <c:v>5.2635704959533189</c:v>
                </c:pt>
                <c:pt idx="60">
                  <c:v>6.6182385434260986</c:v>
                </c:pt>
                <c:pt idx="61">
                  <c:v>8.2585333921617039</c:v>
                </c:pt>
                <c:pt idx="62">
                  <c:v>12.100245900170394</c:v>
                </c:pt>
                <c:pt idx="63">
                  <c:v>12.959790177872241</c:v>
                </c:pt>
                <c:pt idx="64">
                  <c:v>10.632434371784214</c:v>
                </c:pt>
                <c:pt idx="65">
                  <c:v>7.0430359282769261</c:v>
                </c:pt>
                <c:pt idx="66">
                  <c:v>4.9459582998103908</c:v>
                </c:pt>
                <c:pt idx="67">
                  <c:v>-6.5724330903943216</c:v>
                </c:pt>
                <c:pt idx="68">
                  <c:v>-12.141260868793136</c:v>
                </c:pt>
                <c:pt idx="69">
                  <c:v>-15.811684145573038</c:v>
                </c:pt>
                <c:pt idx="70">
                  <c:v>-18.549182102928064</c:v>
                </c:pt>
                <c:pt idx="71">
                  <c:v>-20.743388875708668</c:v>
                </c:pt>
                <c:pt idx="72">
                  <c:v>-22.588919033913939</c:v>
                </c:pt>
                <c:pt idx="73">
                  <c:v>-24.194781244722876</c:v>
                </c:pt>
                <c:pt idx="74">
                  <c:v>-25.626768047686518</c:v>
                </c:pt>
                <c:pt idx="75">
                  <c:v>-35.485359346827785</c:v>
                </c:pt>
                <c:pt idx="76">
                  <c:v>-41.818827844809874</c:v>
                </c:pt>
                <c:pt idx="77">
                  <c:v>-46.523147642689807</c:v>
                </c:pt>
                <c:pt idx="78">
                  <c:v>-50.254080822840123</c:v>
                </c:pt>
                <c:pt idx="79">
                  <c:v>-53.339467507298949</c:v>
                </c:pt>
                <c:pt idx="80">
                  <c:v>-55.966960551322785</c:v>
                </c:pt>
                <c:pt idx="81">
                  <c:v>-58.253518683206799</c:v>
                </c:pt>
                <c:pt idx="82">
                  <c:v>-60.27671706539698</c:v>
                </c:pt>
                <c:pt idx="83">
                  <c:v>-62.09053569388221</c:v>
                </c:pt>
              </c:numCache>
            </c:numRef>
          </c:yVal>
          <c:smooth val="1"/>
          <c:extLst>
            <c:ext xmlns:c16="http://schemas.microsoft.com/office/drawing/2014/chart" uri="{C3380CC4-5D6E-409C-BE32-E72D297353CC}">
              <c16:uniqueId val="{00000000-62A6-4E66-BDEB-DB8D174C6CED}"/>
            </c:ext>
          </c:extLst>
        </c:ser>
        <c:dLbls>
          <c:showLegendKey val="0"/>
          <c:showVal val="0"/>
          <c:showCatName val="0"/>
          <c:showSerName val="0"/>
          <c:showPercent val="0"/>
          <c:showBubbleSize val="0"/>
        </c:dLbls>
        <c:axId val="333256960"/>
        <c:axId val="333259136"/>
      </c:scatterChart>
      <c:valAx>
        <c:axId val="333256960"/>
        <c:scaling>
          <c:logBase val="10"/>
          <c:orientation val="minMax"/>
          <c:max val="2500000"/>
          <c:min val="1000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259136"/>
        <c:crossesAt val="-80"/>
        <c:crossBetween val="midCat"/>
      </c:valAx>
      <c:valAx>
        <c:axId val="333259136"/>
        <c:scaling>
          <c:orientation val="minMax"/>
          <c:max val="30"/>
          <c:min val="-6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256960"/>
        <c:crossesAt val="1.0000000000000005E-2"/>
        <c:crossBetween val="midCat"/>
        <c:majorUnit val="20"/>
      </c:valAx>
      <c:spPr>
        <a:noFill/>
        <a:ln w="12700">
          <a:solidFill>
            <a:srgbClr val="808080"/>
          </a:solidFill>
          <a:prstDash val="solid"/>
        </a:ln>
      </c:spPr>
    </c:plotArea>
    <c:legend>
      <c:legendPos val="r"/>
      <c:layout>
        <c:manualLayout>
          <c:xMode val="edge"/>
          <c:yMode val="edge"/>
          <c:x val="0.89472517730496448"/>
          <c:y val="0.44527969160104985"/>
          <c:w val="9.9364657210401885E-2"/>
          <c:h val="8.4639029496312967E-2"/>
        </c:manualLayout>
      </c:layout>
      <c:overlay val="0"/>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Calculations'!$AW$9:$AW$109</c:f>
              <c:numCache>
                <c:formatCode>0.0</c:formatCode>
                <c:ptCount val="101"/>
                <c:pt idx="0">
                  <c:v>2.3657811328365863</c:v>
                </c:pt>
                <c:pt idx="1">
                  <c:v>2.7770027691643495</c:v>
                </c:pt>
                <c:pt idx="2">
                  <c:v>3.1888398315280098</c:v>
                </c:pt>
                <c:pt idx="3">
                  <c:v>3.6012933895801922</c:v>
                </c:pt>
                <c:pt idx="4">
                  <c:v>4.0143645221839277</c:v>
                </c:pt>
                <c:pt idx="5">
                  <c:v>4.4280543174412994</c:v>
                </c:pt>
                <c:pt idx="6">
                  <c:v>4.8423638727224336</c:v>
                </c:pt>
                <c:pt idx="7">
                  <c:v>5.257294294694848</c:v>
                </c:pt>
                <c:pt idx="8">
                  <c:v>5.6728466993531388</c:v>
                </c:pt>
                <c:pt idx="9">
                  <c:v>6.0890222120490263</c:v>
                </c:pt>
                <c:pt idx="10">
                  <c:v>6.5058219675217455</c:v>
                </c:pt>
                <c:pt idx="11">
                  <c:v>6.9232471099288011</c:v>
                </c:pt>
                <c:pt idx="12">
                  <c:v>7.3412987928770663</c:v>
                </c:pt>
                <c:pt idx="13">
                  <c:v>7.7599781794542535</c:v>
                </c:pt>
                <c:pt idx="14">
                  <c:v>8.1792864422607376</c:v>
                </c:pt>
                <c:pt idx="15">
                  <c:v>8.5992247634417289</c:v>
                </c:pt>
                <c:pt idx="16">
                  <c:v>9.0197943347198439</c:v>
                </c:pt>
                <c:pt idx="17">
                  <c:v>9.4409963574279949</c:v>
                </c:pt>
                <c:pt idx="18">
                  <c:v>9.862832042542685</c:v>
                </c:pt>
                <c:pt idx="19">
                  <c:v>10.285302610717656</c:v>
                </c:pt>
                <c:pt idx="20">
                  <c:v>10.70840929231791</c:v>
                </c:pt>
                <c:pt idx="21">
                  <c:v>11.132153327454096</c:v>
                </c:pt>
                <c:pt idx="22">
                  <c:v>11.556535966017291</c:v>
                </c:pt>
                <c:pt idx="23">
                  <c:v>11.981558467714125</c:v>
                </c:pt>
                <c:pt idx="24">
                  <c:v>12.40722210210234</c:v>
                </c:pt>
                <c:pt idx="25">
                  <c:v>12.833528148626662</c:v>
                </c:pt>
                <c:pt idx="26">
                  <c:v>13.260477896655106</c:v>
                </c:pt>
                <c:pt idx="27">
                  <c:v>13.688072645515648</c:v>
                </c:pt>
                <c:pt idx="28">
                  <c:v>14.116313704533294</c:v>
                </c:pt>
                <c:pt idx="29">
                  <c:v>14.545202393067521</c:v>
                </c:pt>
                <c:pt idx="30">
                  <c:v>14.974740040550124</c:v>
                </c:pt>
                <c:pt idx="31">
                  <c:v>15.404927986523456</c:v>
                </c:pt>
                <c:pt idx="32">
                  <c:v>15.835767580679068</c:v>
                </c:pt>
                <c:pt idx="33">
                  <c:v>16.267260182896727</c:v>
                </c:pt>
                <c:pt idx="34">
                  <c:v>16.699407163283873</c:v>
                </c:pt>
                <c:pt idx="35">
                  <c:v>17.132209902215426</c:v>
                </c:pt>
                <c:pt idx="36">
                  <c:v>17.565669790374066</c:v>
                </c:pt>
                <c:pt idx="37">
                  <c:v>17.999788228790855</c:v>
                </c:pt>
                <c:pt idx="38">
                  <c:v>18.434566628886312</c:v>
                </c:pt>
                <c:pt idx="39">
                  <c:v>18.870006412511891</c:v>
                </c:pt>
                <c:pt idx="40">
                  <c:v>19.306109011991879</c:v>
                </c:pt>
                <c:pt idx="41">
                  <c:v>19.742875870165669</c:v>
                </c:pt>
                <c:pt idx="42">
                  <c:v>20.180308440430558</c:v>
                </c:pt>
                <c:pt idx="43">
                  <c:v>20.618408186784837</c:v>
                </c:pt>
                <c:pt idx="44">
                  <c:v>21.057176583871399</c:v>
                </c:pt>
                <c:pt idx="45">
                  <c:v>21.496615117021758</c:v>
                </c:pt>
                <c:pt idx="46">
                  <c:v>21.936725282300468</c:v>
                </c:pt>
                <c:pt idx="47">
                  <c:v>22.377508586550025</c:v>
                </c:pt>
                <c:pt idx="48">
                  <c:v>22.818966547436133</c:v>
                </c:pt>
                <c:pt idx="49">
                  <c:v>23.261100693493532</c:v>
                </c:pt>
                <c:pt idx="50">
                  <c:v>23.703912564172107</c:v>
                </c:pt>
                <c:pt idx="51">
                  <c:v>24.147403709883591</c:v>
                </c:pt>
                <c:pt idx="52">
                  <c:v>24.591575692048618</c:v>
                </c:pt>
                <c:pt idx="53">
                  <c:v>25.0364300831443</c:v>
                </c:pt>
                <c:pt idx="54">
                  <c:v>25.481968466752168</c:v>
                </c:pt>
                <c:pt idx="55">
                  <c:v>25.928192437606686</c:v>
                </c:pt>
                <c:pt idx="56">
                  <c:v>26.375103601644106</c:v>
                </c:pt>
                <c:pt idx="57">
                  <c:v>26.822703576051897</c:v>
                </c:pt>
                <c:pt idx="58">
                  <c:v>27.270993989318523</c:v>
                </c:pt>
                <c:pt idx="59">
                  <c:v>27.719976481283854</c:v>
                </c:pt>
                <c:pt idx="60">
                  <c:v>28.169652703189833</c:v>
                </c:pt>
                <c:pt idx="61">
                  <c:v>28.620024317731826</c:v>
                </c:pt>
                <c:pt idx="62">
                  <c:v>29.071092999110348</c:v>
                </c:pt>
                <c:pt idx="63">
                  <c:v>29.522860433083224</c:v>
                </c:pt>
                <c:pt idx="64">
                  <c:v>29.97532831701842</c:v>
                </c:pt>
                <c:pt idx="65">
                  <c:v>30.428498359947103</c:v>
                </c:pt>
                <c:pt idx="66">
                  <c:v>30.882372282617442</c:v>
                </c:pt>
                <c:pt idx="67">
                  <c:v>31.336951817548773</c:v>
                </c:pt>
                <c:pt idx="68">
                  <c:v>31.792238709086224</c:v>
                </c:pt>
                <c:pt idx="69">
                  <c:v>32.248234713456</c:v>
                </c:pt>
                <c:pt idx="70">
                  <c:v>32.704941598821023</c:v>
                </c:pt>
                <c:pt idx="71">
                  <c:v>33.162361145337172</c:v>
                </c:pt>
                <c:pt idx="72">
                  <c:v>33.62049514521</c:v>
                </c:pt>
                <c:pt idx="73">
                  <c:v>34.07934540275194</c:v>
                </c:pt>
                <c:pt idx="74">
                  <c:v>34.538913734440158</c:v>
                </c:pt>
                <c:pt idx="75">
                  <c:v>34.999201968974745</c:v>
                </c:pt>
                <c:pt idx="76">
                  <c:v>35.460211947337598</c:v>
                </c:pt>
                <c:pt idx="77">
                  <c:v>35.921945522851772</c:v>
                </c:pt>
                <c:pt idx="78">
                  <c:v>36.384404561241325</c:v>
                </c:pt>
                <c:pt idx="79">
                  <c:v>36.847590940691809</c:v>
                </c:pt>
                <c:pt idx="80">
                  <c:v>37.311506551911208</c:v>
                </c:pt>
                <c:pt idx="81">
                  <c:v>37.776153298191453</c:v>
                </c:pt>
                <c:pt idx="82">
                  <c:v>38.241533095470579</c:v>
                </c:pt>
                <c:pt idx="83">
                  <c:v>38.707647872395263</c:v>
                </c:pt>
                <c:pt idx="84">
                  <c:v>39.17449957038405</c:v>
                </c:pt>
                <c:pt idx="85">
                  <c:v>39.642090143691206</c:v>
                </c:pt>
                <c:pt idx="86">
                  <c:v>40.110421559470907</c:v>
                </c:pt>
                <c:pt idx="87">
                  <c:v>40.579495797842263</c:v>
                </c:pt>
                <c:pt idx="88">
                  <c:v>41.049314851954797</c:v>
                </c:pt>
                <c:pt idx="89">
                  <c:v>41.519880728054396</c:v>
                </c:pt>
                <c:pt idx="90">
                  <c:v>41.991195445550154</c:v>
                </c:pt>
                <c:pt idx="91">
                  <c:v>42.463261037081487</c:v>
                </c:pt>
                <c:pt idx="92">
                  <c:v>42.936079548586065</c:v>
                </c:pt>
                <c:pt idx="93">
                  <c:v>43.409653039368187</c:v>
                </c:pt>
                <c:pt idx="94">
                  <c:v>43.883983582167907</c:v>
                </c:pt>
                <c:pt idx="95">
                  <c:v>44.359073263230641</c:v>
                </c:pt>
                <c:pt idx="96">
                  <c:v>44.834924182377542</c:v>
                </c:pt>
                <c:pt idx="97">
                  <c:v>45.311538453076309</c:v>
                </c:pt>
                <c:pt idx="98">
                  <c:v>45.788918202512761</c:v>
                </c:pt>
                <c:pt idx="99">
                  <c:v>47.046576300326691</c:v>
                </c:pt>
                <c:pt idx="100">
                  <c:v>48.406844201426054</c:v>
                </c:pt>
              </c:numCache>
            </c:numRef>
          </c:yVal>
          <c:smooth val="0"/>
          <c:extLst>
            <c:ext xmlns:c16="http://schemas.microsoft.com/office/drawing/2014/chart" uri="{C3380CC4-5D6E-409C-BE32-E72D297353CC}">
              <c16:uniqueId val="{00000000-F29C-4E96-8ECF-EEB3B170A4EB}"/>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Calculations'!$AX$9:$AX$109</c:f>
              <c:numCache>
                <c:formatCode>0.0</c:formatCode>
                <c:ptCount val="101"/>
                <c:pt idx="0">
                  <c:v>2.4129674513192567</c:v>
                </c:pt>
                <c:pt idx="1">
                  <c:v>2.5549055314473175</c:v>
                </c:pt>
                <c:pt idx="2">
                  <c:v>2.6974879150224882</c:v>
                </c:pt>
                <c:pt idx="3">
                  <c:v>2.8407146421284946</c:v>
                </c:pt>
                <c:pt idx="4">
                  <c:v>2.984585762712884</c:v>
                </c:pt>
                <c:pt idx="5">
                  <c:v>3.1291013365879028</c:v>
                </c:pt>
                <c:pt idx="6">
                  <c:v>3.2742614334317688</c:v>
                </c:pt>
                <c:pt idx="7">
                  <c:v>3.4200661327903088</c:v>
                </c:pt>
                <c:pt idx="8">
                  <c:v>3.5665155240789774</c:v>
                </c:pt>
                <c:pt idx="9">
                  <c:v>3.7136097065852476</c:v>
                </c:pt>
                <c:pt idx="10">
                  <c:v>3.8613487894713967</c:v>
                </c:pt>
                <c:pt idx="11">
                  <c:v>4.0097328917776469</c:v>
                </c:pt>
                <c:pt idx="12">
                  <c:v>4.1587621424257</c:v>
                </c:pt>
                <c:pt idx="13">
                  <c:v>4.3084366802226501</c:v>
                </c:pt>
                <c:pt idx="14">
                  <c:v>4.4587566538652625</c:v>
                </c:pt>
                <c:pt idx="15">
                  <c:v>4.6097222219446508</c:v>
                </c:pt>
                <c:pt idx="16">
                  <c:v>4.761333552951311</c:v>
                </c:pt>
                <c:pt idx="17">
                  <c:v>4.9135908252805596</c:v>
                </c:pt>
                <c:pt idx="18">
                  <c:v>5.0664942272383291</c:v>
                </c:pt>
                <c:pt idx="19">
                  <c:v>5.2200439570473591</c:v>
                </c:pt>
                <c:pt idx="20">
                  <c:v>5.3742402228537633</c:v>
                </c:pt>
                <c:pt idx="21">
                  <c:v>5.5290832427339724</c:v>
                </c:pt>
                <c:pt idx="22">
                  <c:v>5.6845732447020678</c:v>
                </c:pt>
                <c:pt idx="23">
                  <c:v>5.8407104667174909</c:v>
                </c:pt>
                <c:pt idx="24">
                  <c:v>5.997495156693148</c:v>
                </c:pt>
                <c:pt idx="25">
                  <c:v>6.1549275725038637</c:v>
                </c:pt>
                <c:pt idx="26">
                  <c:v>6.3130079819952662</c:v>
                </c:pt>
                <c:pt idx="27">
                  <c:v>6.471736662993024</c:v>
                </c:pt>
                <c:pt idx="28">
                  <c:v>6.6311139033124737</c:v>
                </c:pt>
                <c:pt idx="29">
                  <c:v>6.7911400007686398</c:v>
                </c:pt>
                <c:pt idx="30">
                  <c:v>6.9518152631866341</c:v>
                </c:pt>
                <c:pt idx="31">
                  <c:v>7.1131400084124525</c:v>
                </c:pt>
                <c:pt idx="32">
                  <c:v>7.2751145643241397</c:v>
                </c:pt>
                <c:pt idx="33">
                  <c:v>7.4377392688433703</c:v>
                </c:pt>
                <c:pt idx="34">
                  <c:v>7.6010144699473985</c:v>
                </c:pt>
                <c:pt idx="35">
                  <c:v>7.7649405256813928</c:v>
                </c:pt>
                <c:pt idx="36">
                  <c:v>7.9295178041711836</c:v>
                </c:pt>
                <c:pt idx="37">
                  <c:v>8.0947466836363962</c:v>
                </c:pt>
                <c:pt idx="38">
                  <c:v>8.2606275524039603</c:v>
                </c:pt>
                <c:pt idx="39">
                  <c:v>8.4271608089220269</c:v>
                </c:pt>
                <c:pt idx="40">
                  <c:v>8.5943468617742873</c:v>
                </c:pt>
                <c:pt idx="41">
                  <c:v>8.7621861296946637</c:v>
                </c:pt>
                <c:pt idx="42">
                  <c:v>8.9306790415824295</c:v>
                </c:pt>
                <c:pt idx="43">
                  <c:v>9.0998260365176851</c:v>
                </c:pt>
                <c:pt idx="44">
                  <c:v>9.2696275637772807</c:v>
                </c:pt>
                <c:pt idx="45">
                  <c:v>9.4400840828511008</c:v>
                </c:pt>
                <c:pt idx="46">
                  <c:v>9.6111960634587614</c:v>
                </c:pt>
                <c:pt idx="47">
                  <c:v>9.7829639855667292</c:v>
                </c:pt>
                <c:pt idx="48">
                  <c:v>9.955388339405804</c:v>
                </c:pt>
                <c:pt idx="49">
                  <c:v>10.128469625489043</c:v>
                </c:pt>
                <c:pt idx="50">
                  <c:v>10.302208354630073</c:v>
                </c:pt>
                <c:pt idx="51">
                  <c:v>10.476605047961819</c:v>
                </c:pt>
                <c:pt idx="52">
                  <c:v>10.651660236955625</c:v>
                </c:pt>
                <c:pt idx="53">
                  <c:v>10.827374463440801</c:v>
                </c:pt>
                <c:pt idx="54">
                  <c:v>11.003748279624581</c:v>
                </c:pt>
                <c:pt idx="55">
                  <c:v>11.180782248112477</c:v>
                </c:pt>
                <c:pt idx="56">
                  <c:v>11.358476941929078</c:v>
                </c:pt>
                <c:pt idx="57">
                  <c:v>11.536832944539217</c:v>
                </c:pt>
                <c:pt idx="58">
                  <c:v>11.715850849869607</c:v>
                </c:pt>
                <c:pt idx="59">
                  <c:v>11.89553126233087</c:v>
                </c:pt>
                <c:pt idx="60">
                  <c:v>12.075874796839971</c:v>
                </c:pt>
                <c:pt idx="61">
                  <c:v>12.256882078843111</c:v>
                </c:pt>
                <c:pt idx="62">
                  <c:v>12.438553744339012</c:v>
                </c:pt>
                <c:pt idx="63">
                  <c:v>12.620890439902642</c:v>
                </c:pt>
                <c:pt idx="64">
                  <c:v>12.803892822709372</c:v>
                </c:pt>
                <c:pt idx="65">
                  <c:v>12.987561560559522</c:v>
                </c:pt>
                <c:pt idx="66">
                  <c:v>13.171897331903413</c:v>
                </c:pt>
                <c:pt idx="67">
                  <c:v>13.356900825866781</c:v>
                </c:pt>
                <c:pt idx="68">
                  <c:v>13.542572742276635</c:v>
                </c:pt>
                <c:pt idx="69">
                  <c:v>13.72891379168761</c:v>
                </c:pt>
                <c:pt idx="70">
                  <c:v>13.915924695408664</c:v>
                </c:pt>
                <c:pt idx="71">
                  <c:v>14.103606185530307</c:v>
                </c:pt>
                <c:pt idx="72">
                  <c:v>14.291959004952206</c:v>
                </c:pt>
                <c:pt idx="73">
                  <c:v>14.480983907411243</c:v>
                </c:pt>
                <c:pt idx="74">
                  <c:v>14.670681657510075</c:v>
                </c:pt>
                <c:pt idx="75">
                  <c:v>14.861053030746058</c:v>
                </c:pt>
                <c:pt idx="76">
                  <c:v>15.052098813540676</c:v>
                </c:pt>
                <c:pt idx="77">
                  <c:v>15.243819803269419</c:v>
                </c:pt>
                <c:pt idx="78">
                  <c:v>15.436216808292073</c:v>
                </c:pt>
                <c:pt idx="79">
                  <c:v>15.629290647983543</c:v>
                </c:pt>
                <c:pt idx="80">
                  <c:v>15.823042152765034</c:v>
                </c:pt>
                <c:pt idx="81">
                  <c:v>16.017472164135782</c:v>
                </c:pt>
                <c:pt idx="82">
                  <c:v>16.212581534705212</c:v>
                </c:pt>
                <c:pt idx="83">
                  <c:v>16.408371128225557</c:v>
                </c:pt>
                <c:pt idx="84">
                  <c:v>16.604841819624919</c:v>
                </c:pt>
                <c:pt idx="85">
                  <c:v>16.801994495040905</c:v>
                </c:pt>
                <c:pt idx="86">
                  <c:v>16.999830051854591</c:v>
                </c:pt>
                <c:pt idx="87">
                  <c:v>17.19834939872505</c:v>
                </c:pt>
                <c:pt idx="88">
                  <c:v>17.397553455624386</c:v>
                </c:pt>
                <c:pt idx="89">
                  <c:v>17.597443153873126</c:v>
                </c:pt>
                <c:pt idx="90">
                  <c:v>17.798019436176236</c:v>
                </c:pt>
                <c:pt idx="91">
                  <c:v>17.999283256659531</c:v>
                </c:pt>
                <c:pt idx="92">
                  <c:v>18.201235580906598</c:v>
                </c:pt>
                <c:pt idx="93">
                  <c:v>18.403877385996235</c:v>
                </c:pt>
                <c:pt idx="94">
                  <c:v>18.607209660540317</c:v>
                </c:pt>
                <c:pt idx="95">
                  <c:v>18.811233404722252</c:v>
                </c:pt>
                <c:pt idx="96">
                  <c:v>19.015949630335854</c:v>
                </c:pt>
                <c:pt idx="97">
                  <c:v>19.221359360824788</c:v>
                </c:pt>
                <c:pt idx="98">
                  <c:v>19.427463631322443</c:v>
                </c:pt>
                <c:pt idx="99">
                  <c:v>19.634263488692358</c:v>
                </c:pt>
                <c:pt idx="100">
                  <c:v>19.841759991569209</c:v>
                </c:pt>
              </c:numCache>
            </c:numRef>
          </c:yVal>
          <c:smooth val="0"/>
          <c:extLst>
            <c:ext xmlns:c16="http://schemas.microsoft.com/office/drawing/2014/chart" uri="{C3380CC4-5D6E-409C-BE32-E72D297353CC}">
              <c16:uniqueId val="{00000001-F29C-4E96-8ECF-EEB3B170A4EB}"/>
            </c:ext>
          </c:extLst>
        </c:ser>
        <c:dLbls>
          <c:showLegendKey val="0"/>
          <c:showVal val="0"/>
          <c:showCatName val="0"/>
          <c:showSerName val="0"/>
          <c:showPercent val="0"/>
          <c:showBubbleSize val="0"/>
        </c:dLbls>
        <c:axId val="333958144"/>
        <c:axId val="333960320"/>
      </c:scatterChart>
      <c:valAx>
        <c:axId val="3339581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60320"/>
        <c:crosses val="autoZero"/>
        <c:crossBetween val="midCat"/>
      </c:valAx>
      <c:valAx>
        <c:axId val="333960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581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Calculations'!$BC$9:$BC$109</c:f>
              <c:numCache>
                <c:formatCode>0.000</c:formatCode>
                <c:ptCount val="101"/>
                <c:pt idx="0">
                  <c:v>5.6328122210394911E-2</c:v>
                </c:pt>
                <c:pt idx="1">
                  <c:v>6.6119113551532133E-2</c:v>
                </c:pt>
                <c:pt idx="2">
                  <c:v>7.5924757893524042E-2</c:v>
                </c:pt>
                <c:pt idx="3">
                  <c:v>8.5745080704290294E-2</c:v>
                </c:pt>
                <c:pt idx="4">
                  <c:v>9.5580107671045897E-2</c:v>
                </c:pt>
                <c:pt idx="5">
                  <c:v>0.10542986470098333</c:v>
                </c:pt>
                <c:pt idx="6">
                  <c:v>0.1152943779219627</c:v>
                </c:pt>
                <c:pt idx="7">
                  <c:v>0.12517367368321067</c:v>
                </c:pt>
                <c:pt idx="8">
                  <c:v>0.13506777855602711</c:v>
                </c:pt>
                <c:pt idx="9">
                  <c:v>0.14497671933450063</c:v>
                </c:pt>
                <c:pt idx="10">
                  <c:v>0.15490052303623203</c:v>
                </c:pt>
                <c:pt idx="11">
                  <c:v>0.16483921690306669</c:v>
                </c:pt>
                <c:pt idx="12">
                  <c:v>0.17479282840183491</c:v>
                </c:pt>
                <c:pt idx="13">
                  <c:v>0.18476138522510127</c:v>
                </c:pt>
                <c:pt idx="14">
                  <c:v>0.19474491529192234</c:v>
                </c:pt>
                <c:pt idx="15">
                  <c:v>0.20474344674861261</c:v>
                </c:pt>
                <c:pt idx="16">
                  <c:v>0.21475700796952008</c:v>
                </c:pt>
                <c:pt idx="17">
                  <c:v>0.2247856275578094</c:v>
                </c:pt>
                <c:pt idx="18">
                  <c:v>0.23482933434625439</c:v>
                </c:pt>
                <c:pt idx="19">
                  <c:v>0.24488815739803943</c:v>
                </c:pt>
                <c:pt idx="20">
                  <c:v>0.25496212600756929</c:v>
                </c:pt>
                <c:pt idx="21">
                  <c:v>0.26505126970128801</c:v>
                </c:pt>
                <c:pt idx="22">
                  <c:v>0.27515561823850693</c:v>
                </c:pt>
                <c:pt idx="23">
                  <c:v>0.28527520161224107</c:v>
                </c:pt>
                <c:pt idx="24">
                  <c:v>0.29541005005005572</c:v>
                </c:pt>
                <c:pt idx="25">
                  <c:v>0.30556019401492052</c:v>
                </c:pt>
                <c:pt idx="26">
                  <c:v>0.31572566420607395</c:v>
                </c:pt>
                <c:pt idx="27">
                  <c:v>0.32590649155989637</c:v>
                </c:pt>
                <c:pt idx="28">
                  <c:v>0.33610270725079272</c:v>
                </c:pt>
                <c:pt idx="29">
                  <c:v>0.34631434269208383</c:v>
                </c:pt>
                <c:pt idx="30">
                  <c:v>0.35654142953690771</c:v>
                </c:pt>
                <c:pt idx="31">
                  <c:v>0.36678399967912989</c:v>
                </c:pt>
                <c:pt idx="32">
                  <c:v>0.37704208525426353</c:v>
                </c:pt>
                <c:pt idx="33">
                  <c:v>0.38731571864039827</c:v>
                </c:pt>
                <c:pt idx="34">
                  <c:v>0.39760493245913986</c:v>
                </c:pt>
                <c:pt idx="35">
                  <c:v>0.40790975957655778</c:v>
                </c:pt>
                <c:pt idx="36">
                  <c:v>0.41823023310414448</c:v>
                </c:pt>
                <c:pt idx="37">
                  <c:v>0.42856638639978228</c:v>
                </c:pt>
                <c:pt idx="38">
                  <c:v>0.43891825306872173</c:v>
                </c:pt>
                <c:pt idx="39">
                  <c:v>0.44928586696456885</c:v>
                </c:pt>
                <c:pt idx="40">
                  <c:v>0.45966926219028281</c:v>
                </c:pt>
                <c:pt idx="41">
                  <c:v>0.47006847309918259</c:v>
                </c:pt>
                <c:pt idx="42">
                  <c:v>0.48048353429596569</c:v>
                </c:pt>
                <c:pt idx="43">
                  <c:v>0.49091448063773424</c:v>
                </c:pt>
                <c:pt idx="44">
                  <c:v>0.50136134723503334</c:v>
                </c:pt>
                <c:pt idx="45">
                  <c:v>0.51182416945289899</c:v>
                </c:pt>
                <c:pt idx="46">
                  <c:v>0.5223029829119159</c:v>
                </c:pt>
                <c:pt idx="47">
                  <c:v>0.53279782348928628</c:v>
                </c:pt>
                <c:pt idx="48">
                  <c:v>0.54330872731990798</c:v>
                </c:pt>
                <c:pt idx="49">
                  <c:v>0.55383573079746506</c:v>
                </c:pt>
                <c:pt idx="50">
                  <c:v>0.56437887057552638</c:v>
                </c:pt>
                <c:pt idx="51">
                  <c:v>0.57493818356865689</c:v>
                </c:pt>
                <c:pt idx="52">
                  <c:v>0.58551370695353855</c:v>
                </c:pt>
                <c:pt idx="53">
                  <c:v>0.5961054781701024</c:v>
                </c:pt>
                <c:pt idx="54">
                  <c:v>0.60671353492267066</c:v>
                </c:pt>
                <c:pt idx="55">
                  <c:v>0.61733791518111159</c:v>
                </c:pt>
                <c:pt idx="56">
                  <c:v>0.62797865718200252</c:v>
                </c:pt>
                <c:pt idx="57">
                  <c:v>0.63863579942980708</c:v>
                </c:pt>
                <c:pt idx="58">
                  <c:v>0.6493093806980601</c:v>
                </c:pt>
                <c:pt idx="59">
                  <c:v>0.65999944003056799</c:v>
                </c:pt>
                <c:pt idx="60">
                  <c:v>0.6707060167426151</c:v>
                </c:pt>
                <c:pt idx="61">
                  <c:v>0.68142915042218632</c:v>
                </c:pt>
                <c:pt idx="62">
                  <c:v>0.69216888093119877</c:v>
                </c:pt>
                <c:pt idx="63">
                  <c:v>0.70292524840674342</c:v>
                </c:pt>
                <c:pt idx="64">
                  <c:v>0.71369829326234335</c:v>
                </c:pt>
                <c:pt idx="65">
                  <c:v>0.72448805618921674</c:v>
                </c:pt>
                <c:pt idx="66">
                  <c:v>0.73529457815755817</c:v>
                </c:pt>
                <c:pt idx="67">
                  <c:v>0.74611790041782788</c:v>
                </c:pt>
                <c:pt idx="68">
                  <c:v>0.75695806450205294</c:v>
                </c:pt>
                <c:pt idx="69">
                  <c:v>0.76781511222514287</c:v>
                </c:pt>
                <c:pt idx="70">
                  <c:v>0.77868908568621475</c:v>
                </c:pt>
                <c:pt idx="71">
                  <c:v>0.7895800272699327</c:v>
                </c:pt>
                <c:pt idx="72">
                  <c:v>0.80048797964785723</c:v>
                </c:pt>
                <c:pt idx="73">
                  <c:v>0.81141298577980803</c:v>
                </c:pt>
                <c:pt idx="74">
                  <c:v>0.82235508891524189</c:v>
                </c:pt>
                <c:pt idx="75">
                  <c:v>0.83331433259463683</c:v>
                </c:pt>
                <c:pt idx="76">
                  <c:v>0.84429076065089514</c:v>
                </c:pt>
                <c:pt idx="77">
                  <c:v>0.85528441721075654</c:v>
                </c:pt>
                <c:pt idx="78">
                  <c:v>0.86629534669622199</c:v>
                </c:pt>
                <c:pt idx="79">
                  <c:v>0.87732359382599545</c:v>
                </c:pt>
                <c:pt idx="80">
                  <c:v>0.8883692036169335</c:v>
                </c:pt>
                <c:pt idx="81">
                  <c:v>0.89943222138551082</c:v>
                </c:pt>
                <c:pt idx="82">
                  <c:v>0.91051269274929947</c:v>
                </c:pt>
                <c:pt idx="83">
                  <c:v>0.92161066362845867</c:v>
                </c:pt>
                <c:pt idx="84">
                  <c:v>0.9327261802472393</c:v>
                </c:pt>
                <c:pt idx="85">
                  <c:v>0.94385928913550499</c:v>
                </c:pt>
                <c:pt idx="86">
                  <c:v>0.95501003713025978</c:v>
                </c:pt>
                <c:pt idx="87">
                  <c:v>0.96617847137719681</c:v>
                </c:pt>
                <c:pt idx="88">
                  <c:v>0.97736463933225703</c:v>
                </c:pt>
                <c:pt idx="89">
                  <c:v>0.98856858876319986</c:v>
                </c:pt>
                <c:pt idx="90">
                  <c:v>0.99979036775119412</c:v>
                </c:pt>
                <c:pt idx="91">
                  <c:v>1.0110300246924164</c:v>
                </c:pt>
                <c:pt idx="92">
                  <c:v>1.0222876082996681</c:v>
                </c:pt>
                <c:pt idx="93">
                  <c:v>1.0335631676040045</c:v>
                </c:pt>
                <c:pt idx="94">
                  <c:v>1.0448567519563787</c:v>
                </c:pt>
                <c:pt idx="95">
                  <c:v>1.056168411029301</c:v>
                </c:pt>
                <c:pt idx="96">
                  <c:v>1.0674981948185129</c:v>
                </c:pt>
                <c:pt idx="97">
                  <c:v>1.0788461536446741</c:v>
                </c:pt>
                <c:pt idx="98">
                  <c:v>1.0902123381550657</c:v>
                </c:pt>
                <c:pt idx="99">
                  <c:v>1.1201565785792069</c:v>
                </c:pt>
                <c:pt idx="100">
                  <c:v>1.1525439095577632</c:v>
                </c:pt>
              </c:numCache>
            </c:numRef>
          </c:yVal>
          <c:smooth val="0"/>
          <c:extLst>
            <c:ext xmlns:c16="http://schemas.microsoft.com/office/drawing/2014/chart" uri="{C3380CC4-5D6E-409C-BE32-E72D297353CC}">
              <c16:uniqueId val="{00000000-F5FB-42D4-A397-414D6630BC17}"/>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Calculations'!$BD$9:$BD$109</c:f>
              <c:numCache>
                <c:formatCode>0.000</c:formatCode>
                <c:ptCount val="101"/>
                <c:pt idx="0">
                  <c:v>5.9286669565583698E-2</c:v>
                </c:pt>
                <c:pt idx="1">
                  <c:v>6.277409168175227E-2</c:v>
                </c:pt>
                <c:pt idx="2">
                  <c:v>6.6277344349446876E-2</c:v>
                </c:pt>
                <c:pt idx="3">
                  <c:v>6.9796428553525663E-2</c:v>
                </c:pt>
                <c:pt idx="4">
                  <c:v>7.3331345521201075E-2</c:v>
                </c:pt>
                <c:pt idx="5">
                  <c:v>7.6882096722061491E-2</c:v>
                </c:pt>
                <c:pt idx="6">
                  <c:v>8.0448683868102416E-2</c:v>
                </c:pt>
                <c:pt idx="7">
                  <c:v>8.4031108913766792E-2</c:v>
                </c:pt>
                <c:pt idx="8">
                  <c:v>8.7629374055994524E-2</c:v>
                </c:pt>
                <c:pt idx="9">
                  <c:v>9.1243481734281262E-2</c:v>
                </c:pt>
                <c:pt idx="10">
                  <c:v>9.4873434630746836E-2</c:v>
                </c:pt>
                <c:pt idx="11">
                  <c:v>9.8519235670212452E-2</c:v>
                </c:pt>
                <c:pt idx="12">
                  <c:v>0.10218088802028746</c:v>
                </c:pt>
                <c:pt idx="13">
                  <c:v>0.10585839509146561</c:v>
                </c:pt>
                <c:pt idx="14">
                  <c:v>0.10955176053723004</c:v>
                </c:pt>
                <c:pt idx="15">
                  <c:v>0.1132609882541683</c:v>
                </c:pt>
                <c:pt idx="16">
                  <c:v>0.1169860823820961</c:v>
                </c:pt>
                <c:pt idx="17">
                  <c:v>0.12072704730419065</c:v>
                </c:pt>
                <c:pt idx="18">
                  <c:v>0.12448388764713339</c:v>
                </c:pt>
                <c:pt idx="19">
                  <c:v>0.1282566082812619</c:v>
                </c:pt>
                <c:pt idx="20">
                  <c:v>0.13204521432073127</c:v>
                </c:pt>
                <c:pt idx="21">
                  <c:v>0.13584971112368482</c:v>
                </c:pt>
                <c:pt idx="22">
                  <c:v>0.13967010429243409</c:v>
                </c:pt>
                <c:pt idx="23">
                  <c:v>0.14350639967364842</c:v>
                </c:pt>
                <c:pt idx="24">
                  <c:v>0.147358603358554</c:v>
                </c:pt>
                <c:pt idx="25">
                  <c:v>0.15122672168314161</c:v>
                </c:pt>
                <c:pt idx="26">
                  <c:v>0.15511076122838491</c:v>
                </c:pt>
                <c:pt idx="27">
                  <c:v>0.15901072882046741</c:v>
                </c:pt>
                <c:pt idx="28">
                  <c:v>0.16292663153101899</c:v>
                </c:pt>
                <c:pt idx="29">
                  <c:v>0.16685847667736214</c:v>
                </c:pt>
                <c:pt idx="30">
                  <c:v>0.17080627182276742</c:v>
                </c:pt>
                <c:pt idx="31">
                  <c:v>0.17477002477671871</c:v>
                </c:pt>
                <c:pt idx="32">
                  <c:v>0.17874974359518769</c:v>
                </c:pt>
                <c:pt idx="33">
                  <c:v>0.18274543658091819</c:v>
                </c:pt>
                <c:pt idx="34">
                  <c:v>0.18675711228371986</c:v>
                </c:pt>
                <c:pt idx="35">
                  <c:v>0.1907847795007713</c:v>
                </c:pt>
                <c:pt idx="36">
                  <c:v>0.19482844727693324</c:v>
                </c:pt>
                <c:pt idx="37">
                  <c:v>0.19888812490507116</c:v>
                </c:pt>
                <c:pt idx="38">
                  <c:v>0.20296382192638721</c:v>
                </c:pt>
                <c:pt idx="39">
                  <c:v>0.20705554813076232</c:v>
                </c:pt>
                <c:pt idx="40">
                  <c:v>0.2111633135571078</c:v>
                </c:pt>
                <c:pt idx="41">
                  <c:v>0.21528712849372639</c:v>
                </c:pt>
                <c:pt idx="42">
                  <c:v>0.21942700347868377</c:v>
                </c:pt>
                <c:pt idx="43">
                  <c:v>0.22358294930018882</c:v>
                </c:pt>
                <c:pt idx="44">
                  <c:v>0.22775497699698477</c:v>
                </c:pt>
                <c:pt idx="45">
                  <c:v>0.23194309785874939</c:v>
                </c:pt>
                <c:pt idx="46">
                  <c:v>0.23614732342650518</c:v>
                </c:pt>
                <c:pt idx="47">
                  <c:v>0.24036766549304003</c:v>
                </c:pt>
                <c:pt idx="48">
                  <c:v>0.24460413610333667</c:v>
                </c:pt>
                <c:pt idx="49">
                  <c:v>0.2488567475550133</c:v>
                </c:pt>
                <c:pt idx="50">
                  <c:v>0.25312551239877329</c:v>
                </c:pt>
                <c:pt idx="51">
                  <c:v>0.25741044343886532</c:v>
                </c:pt>
                <c:pt idx="52">
                  <c:v>0.26171155373355343</c:v>
                </c:pt>
                <c:pt idx="53">
                  <c:v>0.26602885659559705</c:v>
                </c:pt>
                <c:pt idx="54">
                  <c:v>0.27036236559274152</c:v>
                </c:pt>
                <c:pt idx="55">
                  <c:v>0.2747120945482181</c:v>
                </c:pt>
                <c:pt idx="56">
                  <c:v>0.27907805754125498</c:v>
                </c:pt>
                <c:pt idx="57">
                  <c:v>0.28346026890759746</c:v>
                </c:pt>
                <c:pt idx="58">
                  <c:v>0.28785874324003946</c:v>
                </c:pt>
                <c:pt idx="59">
                  <c:v>0.29227349538896485</c:v>
                </c:pt>
                <c:pt idx="60">
                  <c:v>0.29670454046289851</c:v>
                </c:pt>
                <c:pt idx="61">
                  <c:v>0.30115189382906904</c:v>
                </c:pt>
                <c:pt idx="62">
                  <c:v>0.30561557111398063</c:v>
                </c:pt>
                <c:pt idx="63">
                  <c:v>0.31009558820399608</c:v>
                </c:pt>
                <c:pt idx="64">
                  <c:v>0.31459196124593047</c:v>
                </c:pt>
                <c:pt idx="65">
                  <c:v>0.31910470664765406</c:v>
                </c:pt>
                <c:pt idx="66">
                  <c:v>0.32363384107870791</c:v>
                </c:pt>
                <c:pt idx="67">
                  <c:v>0.32817938147092823</c:v>
                </c:pt>
                <c:pt idx="68">
                  <c:v>0.33274134501908192</c:v>
                </c:pt>
                <c:pt idx="69">
                  <c:v>0.33731974918151375</c:v>
                </c:pt>
                <c:pt idx="70">
                  <c:v>0.34191461168080256</c:v>
                </c:pt>
                <c:pt idx="71">
                  <c:v>0.34652595050443014</c:v>
                </c:pt>
                <c:pt idx="72">
                  <c:v>0.35115378390545959</c:v>
                </c:pt>
                <c:pt idx="73">
                  <c:v>0.35579813040322461</c:v>
                </c:pt>
                <c:pt idx="74">
                  <c:v>0.36045900878403131</c:v>
                </c:pt>
                <c:pt idx="75">
                  <c:v>0.36513643810186874</c:v>
                </c:pt>
                <c:pt idx="76">
                  <c:v>0.36983043767913204</c:v>
                </c:pt>
                <c:pt idx="77">
                  <c:v>0.37454102710735671</c:v>
                </c:pt>
                <c:pt idx="78">
                  <c:v>0.37926822624796247</c:v>
                </c:pt>
                <c:pt idx="79">
                  <c:v>0.38401205523301085</c:v>
                </c:pt>
                <c:pt idx="80">
                  <c:v>0.38877253446597132</c:v>
                </c:pt>
                <c:pt idx="81">
                  <c:v>0.39354968462250073</c:v>
                </c:pt>
                <c:pt idx="82">
                  <c:v>0.39834352665123368</c:v>
                </c:pt>
                <c:pt idx="83">
                  <c:v>0.40315408177458367</c:v>
                </c:pt>
                <c:pt idx="84">
                  <c:v>0.40798137148955577</c:v>
                </c:pt>
                <c:pt idx="85">
                  <c:v>0.41282541756857261</c:v>
                </c:pt>
                <c:pt idx="86">
                  <c:v>0.41768624206030935</c:v>
                </c:pt>
                <c:pt idx="87">
                  <c:v>0.42256386729054174</c:v>
                </c:pt>
                <c:pt idx="88">
                  <c:v>0.42745831586300698</c:v>
                </c:pt>
                <c:pt idx="89">
                  <c:v>0.43236961066027335</c:v>
                </c:pt>
                <c:pt idx="90">
                  <c:v>0.43729777484462495</c:v>
                </c:pt>
                <c:pt idx="91">
                  <c:v>0.44224283185895652</c:v>
                </c:pt>
                <c:pt idx="92">
                  <c:v>0.44720480542768054</c:v>
                </c:pt>
                <c:pt idx="93">
                  <c:v>0.45218371955764702</c:v>
                </c:pt>
                <c:pt idx="94">
                  <c:v>0.45717959853907408</c:v>
                </c:pt>
                <c:pt idx="95">
                  <c:v>0.46219246694649263</c:v>
                </c:pt>
                <c:pt idx="96">
                  <c:v>0.46722234963970155</c:v>
                </c:pt>
                <c:pt idx="97">
                  <c:v>0.47226927176473676</c:v>
                </c:pt>
                <c:pt idx="98">
                  <c:v>0.47733325875485111</c:v>
                </c:pt>
                <c:pt idx="99">
                  <c:v>0.48241433633150754</c:v>
                </c:pt>
                <c:pt idx="100">
                  <c:v>0.4875125305053859</c:v>
                </c:pt>
              </c:numCache>
            </c:numRef>
          </c:yVal>
          <c:smooth val="0"/>
          <c:extLst>
            <c:ext xmlns:c16="http://schemas.microsoft.com/office/drawing/2014/chart" uri="{C3380CC4-5D6E-409C-BE32-E72D297353CC}">
              <c16:uniqueId val="{00000001-F5FB-42D4-A397-414D6630BC17}"/>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Calculations'!$U$9:$U$109</c:f>
              <c:numCache>
                <c:formatCode>0.000</c:formatCode>
                <c:ptCount val="101"/>
                <c:pt idx="0">
                  <c:v>0.24420547190139127</c:v>
                </c:pt>
                <c:pt idx="1">
                  <c:v>0.24421668666973384</c:v>
                </c:pt>
                <c:pt idx="2">
                  <c:v>0.24424580547637617</c:v>
                </c:pt>
                <c:pt idx="3">
                  <c:v>0.2442928285667576</c:v>
                </c:pt>
                <c:pt idx="4">
                  <c:v>0.24435775633724127</c:v>
                </c:pt>
                <c:pt idx="5">
                  <c:v>0.24444058933512219</c:v>
                </c:pt>
                <c:pt idx="6">
                  <c:v>0.24454132825863906</c:v>
                </c:pt>
                <c:pt idx="7">
                  <c:v>0.2446599739569888</c:v>
                </c:pt>
                <c:pt idx="8">
                  <c:v>0.24479652743034469</c:v>
                </c:pt>
                <c:pt idx="9">
                  <c:v>0.24495098982987706</c:v>
                </c:pt>
                <c:pt idx="10">
                  <c:v>0.24512336245777802</c:v>
                </c:pt>
                <c:pt idx="11">
                  <c:v>0.24531364676728853</c:v>
                </c:pt>
                <c:pt idx="12">
                  <c:v>0.24552184436272922</c:v>
                </c:pt>
                <c:pt idx="13">
                  <c:v>0.24574795699953408</c:v>
                </c:pt>
                <c:pt idx="14">
                  <c:v>0.2459919865842877</c:v>
                </c:pt>
                <c:pt idx="15">
                  <c:v>0.24625393517476515</c:v>
                </c:pt>
                <c:pt idx="16">
                  <c:v>0.24653380497997562</c:v>
                </c:pt>
                <c:pt idx="17">
                  <c:v>0.24683159836020896</c:v>
                </c:pt>
                <c:pt idx="18">
                  <c:v>0.24714731782708535</c:v>
                </c:pt>
                <c:pt idx="19">
                  <c:v>0.24748096604360831</c:v>
                </c:pt>
                <c:pt idx="20">
                  <c:v>0.2478325458242209</c:v>
                </c:pt>
                <c:pt idx="21">
                  <c:v>0.24820206013486526</c:v>
                </c:pt>
                <c:pt idx="22">
                  <c:v>0.24858951209304475</c:v>
                </c:pt>
                <c:pt idx="23">
                  <c:v>0.24899490496789006</c:v>
                </c:pt>
                <c:pt idx="24">
                  <c:v>0.24941824218022832</c:v>
                </c:pt>
                <c:pt idx="25">
                  <c:v>0.24985952730265487</c:v>
                </c:pt>
                <c:pt idx="26">
                  <c:v>0.25031876405960901</c:v>
                </c:pt>
                <c:pt idx="27">
                  <c:v>0.25079595632745255</c:v>
                </c:pt>
                <c:pt idx="28">
                  <c:v>0.25129110813455174</c:v>
                </c:pt>
                <c:pt idx="29">
                  <c:v>0.25180422366136201</c:v>
                </c:pt>
                <c:pt idx="30">
                  <c:v>0.25233530724051673</c:v>
                </c:pt>
                <c:pt idx="31">
                  <c:v>0.25288436335691827</c:v>
                </c:pt>
                <c:pt idx="32">
                  <c:v>0.25345139664783339</c:v>
                </c:pt>
                <c:pt idx="33">
                  <c:v>0.25403641190299053</c:v>
                </c:pt>
                <c:pt idx="34">
                  <c:v>0.25463941406468144</c:v>
                </c:pt>
                <c:pt idx="35">
                  <c:v>0.25526040822786583</c:v>
                </c:pt>
                <c:pt idx="36">
                  <c:v>0.25589939964027864</c:v>
                </c:pt>
                <c:pt idx="37">
                  <c:v>0.25655639370254135</c:v>
                </c:pt>
                <c:pt idx="38">
                  <c:v>0.25723139596827632</c:v>
                </c:pt>
                <c:pt idx="39">
                  <c:v>0.25792441214422385</c:v>
                </c:pt>
                <c:pt idx="40">
                  <c:v>0.25863544809036343</c:v>
                </c:pt>
                <c:pt idx="41">
                  <c:v>0.25936450982003761</c:v>
                </c:pt>
                <c:pt idx="42">
                  <c:v>0.26011160350007934</c:v>
                </c:pt>
                <c:pt idx="43">
                  <c:v>0.26087673545094242</c:v>
                </c:pt>
                <c:pt idx="44">
                  <c:v>0.26165991214683559</c:v>
                </c:pt>
                <c:pt idx="45">
                  <c:v>0.26246114021585992</c:v>
                </c:pt>
                <c:pt idx="46">
                  <c:v>0.2632804264401486</c:v>
                </c:pt>
                <c:pt idx="47">
                  <c:v>0.26411777775601147</c:v>
                </c:pt>
                <c:pt idx="48">
                  <c:v>0.26497320125408169</c:v>
                </c:pt>
                <c:pt idx="49">
                  <c:v>0.26584670417946643</c:v>
                </c:pt>
                <c:pt idx="50">
                  <c:v>0.26673829393190029</c:v>
                </c:pt>
                <c:pt idx="51">
                  <c:v>0.26764797806590268</c:v>
                </c:pt>
                <c:pt idx="52">
                  <c:v>0.26857576429093788</c:v>
                </c:pt>
                <c:pt idx="53">
                  <c:v>0.26952166047157899</c:v>
                </c:pt>
                <c:pt idx="54">
                  <c:v>0.27048567462767509</c:v>
                </c:pt>
                <c:pt idx="55">
                  <c:v>0.27146781493452155</c:v>
                </c:pt>
                <c:pt idx="56">
                  <c:v>0.27246808972303366</c:v>
                </c:pt>
                <c:pt idx="57">
                  <c:v>0.27348650747992409</c:v>
                </c:pt>
                <c:pt idx="58">
                  <c:v>0.27452307684788324</c:v>
                </c:pt>
                <c:pt idx="59">
                  <c:v>0.2755778066257632</c:v>
                </c:pt>
                <c:pt idx="60">
                  <c:v>0.27665070576876505</c:v>
                </c:pt>
                <c:pt idx="61">
                  <c:v>0.27774178338862959</c:v>
                </c:pt>
                <c:pt idx="62">
                  <c:v>0.27885104875383132</c:v>
                </c:pt>
                <c:pt idx="63">
                  <c:v>0.27997851128977613</c:v>
                </c:pt>
                <c:pt idx="64">
                  <c:v>0.28112418057900207</c:v>
                </c:pt>
                <c:pt idx="65">
                  <c:v>0.28228806636138354</c:v>
                </c:pt>
                <c:pt idx="66">
                  <c:v>0.28347017853433987</c:v>
                </c:pt>
                <c:pt idx="67">
                  <c:v>0.28467052715304542</c:v>
                </c:pt>
                <c:pt idx="68">
                  <c:v>0.28588912243064518</c:v>
                </c:pt>
                <c:pt idx="69">
                  <c:v>0.28712597473847223</c:v>
                </c:pt>
                <c:pt idx="70">
                  <c:v>0.28838109460627009</c:v>
                </c:pt>
                <c:pt idx="71">
                  <c:v>0.28965449272241711</c:v>
                </c:pt>
                <c:pt idx="72">
                  <c:v>0.29094617993415556</c:v>
                </c:pt>
                <c:pt idx="73">
                  <c:v>0.29225616724782316</c:v>
                </c:pt>
                <c:pt idx="74">
                  <c:v>0.29358446582908931</c:v>
                </c:pt>
                <c:pt idx="75">
                  <c:v>0.29493108700319381</c:v>
                </c:pt>
                <c:pt idx="76">
                  <c:v>0.29629604225518935</c:v>
                </c:pt>
                <c:pt idx="77">
                  <c:v>0.29767934323018813</c:v>
                </c:pt>
                <c:pt idx="78">
                  <c:v>0.29908100173361091</c:v>
                </c:pt>
                <c:pt idx="79">
                  <c:v>0.30050102973144094</c:v>
                </c:pt>
                <c:pt idx="80">
                  <c:v>0.30193943935048029</c:v>
                </c:pt>
                <c:pt idx="81">
                  <c:v>0.30339624287861039</c:v>
                </c:pt>
                <c:pt idx="82">
                  <c:v>0.30487145276505617</c:v>
                </c:pt>
                <c:pt idx="83">
                  <c:v>0.3063650816206534</c:v>
                </c:pt>
                <c:pt idx="84">
                  <c:v>0.30787714221811985</c:v>
                </c:pt>
                <c:pt idx="85">
                  <c:v>0.3094076474923303</c:v>
                </c:pt>
                <c:pt idx="86">
                  <c:v>0.31095661054059465</c:v>
                </c:pt>
                <c:pt idx="87">
                  <c:v>0.31252404462294053</c:v>
                </c:pt>
                <c:pt idx="88">
                  <c:v>0.31410996316239848</c:v>
                </c:pt>
                <c:pt idx="89">
                  <c:v>0.31571437974529121</c:v>
                </c:pt>
                <c:pt idx="90">
                  <c:v>0.31733730812152744</c:v>
                </c:pt>
                <c:pt idx="91">
                  <c:v>0.31897876220489779</c:v>
                </c:pt>
                <c:pt idx="92">
                  <c:v>0.32063875607337577</c:v>
                </c:pt>
                <c:pt idx="93">
                  <c:v>0.32231730396942176</c:v>
                </c:pt>
                <c:pt idx="94">
                  <c:v>0.32401442030029054</c:v>
                </c:pt>
                <c:pt idx="95">
                  <c:v>0.32573011963834353</c:v>
                </c:pt>
                <c:pt idx="96">
                  <c:v>0.32746441672136362</c:v>
                </c:pt>
                <c:pt idx="97">
                  <c:v>0.3292173264528746</c:v>
                </c:pt>
                <c:pt idx="98">
                  <c:v>0.33098886390246396</c:v>
                </c:pt>
                <c:pt idx="99">
                  <c:v>0.33277904430610922</c:v>
                </c:pt>
                <c:pt idx="100">
                  <c:v>0.33458788306650922</c:v>
                </c:pt>
              </c:numCache>
            </c:numRef>
          </c:yVal>
          <c:smooth val="0"/>
          <c:extLst>
            <c:ext xmlns:c16="http://schemas.microsoft.com/office/drawing/2014/chart" uri="{C3380CC4-5D6E-409C-BE32-E72D297353CC}">
              <c16:uniqueId val="{00000002-F5FB-42D4-A397-414D6630BC17}"/>
            </c:ext>
          </c:extLst>
        </c:ser>
        <c:dLbls>
          <c:showLegendKey val="0"/>
          <c:showVal val="0"/>
          <c:showCatName val="0"/>
          <c:showSerName val="0"/>
          <c:showPercent val="0"/>
          <c:showBubbleSize val="0"/>
        </c:dLbls>
        <c:axId val="334025088"/>
        <c:axId val="334027008"/>
      </c:scatterChart>
      <c:valAx>
        <c:axId val="334025088"/>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7008"/>
        <c:crosses val="autoZero"/>
        <c:crossBetween val="midCat"/>
      </c:valAx>
      <c:valAx>
        <c:axId val="3340270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508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xVal>
          <c:yVal>
            <c:numRef>
              <c:f>'Efficiency Calculations'!$AV$9:$AV$109</c:f>
              <c:numCache>
                <c:formatCode>0.0%</c:formatCode>
                <c:ptCount val="101"/>
                <c:pt idx="0">
                  <c:v>0</c:v>
                </c:pt>
                <c:pt idx="1">
                  <c:v>0.56117517011824947</c:v>
                </c:pt>
                <c:pt idx="2">
                  <c:v>0.71302313980457954</c:v>
                </c:pt>
                <c:pt idx="3">
                  <c:v>0.783690827612744</c:v>
                </c:pt>
                <c:pt idx="4">
                  <c:v>0.82453464063415094</c:v>
                </c:pt>
                <c:pt idx="5">
                  <c:v>0.85113607380453848</c:v>
                </c:pt>
                <c:pt idx="6">
                  <c:v>0.86983242023880336</c:v>
                </c:pt>
                <c:pt idx="7">
                  <c:v>0.88368680402162292</c:v>
                </c:pt>
                <c:pt idx="8">
                  <c:v>0.89436080966283182</c:v>
                </c:pt>
                <c:pt idx="9">
                  <c:v>0.90283379800274011</c:v>
                </c:pt>
                <c:pt idx="10">
                  <c:v>0.90972045083571562</c:v>
                </c:pt>
                <c:pt idx="11">
                  <c:v>0.91542605696209667</c:v>
                </c:pt>
                <c:pt idx="12">
                  <c:v>0.92022867754658</c:v>
                </c:pt>
                <c:pt idx="13">
                  <c:v>0.92432543707333992</c:v>
                </c:pt>
                <c:pt idx="14">
                  <c:v>0.92785997408090193</c:v>
                </c:pt>
                <c:pt idx="15">
                  <c:v>0.93093942927282392</c:v>
                </c:pt>
                <c:pt idx="16">
                  <c:v>0.93364534548903855</c:v>
                </c:pt>
                <c:pt idx="17">
                  <c:v>0.93604088155380327</c:v>
                </c:pt>
                <c:pt idx="18">
                  <c:v>0.93817571672790767</c:v>
                </c:pt>
                <c:pt idx="19">
                  <c:v>0.94008946460978116</c:v>
                </c:pt>
                <c:pt idx="20">
                  <c:v>0.94181409951183304</c:v>
                </c:pt>
                <c:pt idx="21">
                  <c:v>0.94337571325054415</c:v>
                </c:pt>
                <c:pt idx="22">
                  <c:v>0.94479580844778133</c:v>
                </c:pt>
                <c:pt idx="23">
                  <c:v>0.94609226499560584</c:v>
                </c:pt>
                <c:pt idx="24">
                  <c:v>0.94728007215243559</c:v>
                </c:pt>
                <c:pt idx="25">
                  <c:v>0.94837189000180711</c:v>
                </c:pt>
                <c:pt idx="26">
                  <c:v>0.94937848493958632</c:v>
                </c:pt>
                <c:pt idx="27">
                  <c:v>0.95030907097520601</c:v>
                </c:pt>
                <c:pt idx="28">
                  <c:v>0.95117157978541578</c:v>
                </c:pt>
                <c:pt idx="29">
                  <c:v>0.95197287628906668</c:v>
                </c:pt>
                <c:pt idx="30">
                  <c:v>0.95271893214781322</c:v>
                </c:pt>
                <c:pt idx="31">
                  <c:v>0.95341496647118862</c:v>
                </c:pt>
                <c:pt idx="32">
                  <c:v>0.95406556073748783</c:v>
                </c:pt>
                <c:pt idx="33">
                  <c:v>0.95467475327952811</c:v>
                </c:pt>
                <c:pt idx="34">
                  <c:v>0.95524611745264432</c:v>
                </c:pt>
                <c:pt idx="35">
                  <c:v>0.95578282668070524</c:v>
                </c:pt>
                <c:pt idx="36">
                  <c:v>0.95628770888010728</c:v>
                </c:pt>
                <c:pt idx="37">
                  <c:v>0.95676329223180245</c:v>
                </c:pt>
                <c:pt idx="38">
                  <c:v>0.95721184386461122</c:v>
                </c:pt>
                <c:pt idx="39">
                  <c:v>0.95763540269839342</c:v>
                </c:pt>
                <c:pt idx="40">
                  <c:v>0.95803580745048345</c:v>
                </c:pt>
                <c:pt idx="41">
                  <c:v>0.95841472061649524</c:v>
                </c:pt>
                <c:pt idx="42">
                  <c:v>0.95877364908478047</c:v>
                </c:pt>
                <c:pt idx="43">
                  <c:v>0.9591139619232556</c:v>
                </c:pt>
                <c:pt idx="44">
                  <c:v>0.95943690578098395</c:v>
                </c:pt>
                <c:pt idx="45">
                  <c:v>0.95974361826953269</c:v>
                </c:pt>
                <c:pt idx="46">
                  <c:v>0.96003513962664699</c:v>
                </c:pt>
                <c:pt idx="47">
                  <c:v>0.9603124229140908</c:v>
                </c:pt>
                <c:pt idx="48">
                  <c:v>0.96057634296016658</c:v>
                </c:pt>
                <c:pt idx="49">
                  <c:v>0.96082770422356978</c:v>
                </c:pt>
                <c:pt idx="50">
                  <c:v>0.96106724772738217</c:v>
                </c:pt>
                <c:pt idx="51">
                  <c:v>0.96129565718900112</c:v>
                </c:pt>
                <c:pt idx="52">
                  <c:v>0.96151356445272329</c:v>
                </c:pt>
                <c:pt idx="53">
                  <c:v>0.96172155431580852</c:v>
                </c:pt>
                <c:pt idx="54">
                  <c:v>0.96192016882558651</c:v>
                </c:pt>
                <c:pt idx="55">
                  <c:v>0.96210991111402688</c:v>
                </c:pt>
                <c:pt idx="56">
                  <c:v>0.96229124882683736</c:v>
                </c:pt>
                <c:pt idx="57">
                  <c:v>0.96246461719624155</c:v>
                </c:pt>
                <c:pt idx="58">
                  <c:v>0.96263042179989922</c:v>
                </c:pt>
                <c:pt idx="59">
                  <c:v>0.96278904104274399</c:v>
                </c:pt>
                <c:pt idx="60">
                  <c:v>0.96294082839366713</c:v>
                </c:pt>
                <c:pt idx="61">
                  <c:v>0.96308611440484637</c:v>
                </c:pt>
                <c:pt idx="62">
                  <c:v>0.96322520853796434</c:v>
                </c:pt>
                <c:pt idx="63">
                  <c:v>0.96335840081852653</c:v>
                </c:pt>
                <c:pt idx="64">
                  <c:v>0.96348596333686587</c:v>
                </c:pt>
                <c:pt idx="65">
                  <c:v>0.96360815161215352</c:v>
                </c:pt>
                <c:pt idx="66">
                  <c:v>0.96372520583379051</c:v>
                </c:pt>
                <c:pt idx="67">
                  <c:v>0.96383735199284459</c:v>
                </c:pt>
                <c:pt idx="68">
                  <c:v>0.96394480291473339</c:v>
                </c:pt>
                <c:pt idx="69">
                  <c:v>0.96404775920306252</c:v>
                </c:pt>
                <c:pt idx="70">
                  <c:v>0.96414641010341373</c:v>
                </c:pt>
                <c:pt idx="71">
                  <c:v>0.964240934294889</c:v>
                </c:pt>
                <c:pt idx="72">
                  <c:v>0.96433150061636685</c:v>
                </c:pt>
                <c:pt idx="73">
                  <c:v>0.96441826873366587</c:v>
                </c:pt>
                <c:pt idx="74">
                  <c:v>0.96450138975315047</c:v>
                </c:pt>
                <c:pt idx="75">
                  <c:v>0.96458100678672876</c:v>
                </c:pt>
                <c:pt idx="76">
                  <c:v>0.96465725547267678</c:v>
                </c:pt>
                <c:pt idx="77">
                  <c:v>0.96473026445626475</c:v>
                </c:pt>
                <c:pt idx="78">
                  <c:v>0.96480015583376078</c:v>
                </c:pt>
                <c:pt idx="79">
                  <c:v>0.9648670455630266</c:v>
                </c:pt>
                <c:pt idx="80">
                  <c:v>0.96493104384359973</c:v>
                </c:pt>
                <c:pt idx="81">
                  <c:v>0.96499225546887801</c:v>
                </c:pt>
                <c:pt idx="82">
                  <c:v>0.96505078015276424</c:v>
                </c:pt>
                <c:pt idx="83">
                  <c:v>0.96510671283290739</c:v>
                </c:pt>
                <c:pt idx="84">
                  <c:v>0.96516014395247218</c:v>
                </c:pt>
                <c:pt idx="85">
                  <c:v>0.96521115972219151</c:v>
                </c:pt>
                <c:pt idx="86">
                  <c:v>0.96525984236429141</c:v>
                </c:pt>
                <c:pt idx="87">
                  <c:v>0.96530627033973615</c:v>
                </c:pt>
                <c:pt idx="88">
                  <c:v>0.96535051856010734</c:v>
                </c:pt>
                <c:pt idx="89">
                  <c:v>0.96539265858531831</c:v>
                </c:pt>
                <c:pt idx="90">
                  <c:v>0.96543275880825308</c:v>
                </c:pt>
                <c:pt idx="91">
                  <c:v>0.96547088462733055</c:v>
                </c:pt>
                <c:pt idx="92">
                  <c:v>0.96550709860790418</c:v>
                </c:pt>
                <c:pt idx="93">
                  <c:v>0.96554146063332957</c:v>
                </c:pt>
                <c:pt idx="94">
                  <c:v>0.96557402804646586</c:v>
                </c:pt>
                <c:pt idx="95">
                  <c:v>0.96560485578230815</c:v>
                </c:pt>
                <c:pt idx="96">
                  <c:v>0.9656339964923939</c:v>
                </c:pt>
                <c:pt idx="97">
                  <c:v>0.96566150066157208</c:v>
                </c:pt>
                <c:pt idx="98">
                  <c:v>0.96568741671767599</c:v>
                </c:pt>
                <c:pt idx="99">
                  <c:v>0.96542048448041429</c:v>
                </c:pt>
                <c:pt idx="100">
                  <c:v>0.96512038031581071</c:v>
                </c:pt>
              </c:numCache>
            </c:numRef>
          </c:yVal>
          <c:smooth val="0"/>
          <c:extLst>
            <c:ext xmlns:c16="http://schemas.microsoft.com/office/drawing/2014/chart" uri="{C3380CC4-5D6E-409C-BE32-E72D297353CC}">
              <c16:uniqueId val="{00000000-EB57-4071-85DB-21E836E81E4D}"/>
            </c:ext>
          </c:extLst>
        </c:ser>
        <c:dLbls>
          <c:showLegendKey val="0"/>
          <c:showVal val="0"/>
          <c:showCatName val="0"/>
          <c:showSerName val="0"/>
          <c:showPercent val="0"/>
          <c:showBubbleSize val="0"/>
        </c:dLbls>
        <c:axId val="44440576"/>
        <c:axId val="333276288"/>
      </c:scatterChart>
      <c:valAx>
        <c:axId val="4444057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333276288"/>
        <c:crosses val="autoZero"/>
        <c:crossBetween val="midCat"/>
      </c:valAx>
      <c:valAx>
        <c:axId val="33327628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44057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Calculations'!$AZ$9:$AZ$109</c:f>
              <c:numCache>
                <c:formatCode>0.00</c:formatCode>
                <c:ptCount val="101"/>
                <c:pt idx="0">
                  <c:v>0</c:v>
                </c:pt>
                <c:pt idx="1">
                  <c:v>56.117517011824944</c:v>
                </c:pt>
                <c:pt idx="2">
                  <c:v>71.302313980457953</c:v>
                </c:pt>
                <c:pt idx="3">
                  <c:v>78.369082761274399</c:v>
                </c:pt>
                <c:pt idx="4">
                  <c:v>82.453464063415097</c:v>
                </c:pt>
                <c:pt idx="5">
                  <c:v>85.113607380453843</c:v>
                </c:pt>
                <c:pt idx="6">
                  <c:v>86.983242023880337</c:v>
                </c:pt>
                <c:pt idx="7">
                  <c:v>88.368680402162298</c:v>
                </c:pt>
                <c:pt idx="8">
                  <c:v>89.436080966283185</c:v>
                </c:pt>
                <c:pt idx="9">
                  <c:v>90.283379800274005</c:v>
                </c:pt>
                <c:pt idx="10">
                  <c:v>90.972045083571558</c:v>
                </c:pt>
                <c:pt idx="11">
                  <c:v>91.542605696209662</c:v>
                </c:pt>
                <c:pt idx="12">
                  <c:v>92.022867754657995</c:v>
                </c:pt>
                <c:pt idx="13">
                  <c:v>92.432543707333991</c:v>
                </c:pt>
                <c:pt idx="14">
                  <c:v>92.785997408090196</c:v>
                </c:pt>
                <c:pt idx="15">
                  <c:v>93.093942927282399</c:v>
                </c:pt>
                <c:pt idx="16">
                  <c:v>93.364534548903862</c:v>
                </c:pt>
                <c:pt idx="17">
                  <c:v>93.604088155380325</c:v>
                </c:pt>
                <c:pt idx="18">
                  <c:v>93.817571672790763</c:v>
                </c:pt>
                <c:pt idx="19">
                  <c:v>94.008946460978109</c:v>
                </c:pt>
                <c:pt idx="20">
                  <c:v>94.181409951183298</c:v>
                </c:pt>
                <c:pt idx="21">
                  <c:v>94.337571325054412</c:v>
                </c:pt>
                <c:pt idx="22">
                  <c:v>94.479580844778127</c:v>
                </c:pt>
                <c:pt idx="23">
                  <c:v>94.609226499560577</c:v>
                </c:pt>
                <c:pt idx="24">
                  <c:v>94.728007215243565</c:v>
                </c:pt>
                <c:pt idx="25">
                  <c:v>94.837189000180715</c:v>
                </c:pt>
                <c:pt idx="26">
                  <c:v>94.937848493958626</c:v>
                </c:pt>
                <c:pt idx="27">
                  <c:v>95.030907097520597</c:v>
                </c:pt>
                <c:pt idx="28">
                  <c:v>95.117157978541584</c:v>
                </c:pt>
                <c:pt idx="29">
                  <c:v>95.197287628906665</c:v>
                </c:pt>
                <c:pt idx="30">
                  <c:v>95.271893214781329</c:v>
                </c:pt>
                <c:pt idx="31">
                  <c:v>95.341496647118859</c:v>
                </c:pt>
                <c:pt idx="32">
                  <c:v>95.406556073748789</c:v>
                </c:pt>
                <c:pt idx="33">
                  <c:v>95.467475327952812</c:v>
                </c:pt>
                <c:pt idx="34">
                  <c:v>95.524611745264437</c:v>
                </c:pt>
                <c:pt idx="35">
                  <c:v>95.578282668070528</c:v>
                </c:pt>
                <c:pt idx="36">
                  <c:v>95.628770888010735</c:v>
                </c:pt>
                <c:pt idx="37">
                  <c:v>95.676329223180247</c:v>
                </c:pt>
                <c:pt idx="38">
                  <c:v>95.721184386461118</c:v>
                </c:pt>
                <c:pt idx="39">
                  <c:v>95.763540269839339</c:v>
                </c:pt>
                <c:pt idx="40">
                  <c:v>95.80358074504835</c:v>
                </c:pt>
                <c:pt idx="41">
                  <c:v>95.841472061649526</c:v>
                </c:pt>
                <c:pt idx="42">
                  <c:v>95.877364908478043</c:v>
                </c:pt>
                <c:pt idx="43">
                  <c:v>95.911396192325554</c:v>
                </c:pt>
                <c:pt idx="44">
                  <c:v>95.943690578098398</c:v>
                </c:pt>
                <c:pt idx="45">
                  <c:v>95.97436182695327</c:v>
                </c:pt>
                <c:pt idx="46">
                  <c:v>96.003513962664698</c:v>
                </c:pt>
                <c:pt idx="47">
                  <c:v>96.031242291409086</c:v>
                </c:pt>
                <c:pt idx="48">
                  <c:v>96.057634296016658</c:v>
                </c:pt>
                <c:pt idx="49">
                  <c:v>96.082770422356973</c:v>
                </c:pt>
                <c:pt idx="50">
                  <c:v>96.106724772738218</c:v>
                </c:pt>
                <c:pt idx="51">
                  <c:v>96.12956571890011</c:v>
                </c:pt>
                <c:pt idx="52">
                  <c:v>96.151356445272327</c:v>
                </c:pt>
                <c:pt idx="53">
                  <c:v>96.172155431580848</c:v>
                </c:pt>
                <c:pt idx="54">
                  <c:v>96.192016882558647</c:v>
                </c:pt>
                <c:pt idx="55">
                  <c:v>96.210991111402691</c:v>
                </c:pt>
                <c:pt idx="56">
                  <c:v>96.229124882683735</c:v>
                </c:pt>
                <c:pt idx="57">
                  <c:v>96.246461719624151</c:v>
                </c:pt>
                <c:pt idx="58">
                  <c:v>96.263042179989924</c:v>
                </c:pt>
                <c:pt idx="59">
                  <c:v>96.278904104274403</c:v>
                </c:pt>
                <c:pt idx="60">
                  <c:v>96.294082839366709</c:v>
                </c:pt>
                <c:pt idx="61">
                  <c:v>96.30861144048464</c:v>
                </c:pt>
                <c:pt idx="62">
                  <c:v>96.322520853796433</c:v>
                </c:pt>
                <c:pt idx="63">
                  <c:v>96.335840081852652</c:v>
                </c:pt>
                <c:pt idx="64">
                  <c:v>96.348596333686586</c:v>
                </c:pt>
                <c:pt idx="65">
                  <c:v>96.360815161215356</c:v>
                </c:pt>
                <c:pt idx="66">
                  <c:v>96.372520583379057</c:v>
                </c:pt>
                <c:pt idx="67">
                  <c:v>96.383735199284459</c:v>
                </c:pt>
                <c:pt idx="68">
                  <c:v>96.394480291473343</c:v>
                </c:pt>
                <c:pt idx="69">
                  <c:v>96.40477592030625</c:v>
                </c:pt>
                <c:pt idx="70">
                  <c:v>96.41464101034137</c:v>
                </c:pt>
                <c:pt idx="71">
                  <c:v>96.424093429488906</c:v>
                </c:pt>
                <c:pt idx="72">
                  <c:v>96.433150061636681</c:v>
                </c:pt>
                <c:pt idx="73">
                  <c:v>96.441826873366594</c:v>
                </c:pt>
                <c:pt idx="74">
                  <c:v>96.450138975315042</c:v>
                </c:pt>
                <c:pt idx="75">
                  <c:v>96.458100678672878</c:v>
                </c:pt>
                <c:pt idx="76">
                  <c:v>96.465725547267681</c:v>
                </c:pt>
                <c:pt idx="77">
                  <c:v>96.473026445626473</c:v>
                </c:pt>
                <c:pt idx="78">
                  <c:v>96.480015583376073</c:v>
                </c:pt>
                <c:pt idx="79">
                  <c:v>96.486704556302655</c:v>
                </c:pt>
                <c:pt idx="80">
                  <c:v>96.493104384359967</c:v>
                </c:pt>
                <c:pt idx="81">
                  <c:v>96.4992255468878</c:v>
                </c:pt>
                <c:pt idx="82">
                  <c:v>96.505078015276425</c:v>
                </c:pt>
                <c:pt idx="83">
                  <c:v>96.510671283290733</c:v>
                </c:pt>
                <c:pt idx="84">
                  <c:v>96.516014395247225</c:v>
                </c:pt>
                <c:pt idx="85">
                  <c:v>96.52111597221915</c:v>
                </c:pt>
                <c:pt idx="86">
                  <c:v>96.525984236429139</c:v>
                </c:pt>
                <c:pt idx="87">
                  <c:v>96.530627033973616</c:v>
                </c:pt>
                <c:pt idx="88">
                  <c:v>96.535051856010739</c:v>
                </c:pt>
                <c:pt idx="89">
                  <c:v>96.539265858531834</c:v>
                </c:pt>
                <c:pt idx="90">
                  <c:v>96.543275880825306</c:v>
                </c:pt>
                <c:pt idx="91">
                  <c:v>96.547088462733058</c:v>
                </c:pt>
                <c:pt idx="92">
                  <c:v>96.55070986079042</c:v>
                </c:pt>
                <c:pt idx="93">
                  <c:v>96.554146063332951</c:v>
                </c:pt>
                <c:pt idx="94">
                  <c:v>96.557402804646586</c:v>
                </c:pt>
                <c:pt idx="95">
                  <c:v>96.560485578230811</c:v>
                </c:pt>
                <c:pt idx="96">
                  <c:v>96.563399649239386</c:v>
                </c:pt>
                <c:pt idx="97">
                  <c:v>96.566150066157206</c:v>
                </c:pt>
                <c:pt idx="98">
                  <c:v>96.568741671767597</c:v>
                </c:pt>
                <c:pt idx="99">
                  <c:v>96.542048448041427</c:v>
                </c:pt>
                <c:pt idx="100">
                  <c:v>96.512038031581071</c:v>
                </c:pt>
              </c:numCache>
            </c:numRef>
          </c:val>
          <c:smooth val="0"/>
          <c:extLst>
            <c:ext xmlns:c16="http://schemas.microsoft.com/office/drawing/2014/chart" uri="{C3380CC4-5D6E-409C-BE32-E72D297353CC}">
              <c16:uniqueId val="{00000000-F8E4-4E87-B237-B7C8F7E9CC7F}"/>
            </c:ext>
          </c:extLst>
        </c:ser>
        <c:dLbls>
          <c:showLegendKey val="0"/>
          <c:showVal val="0"/>
          <c:showCatName val="0"/>
          <c:showSerName val="0"/>
          <c:showPercent val="0"/>
          <c:showBubbleSize val="0"/>
        </c:dLbls>
        <c:marker val="1"/>
        <c:smooth val="0"/>
        <c:axId val="44547072"/>
        <c:axId val="445615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Calculations'!$BC$9:$BC$109</c:f>
              <c:numCache>
                <c:formatCode>0.000</c:formatCode>
                <c:ptCount val="101"/>
                <c:pt idx="0">
                  <c:v>5.6328122210394911E-2</c:v>
                </c:pt>
                <c:pt idx="1">
                  <c:v>6.6119113551532133E-2</c:v>
                </c:pt>
                <c:pt idx="2">
                  <c:v>7.5924757893524042E-2</c:v>
                </c:pt>
                <c:pt idx="3">
                  <c:v>8.5745080704290294E-2</c:v>
                </c:pt>
                <c:pt idx="4">
                  <c:v>9.5580107671045897E-2</c:v>
                </c:pt>
                <c:pt idx="5">
                  <c:v>0.10542986470098333</c:v>
                </c:pt>
                <c:pt idx="6">
                  <c:v>0.1152943779219627</c:v>
                </c:pt>
                <c:pt idx="7">
                  <c:v>0.12517367368321067</c:v>
                </c:pt>
                <c:pt idx="8">
                  <c:v>0.13506777855602711</c:v>
                </c:pt>
                <c:pt idx="9">
                  <c:v>0.14497671933450063</c:v>
                </c:pt>
                <c:pt idx="10">
                  <c:v>0.15490052303623203</c:v>
                </c:pt>
                <c:pt idx="11">
                  <c:v>0.16483921690306669</c:v>
                </c:pt>
                <c:pt idx="12">
                  <c:v>0.17479282840183491</c:v>
                </c:pt>
                <c:pt idx="13">
                  <c:v>0.18476138522510127</c:v>
                </c:pt>
                <c:pt idx="14">
                  <c:v>0.19474491529192234</c:v>
                </c:pt>
                <c:pt idx="15">
                  <c:v>0.20474344674861261</c:v>
                </c:pt>
                <c:pt idx="16">
                  <c:v>0.21475700796952008</c:v>
                </c:pt>
                <c:pt idx="17">
                  <c:v>0.2247856275578094</c:v>
                </c:pt>
                <c:pt idx="18">
                  <c:v>0.23482933434625439</c:v>
                </c:pt>
                <c:pt idx="19">
                  <c:v>0.24488815739803943</c:v>
                </c:pt>
                <c:pt idx="20">
                  <c:v>0.25496212600756929</c:v>
                </c:pt>
                <c:pt idx="21">
                  <c:v>0.26505126970128801</c:v>
                </c:pt>
                <c:pt idx="22">
                  <c:v>0.27515561823850693</c:v>
                </c:pt>
                <c:pt idx="23">
                  <c:v>0.28527520161224107</c:v>
                </c:pt>
                <c:pt idx="24">
                  <c:v>0.29541005005005572</c:v>
                </c:pt>
                <c:pt idx="25">
                  <c:v>0.30556019401492052</c:v>
                </c:pt>
                <c:pt idx="26">
                  <c:v>0.31572566420607395</c:v>
                </c:pt>
                <c:pt idx="27">
                  <c:v>0.32590649155989637</c:v>
                </c:pt>
                <c:pt idx="28">
                  <c:v>0.33610270725079272</c:v>
                </c:pt>
                <c:pt idx="29">
                  <c:v>0.34631434269208383</c:v>
                </c:pt>
                <c:pt idx="30">
                  <c:v>0.35654142953690771</c:v>
                </c:pt>
                <c:pt idx="31">
                  <c:v>0.36678399967912989</c:v>
                </c:pt>
                <c:pt idx="32">
                  <c:v>0.37704208525426353</c:v>
                </c:pt>
                <c:pt idx="33">
                  <c:v>0.38731571864039827</c:v>
                </c:pt>
                <c:pt idx="34">
                  <c:v>0.39760493245913986</c:v>
                </c:pt>
                <c:pt idx="35">
                  <c:v>0.40790975957655778</c:v>
                </c:pt>
                <c:pt idx="36">
                  <c:v>0.41823023310414448</c:v>
                </c:pt>
                <c:pt idx="37">
                  <c:v>0.42856638639978228</c:v>
                </c:pt>
                <c:pt idx="38">
                  <c:v>0.43891825306872173</c:v>
                </c:pt>
                <c:pt idx="39">
                  <c:v>0.44928586696456885</c:v>
                </c:pt>
                <c:pt idx="40">
                  <c:v>0.45966926219028281</c:v>
                </c:pt>
                <c:pt idx="41">
                  <c:v>0.47006847309918259</c:v>
                </c:pt>
                <c:pt idx="42">
                  <c:v>0.48048353429596569</c:v>
                </c:pt>
                <c:pt idx="43">
                  <c:v>0.49091448063773424</c:v>
                </c:pt>
                <c:pt idx="44">
                  <c:v>0.50136134723503334</c:v>
                </c:pt>
                <c:pt idx="45">
                  <c:v>0.51182416945289899</c:v>
                </c:pt>
                <c:pt idx="46">
                  <c:v>0.5223029829119159</c:v>
                </c:pt>
                <c:pt idx="47">
                  <c:v>0.53279782348928628</c:v>
                </c:pt>
                <c:pt idx="48">
                  <c:v>0.54330872731990798</c:v>
                </c:pt>
                <c:pt idx="49">
                  <c:v>0.55383573079746506</c:v>
                </c:pt>
                <c:pt idx="50">
                  <c:v>0.56437887057552638</c:v>
                </c:pt>
                <c:pt idx="51">
                  <c:v>0.57493818356865689</c:v>
                </c:pt>
                <c:pt idx="52">
                  <c:v>0.58551370695353855</c:v>
                </c:pt>
                <c:pt idx="53">
                  <c:v>0.5961054781701024</c:v>
                </c:pt>
                <c:pt idx="54">
                  <c:v>0.60671353492267066</c:v>
                </c:pt>
                <c:pt idx="55">
                  <c:v>0.61733791518111159</c:v>
                </c:pt>
                <c:pt idx="56">
                  <c:v>0.62797865718200252</c:v>
                </c:pt>
                <c:pt idx="57">
                  <c:v>0.63863579942980708</c:v>
                </c:pt>
                <c:pt idx="58">
                  <c:v>0.6493093806980601</c:v>
                </c:pt>
                <c:pt idx="59">
                  <c:v>0.65999944003056799</c:v>
                </c:pt>
                <c:pt idx="60">
                  <c:v>0.6707060167426151</c:v>
                </c:pt>
                <c:pt idx="61">
                  <c:v>0.68142915042218632</c:v>
                </c:pt>
                <c:pt idx="62">
                  <c:v>0.69216888093119877</c:v>
                </c:pt>
                <c:pt idx="63">
                  <c:v>0.70292524840674342</c:v>
                </c:pt>
                <c:pt idx="64">
                  <c:v>0.71369829326234335</c:v>
                </c:pt>
                <c:pt idx="65">
                  <c:v>0.72448805618921674</c:v>
                </c:pt>
                <c:pt idx="66">
                  <c:v>0.73529457815755817</c:v>
                </c:pt>
                <c:pt idx="67">
                  <c:v>0.74611790041782788</c:v>
                </c:pt>
                <c:pt idx="68">
                  <c:v>0.75695806450205294</c:v>
                </c:pt>
                <c:pt idx="69">
                  <c:v>0.76781511222514287</c:v>
                </c:pt>
                <c:pt idx="70">
                  <c:v>0.77868908568621475</c:v>
                </c:pt>
                <c:pt idx="71">
                  <c:v>0.7895800272699327</c:v>
                </c:pt>
                <c:pt idx="72">
                  <c:v>0.80048797964785723</c:v>
                </c:pt>
                <c:pt idx="73">
                  <c:v>0.81141298577980803</c:v>
                </c:pt>
                <c:pt idx="74">
                  <c:v>0.82235508891524189</c:v>
                </c:pt>
                <c:pt idx="75">
                  <c:v>0.83331433259463683</c:v>
                </c:pt>
                <c:pt idx="76">
                  <c:v>0.84429076065089514</c:v>
                </c:pt>
                <c:pt idx="77">
                  <c:v>0.85528441721075654</c:v>
                </c:pt>
                <c:pt idx="78">
                  <c:v>0.86629534669622199</c:v>
                </c:pt>
                <c:pt idx="79">
                  <c:v>0.87732359382599545</c:v>
                </c:pt>
                <c:pt idx="80">
                  <c:v>0.8883692036169335</c:v>
                </c:pt>
                <c:pt idx="81">
                  <c:v>0.89943222138551082</c:v>
                </c:pt>
                <c:pt idx="82">
                  <c:v>0.91051269274929947</c:v>
                </c:pt>
                <c:pt idx="83">
                  <c:v>0.92161066362845867</c:v>
                </c:pt>
                <c:pt idx="84">
                  <c:v>0.9327261802472393</c:v>
                </c:pt>
                <c:pt idx="85">
                  <c:v>0.94385928913550499</c:v>
                </c:pt>
                <c:pt idx="86">
                  <c:v>0.95501003713025978</c:v>
                </c:pt>
                <c:pt idx="87">
                  <c:v>0.96617847137719681</c:v>
                </c:pt>
                <c:pt idx="88">
                  <c:v>0.97736463933225703</c:v>
                </c:pt>
                <c:pt idx="89">
                  <c:v>0.98856858876319986</c:v>
                </c:pt>
                <c:pt idx="90">
                  <c:v>0.99979036775119412</c:v>
                </c:pt>
                <c:pt idx="91">
                  <c:v>1.0110300246924164</c:v>
                </c:pt>
                <c:pt idx="92">
                  <c:v>1.0222876082996681</c:v>
                </c:pt>
                <c:pt idx="93">
                  <c:v>1.0335631676040045</c:v>
                </c:pt>
                <c:pt idx="94">
                  <c:v>1.0448567519563787</c:v>
                </c:pt>
                <c:pt idx="95">
                  <c:v>1.056168411029301</c:v>
                </c:pt>
                <c:pt idx="96">
                  <c:v>1.0674981948185129</c:v>
                </c:pt>
                <c:pt idx="97">
                  <c:v>1.0788461536446741</c:v>
                </c:pt>
                <c:pt idx="98">
                  <c:v>1.0902123381550657</c:v>
                </c:pt>
                <c:pt idx="99">
                  <c:v>1.1201565785792069</c:v>
                </c:pt>
                <c:pt idx="100">
                  <c:v>1.1525439095577632</c:v>
                </c:pt>
              </c:numCache>
            </c:numRef>
          </c:val>
          <c:smooth val="0"/>
          <c:extLst>
            <c:ext xmlns:c16="http://schemas.microsoft.com/office/drawing/2014/chart" uri="{C3380CC4-5D6E-409C-BE32-E72D297353CC}">
              <c16:uniqueId val="{00000001-F8E4-4E87-B237-B7C8F7E9CC7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Calculations'!$BA$9:$BA$109</c:f>
              <c:numCache>
                <c:formatCode>0.000</c:formatCode>
                <c:ptCount val="101"/>
                <c:pt idx="0">
                  <c:v>0.24420547190139127</c:v>
                </c:pt>
                <c:pt idx="1">
                  <c:v>0.24421668666973384</c:v>
                </c:pt>
                <c:pt idx="2">
                  <c:v>0.24424580547637617</c:v>
                </c:pt>
                <c:pt idx="3">
                  <c:v>0.2442928285667576</c:v>
                </c:pt>
                <c:pt idx="4">
                  <c:v>0.24435775633724127</c:v>
                </c:pt>
                <c:pt idx="5">
                  <c:v>0.24444058933512219</c:v>
                </c:pt>
                <c:pt idx="6">
                  <c:v>0.24454132825863906</c:v>
                </c:pt>
                <c:pt idx="7">
                  <c:v>0.2446599739569888</c:v>
                </c:pt>
                <c:pt idx="8">
                  <c:v>0.24479652743034469</c:v>
                </c:pt>
                <c:pt idx="9">
                  <c:v>0.24495098982987706</c:v>
                </c:pt>
                <c:pt idx="10">
                  <c:v>0.24512336245777802</c:v>
                </c:pt>
                <c:pt idx="11">
                  <c:v>0.24531364676728853</c:v>
                </c:pt>
                <c:pt idx="12">
                  <c:v>0.24552184436272922</c:v>
                </c:pt>
                <c:pt idx="13">
                  <c:v>0.24574795699953408</c:v>
                </c:pt>
                <c:pt idx="14">
                  <c:v>0.2459919865842877</c:v>
                </c:pt>
                <c:pt idx="15">
                  <c:v>0.24625393517476515</c:v>
                </c:pt>
                <c:pt idx="16">
                  <c:v>0.24653380497997562</c:v>
                </c:pt>
                <c:pt idx="17">
                  <c:v>0.24683159836020896</c:v>
                </c:pt>
                <c:pt idx="18">
                  <c:v>0.24714731782708535</c:v>
                </c:pt>
                <c:pt idx="19">
                  <c:v>0.24748096604360831</c:v>
                </c:pt>
                <c:pt idx="20">
                  <c:v>0.2478325458242209</c:v>
                </c:pt>
                <c:pt idx="21">
                  <c:v>0.24820206013486526</c:v>
                </c:pt>
                <c:pt idx="22">
                  <c:v>0.24858951209304475</c:v>
                </c:pt>
                <c:pt idx="23">
                  <c:v>0.24899490496789006</c:v>
                </c:pt>
                <c:pt idx="24">
                  <c:v>0.24941824218022832</c:v>
                </c:pt>
                <c:pt idx="25">
                  <c:v>0.24985952730265487</c:v>
                </c:pt>
                <c:pt idx="26">
                  <c:v>0.25031876405960901</c:v>
                </c:pt>
                <c:pt idx="27">
                  <c:v>0.25079595632745255</c:v>
                </c:pt>
                <c:pt idx="28">
                  <c:v>0.25129110813455174</c:v>
                </c:pt>
                <c:pt idx="29">
                  <c:v>0.25180422366136201</c:v>
                </c:pt>
                <c:pt idx="30">
                  <c:v>0.25233530724051673</c:v>
                </c:pt>
                <c:pt idx="31">
                  <c:v>0.25288436335691827</c:v>
                </c:pt>
                <c:pt idx="32">
                  <c:v>0.25345139664783339</c:v>
                </c:pt>
                <c:pt idx="33">
                  <c:v>0.25403641190299053</c:v>
                </c:pt>
                <c:pt idx="34">
                  <c:v>0.25463941406468144</c:v>
                </c:pt>
                <c:pt idx="35">
                  <c:v>0.25526040822786583</c:v>
                </c:pt>
                <c:pt idx="36">
                  <c:v>0.25589939964027864</c:v>
                </c:pt>
                <c:pt idx="37">
                  <c:v>0.25655639370254135</c:v>
                </c:pt>
                <c:pt idx="38">
                  <c:v>0.25723139596827632</c:v>
                </c:pt>
                <c:pt idx="39">
                  <c:v>0.25792441214422385</c:v>
                </c:pt>
                <c:pt idx="40">
                  <c:v>0.25863544809036343</c:v>
                </c:pt>
                <c:pt idx="41">
                  <c:v>0.25936450982003761</c:v>
                </c:pt>
                <c:pt idx="42">
                  <c:v>0.26011160350007934</c:v>
                </c:pt>
                <c:pt idx="43">
                  <c:v>0.26087673545094242</c:v>
                </c:pt>
                <c:pt idx="44">
                  <c:v>0.26165991214683559</c:v>
                </c:pt>
                <c:pt idx="45">
                  <c:v>0.26246114021585992</c:v>
                </c:pt>
                <c:pt idx="46">
                  <c:v>0.2632804264401486</c:v>
                </c:pt>
                <c:pt idx="47">
                  <c:v>0.26411777775601147</c:v>
                </c:pt>
                <c:pt idx="48">
                  <c:v>0.26497320125408169</c:v>
                </c:pt>
                <c:pt idx="49">
                  <c:v>0.26584670417946643</c:v>
                </c:pt>
                <c:pt idx="50">
                  <c:v>0.26673829393190029</c:v>
                </c:pt>
                <c:pt idx="51">
                  <c:v>0.26764797806590268</c:v>
                </c:pt>
                <c:pt idx="52">
                  <c:v>0.26857576429093788</c:v>
                </c:pt>
                <c:pt idx="53">
                  <c:v>0.26952166047157899</c:v>
                </c:pt>
                <c:pt idx="54">
                  <c:v>0.27048567462767509</c:v>
                </c:pt>
                <c:pt idx="55">
                  <c:v>0.27146781493452155</c:v>
                </c:pt>
                <c:pt idx="56">
                  <c:v>0.27246808972303366</c:v>
                </c:pt>
                <c:pt idx="57">
                  <c:v>0.27348650747992409</c:v>
                </c:pt>
                <c:pt idx="58">
                  <c:v>0.27452307684788324</c:v>
                </c:pt>
                <c:pt idx="59">
                  <c:v>0.2755778066257632</c:v>
                </c:pt>
                <c:pt idx="60">
                  <c:v>0.27665070576876505</c:v>
                </c:pt>
                <c:pt idx="61">
                  <c:v>0.27774178338862959</c:v>
                </c:pt>
                <c:pt idx="62">
                  <c:v>0.27885104875383132</c:v>
                </c:pt>
                <c:pt idx="63">
                  <c:v>0.27997851128977613</c:v>
                </c:pt>
                <c:pt idx="64">
                  <c:v>0.28112418057900207</c:v>
                </c:pt>
                <c:pt idx="65">
                  <c:v>0.28228806636138354</c:v>
                </c:pt>
                <c:pt idx="66">
                  <c:v>0.28347017853433987</c:v>
                </c:pt>
                <c:pt idx="67">
                  <c:v>0.28467052715304542</c:v>
                </c:pt>
                <c:pt idx="68">
                  <c:v>0.28588912243064518</c:v>
                </c:pt>
                <c:pt idx="69">
                  <c:v>0.28712597473847223</c:v>
                </c:pt>
                <c:pt idx="70">
                  <c:v>0.28838109460627009</c:v>
                </c:pt>
                <c:pt idx="71">
                  <c:v>0.28965449272241711</c:v>
                </c:pt>
                <c:pt idx="72">
                  <c:v>0.29094617993415556</c:v>
                </c:pt>
                <c:pt idx="73">
                  <c:v>0.29225616724782316</c:v>
                </c:pt>
                <c:pt idx="74">
                  <c:v>0.29358446582908931</c:v>
                </c:pt>
                <c:pt idx="75">
                  <c:v>0.29493108700319381</c:v>
                </c:pt>
                <c:pt idx="76">
                  <c:v>0.29629604225518935</c:v>
                </c:pt>
                <c:pt idx="77">
                  <c:v>0.29767934323018813</c:v>
                </c:pt>
                <c:pt idx="78">
                  <c:v>0.29908100173361091</c:v>
                </c:pt>
                <c:pt idx="79">
                  <c:v>0.30050102973144094</c:v>
                </c:pt>
                <c:pt idx="80">
                  <c:v>0.30193943935048029</c:v>
                </c:pt>
                <c:pt idx="81">
                  <c:v>0.30339624287861039</c:v>
                </c:pt>
                <c:pt idx="82">
                  <c:v>0.30487145276505617</c:v>
                </c:pt>
                <c:pt idx="83">
                  <c:v>0.3063650816206534</c:v>
                </c:pt>
                <c:pt idx="84">
                  <c:v>0.30787714221811985</c:v>
                </c:pt>
                <c:pt idx="85">
                  <c:v>0.3094076474923303</c:v>
                </c:pt>
                <c:pt idx="86">
                  <c:v>0.31095661054059465</c:v>
                </c:pt>
                <c:pt idx="87">
                  <c:v>0.31252404462294053</c:v>
                </c:pt>
                <c:pt idx="88">
                  <c:v>0.31410996316239848</c:v>
                </c:pt>
                <c:pt idx="89">
                  <c:v>0.31571437974529121</c:v>
                </c:pt>
                <c:pt idx="90">
                  <c:v>0.31733730812152744</c:v>
                </c:pt>
                <c:pt idx="91">
                  <c:v>0.31897876220489779</c:v>
                </c:pt>
                <c:pt idx="92">
                  <c:v>0.32063875607337577</c:v>
                </c:pt>
                <c:pt idx="93">
                  <c:v>0.32231730396942176</c:v>
                </c:pt>
                <c:pt idx="94">
                  <c:v>0.32401442030029054</c:v>
                </c:pt>
                <c:pt idx="95">
                  <c:v>0.32573011963834353</c:v>
                </c:pt>
                <c:pt idx="96">
                  <c:v>0.32746441672136362</c:v>
                </c:pt>
                <c:pt idx="97">
                  <c:v>0.3292173264528746</c:v>
                </c:pt>
                <c:pt idx="98">
                  <c:v>0.33098886390246396</c:v>
                </c:pt>
                <c:pt idx="99">
                  <c:v>0.33277904430610922</c:v>
                </c:pt>
                <c:pt idx="100">
                  <c:v>0.33458788306650922</c:v>
                </c:pt>
              </c:numCache>
            </c:numRef>
          </c:val>
          <c:smooth val="0"/>
          <c:extLst>
            <c:ext xmlns:c16="http://schemas.microsoft.com/office/drawing/2014/chart" uri="{C3380CC4-5D6E-409C-BE32-E72D297353CC}">
              <c16:uniqueId val="{00000002-F8E4-4E87-B237-B7C8F7E9CC7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'Efficiency Calculations'!$BD$9:$BD$109</c:f>
              <c:numCache>
                <c:formatCode>0.000</c:formatCode>
                <c:ptCount val="101"/>
                <c:pt idx="0">
                  <c:v>5.9286669565583698E-2</c:v>
                </c:pt>
                <c:pt idx="1">
                  <c:v>6.277409168175227E-2</c:v>
                </c:pt>
                <c:pt idx="2">
                  <c:v>6.6277344349446876E-2</c:v>
                </c:pt>
                <c:pt idx="3">
                  <c:v>6.9796428553525663E-2</c:v>
                </c:pt>
                <c:pt idx="4">
                  <c:v>7.3331345521201075E-2</c:v>
                </c:pt>
                <c:pt idx="5">
                  <c:v>7.6882096722061491E-2</c:v>
                </c:pt>
                <c:pt idx="6">
                  <c:v>8.0448683868102416E-2</c:v>
                </c:pt>
                <c:pt idx="7">
                  <c:v>8.4031108913766792E-2</c:v>
                </c:pt>
                <c:pt idx="8">
                  <c:v>8.7629374055994524E-2</c:v>
                </c:pt>
                <c:pt idx="9">
                  <c:v>9.1243481734281262E-2</c:v>
                </c:pt>
                <c:pt idx="10">
                  <c:v>9.4873434630746836E-2</c:v>
                </c:pt>
                <c:pt idx="11">
                  <c:v>9.8519235670212452E-2</c:v>
                </c:pt>
                <c:pt idx="12">
                  <c:v>0.10218088802028746</c:v>
                </c:pt>
                <c:pt idx="13">
                  <c:v>0.10585839509146561</c:v>
                </c:pt>
                <c:pt idx="14">
                  <c:v>0.10955176053723004</c:v>
                </c:pt>
                <c:pt idx="15">
                  <c:v>0.1132609882541683</c:v>
                </c:pt>
                <c:pt idx="16">
                  <c:v>0.1169860823820961</c:v>
                </c:pt>
                <c:pt idx="17">
                  <c:v>0.12072704730419065</c:v>
                </c:pt>
                <c:pt idx="18">
                  <c:v>0.12448388764713339</c:v>
                </c:pt>
                <c:pt idx="19">
                  <c:v>0.1282566082812619</c:v>
                </c:pt>
                <c:pt idx="20">
                  <c:v>0.13204521432073127</c:v>
                </c:pt>
                <c:pt idx="21">
                  <c:v>0.13584971112368482</c:v>
                </c:pt>
                <c:pt idx="22">
                  <c:v>0.13967010429243409</c:v>
                </c:pt>
                <c:pt idx="23">
                  <c:v>0.14350639967364842</c:v>
                </c:pt>
                <c:pt idx="24">
                  <c:v>0.147358603358554</c:v>
                </c:pt>
                <c:pt idx="25">
                  <c:v>0.15122672168314161</c:v>
                </c:pt>
                <c:pt idx="26">
                  <c:v>0.15511076122838491</c:v>
                </c:pt>
                <c:pt idx="27">
                  <c:v>0.15901072882046741</c:v>
                </c:pt>
                <c:pt idx="28">
                  <c:v>0.16292663153101899</c:v>
                </c:pt>
                <c:pt idx="29">
                  <c:v>0.16685847667736214</c:v>
                </c:pt>
                <c:pt idx="30">
                  <c:v>0.17080627182276742</c:v>
                </c:pt>
                <c:pt idx="31">
                  <c:v>0.17477002477671871</c:v>
                </c:pt>
                <c:pt idx="32">
                  <c:v>0.17874974359518769</c:v>
                </c:pt>
                <c:pt idx="33">
                  <c:v>0.18274543658091819</c:v>
                </c:pt>
                <c:pt idx="34">
                  <c:v>0.18675711228371986</c:v>
                </c:pt>
                <c:pt idx="35">
                  <c:v>0.1907847795007713</c:v>
                </c:pt>
                <c:pt idx="36">
                  <c:v>0.19482844727693324</c:v>
                </c:pt>
                <c:pt idx="37">
                  <c:v>0.19888812490507116</c:v>
                </c:pt>
                <c:pt idx="38">
                  <c:v>0.20296382192638721</c:v>
                </c:pt>
                <c:pt idx="39">
                  <c:v>0.20705554813076232</c:v>
                </c:pt>
                <c:pt idx="40">
                  <c:v>0.2111633135571078</c:v>
                </c:pt>
                <c:pt idx="41">
                  <c:v>0.21528712849372639</c:v>
                </c:pt>
                <c:pt idx="42">
                  <c:v>0.21942700347868377</c:v>
                </c:pt>
                <c:pt idx="43">
                  <c:v>0.22358294930018882</c:v>
                </c:pt>
                <c:pt idx="44">
                  <c:v>0.22775497699698477</c:v>
                </c:pt>
                <c:pt idx="45">
                  <c:v>0.23194309785874939</c:v>
                </c:pt>
                <c:pt idx="46">
                  <c:v>0.23614732342650518</c:v>
                </c:pt>
                <c:pt idx="47">
                  <c:v>0.24036766549304003</c:v>
                </c:pt>
                <c:pt idx="48">
                  <c:v>0.24460413610333667</c:v>
                </c:pt>
                <c:pt idx="49">
                  <c:v>0.2488567475550133</c:v>
                </c:pt>
                <c:pt idx="50">
                  <c:v>0.25312551239877329</c:v>
                </c:pt>
                <c:pt idx="51">
                  <c:v>0.25741044343886532</c:v>
                </c:pt>
                <c:pt idx="52">
                  <c:v>0.26171155373355343</c:v>
                </c:pt>
                <c:pt idx="53">
                  <c:v>0.26602885659559705</c:v>
                </c:pt>
                <c:pt idx="54">
                  <c:v>0.27036236559274152</c:v>
                </c:pt>
                <c:pt idx="55">
                  <c:v>0.2747120945482181</c:v>
                </c:pt>
                <c:pt idx="56">
                  <c:v>0.27907805754125498</c:v>
                </c:pt>
                <c:pt idx="57">
                  <c:v>0.28346026890759746</c:v>
                </c:pt>
                <c:pt idx="58">
                  <c:v>0.28785874324003946</c:v>
                </c:pt>
                <c:pt idx="59">
                  <c:v>0.29227349538896485</c:v>
                </c:pt>
                <c:pt idx="60">
                  <c:v>0.29670454046289851</c:v>
                </c:pt>
                <c:pt idx="61">
                  <c:v>0.30115189382906904</c:v>
                </c:pt>
                <c:pt idx="62">
                  <c:v>0.30561557111398063</c:v>
                </c:pt>
                <c:pt idx="63">
                  <c:v>0.31009558820399608</c:v>
                </c:pt>
                <c:pt idx="64">
                  <c:v>0.31459196124593047</c:v>
                </c:pt>
                <c:pt idx="65">
                  <c:v>0.31910470664765406</c:v>
                </c:pt>
                <c:pt idx="66">
                  <c:v>0.32363384107870791</c:v>
                </c:pt>
                <c:pt idx="67">
                  <c:v>0.32817938147092823</c:v>
                </c:pt>
                <c:pt idx="68">
                  <c:v>0.33274134501908192</c:v>
                </c:pt>
                <c:pt idx="69">
                  <c:v>0.33731974918151375</c:v>
                </c:pt>
                <c:pt idx="70">
                  <c:v>0.34191461168080256</c:v>
                </c:pt>
                <c:pt idx="71">
                  <c:v>0.34652595050443014</c:v>
                </c:pt>
                <c:pt idx="72">
                  <c:v>0.35115378390545959</c:v>
                </c:pt>
                <c:pt idx="73">
                  <c:v>0.35579813040322461</c:v>
                </c:pt>
                <c:pt idx="74">
                  <c:v>0.36045900878403131</c:v>
                </c:pt>
                <c:pt idx="75">
                  <c:v>0.36513643810186874</c:v>
                </c:pt>
                <c:pt idx="76">
                  <c:v>0.36983043767913204</c:v>
                </c:pt>
                <c:pt idx="77">
                  <c:v>0.37454102710735671</c:v>
                </c:pt>
                <c:pt idx="78">
                  <c:v>0.37926822624796247</c:v>
                </c:pt>
                <c:pt idx="79">
                  <c:v>0.38401205523301085</c:v>
                </c:pt>
                <c:pt idx="80">
                  <c:v>0.38877253446597132</c:v>
                </c:pt>
                <c:pt idx="81">
                  <c:v>0.39354968462250073</c:v>
                </c:pt>
                <c:pt idx="82">
                  <c:v>0.39834352665123368</c:v>
                </c:pt>
                <c:pt idx="83">
                  <c:v>0.40315408177458367</c:v>
                </c:pt>
                <c:pt idx="84">
                  <c:v>0.40798137148955577</c:v>
                </c:pt>
                <c:pt idx="85">
                  <c:v>0.41282541756857261</c:v>
                </c:pt>
                <c:pt idx="86">
                  <c:v>0.41768624206030935</c:v>
                </c:pt>
                <c:pt idx="87">
                  <c:v>0.42256386729054174</c:v>
                </c:pt>
                <c:pt idx="88">
                  <c:v>0.42745831586300698</c:v>
                </c:pt>
                <c:pt idx="89">
                  <c:v>0.43236961066027335</c:v>
                </c:pt>
                <c:pt idx="90">
                  <c:v>0.43729777484462495</c:v>
                </c:pt>
                <c:pt idx="91">
                  <c:v>0.44224283185895652</c:v>
                </c:pt>
                <c:pt idx="92">
                  <c:v>0.44720480542768054</c:v>
                </c:pt>
                <c:pt idx="93">
                  <c:v>0.45218371955764702</c:v>
                </c:pt>
                <c:pt idx="94">
                  <c:v>0.45717959853907408</c:v>
                </c:pt>
                <c:pt idx="95">
                  <c:v>0.46219246694649263</c:v>
                </c:pt>
                <c:pt idx="96">
                  <c:v>0.46722234963970155</c:v>
                </c:pt>
                <c:pt idx="97">
                  <c:v>0.47226927176473676</c:v>
                </c:pt>
                <c:pt idx="98">
                  <c:v>0.47733325875485111</c:v>
                </c:pt>
                <c:pt idx="99">
                  <c:v>0.48241433633150754</c:v>
                </c:pt>
                <c:pt idx="100">
                  <c:v>0.4875125305053859</c:v>
                </c:pt>
              </c:numCache>
            </c:numRef>
          </c:val>
          <c:smooth val="0"/>
          <c:extLst>
            <c:ext xmlns:c16="http://schemas.microsoft.com/office/drawing/2014/chart" uri="{C3380CC4-5D6E-409C-BE32-E72D297353CC}">
              <c16:uniqueId val="{00000003-F8E4-4E87-B237-B7C8F7E9CC7F}"/>
            </c:ext>
          </c:extLst>
        </c:ser>
        <c:dLbls>
          <c:showLegendKey val="0"/>
          <c:showVal val="0"/>
          <c:showCatName val="0"/>
          <c:showSerName val="0"/>
          <c:showPercent val="0"/>
          <c:showBubbleSize val="0"/>
        </c:dLbls>
        <c:marker val="1"/>
        <c:smooth val="0"/>
        <c:axId val="334234752"/>
        <c:axId val="44563456"/>
      </c:lineChart>
      <c:catAx>
        <c:axId val="4454707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44561536"/>
        <c:crosses val="autoZero"/>
        <c:auto val="1"/>
        <c:lblAlgn val="ctr"/>
        <c:lblOffset val="100"/>
        <c:tickLblSkip val="20"/>
        <c:tickMarkSkip val="20"/>
        <c:noMultiLvlLbl val="1"/>
      </c:catAx>
      <c:valAx>
        <c:axId val="445615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44547072"/>
        <c:crosses val="autoZero"/>
        <c:crossBetween val="between"/>
        <c:majorUnit val="5"/>
        <c:minorUnit val="2.5"/>
      </c:valAx>
      <c:valAx>
        <c:axId val="445634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234752"/>
        <c:crosses val="max"/>
        <c:crossBetween val="between"/>
      </c:valAx>
      <c:catAx>
        <c:axId val="334234752"/>
        <c:scaling>
          <c:orientation val="minMax"/>
        </c:scaling>
        <c:delete val="1"/>
        <c:axPos val="b"/>
        <c:numFmt formatCode="0.000" sourceLinked="1"/>
        <c:majorTickMark val="out"/>
        <c:minorTickMark val="none"/>
        <c:tickLblPos val="nextTo"/>
        <c:crossAx val="445634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multiLvlStrRef>
              <c:f>#REF!</c:f>
            </c:multiLvlStrRef>
          </c:cat>
          <c:val>
            <c:numRef>
              <c:f>#REF!</c:f>
              <c:numCache>
                <c:formatCode>General</c:formatCode>
                <c:ptCount val="1"/>
                <c:pt idx="0">
                  <c:v>1</c:v>
                </c:pt>
              </c:numCache>
            </c:numRef>
          </c:val>
          <c:smooth val="0"/>
          <c:extLst>
            <c:ext xmlns:c16="http://schemas.microsoft.com/office/drawing/2014/chart" uri="{C3380CC4-5D6E-409C-BE32-E72D297353CC}">
              <c16:uniqueId val="{00000000-7A01-4C6E-8131-226BA8336B2F}"/>
            </c:ext>
          </c:extLst>
        </c:ser>
        <c:dLbls>
          <c:showLegendKey val="0"/>
          <c:showVal val="0"/>
          <c:showCatName val="0"/>
          <c:showSerName val="0"/>
          <c:showPercent val="0"/>
          <c:showBubbleSize val="0"/>
        </c:dLbls>
        <c:marker val="1"/>
        <c:smooth val="0"/>
        <c:axId val="334288768"/>
        <c:axId val="3342991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1-7A01-4C6E-8131-226BA8336B2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2-7A01-4C6E-8131-226BA8336B2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c:v>
                </c:pt>
                <c:pt idx="41">
                  <c:v>2.0499999999999998</c:v>
                </c:pt>
                <c:pt idx="42">
                  <c:v>2.1</c:v>
                </c:pt>
                <c:pt idx="43">
                  <c:v>2.15</c:v>
                </c:pt>
                <c:pt idx="44">
                  <c:v>2.2000000000000002</c:v>
                </c:pt>
                <c:pt idx="45">
                  <c:v>2.25</c:v>
                </c:pt>
                <c:pt idx="46">
                  <c:v>2.2999999999999998</c:v>
                </c:pt>
                <c:pt idx="47">
                  <c:v>2.35</c:v>
                </c:pt>
                <c:pt idx="48">
                  <c:v>2.4</c:v>
                </c:pt>
                <c:pt idx="49">
                  <c:v>2.4500000000000002</c:v>
                </c:pt>
                <c:pt idx="50">
                  <c:v>2.5</c:v>
                </c:pt>
                <c:pt idx="51">
                  <c:v>2.5499999999999998</c:v>
                </c:pt>
                <c:pt idx="52">
                  <c:v>2.6</c:v>
                </c:pt>
                <c:pt idx="53">
                  <c:v>2.65</c:v>
                </c:pt>
                <c:pt idx="54">
                  <c:v>2.7</c:v>
                </c:pt>
                <c:pt idx="55">
                  <c:v>2.75</c:v>
                </c:pt>
                <c:pt idx="56">
                  <c:v>2.8</c:v>
                </c:pt>
                <c:pt idx="57">
                  <c:v>2.85</c:v>
                </c:pt>
                <c:pt idx="58">
                  <c:v>2.9</c:v>
                </c:pt>
                <c:pt idx="59">
                  <c:v>2.95</c:v>
                </c:pt>
                <c:pt idx="60">
                  <c:v>3</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c:v>
                </c:pt>
                <c:pt idx="81">
                  <c:v>4.05</c:v>
                </c:pt>
                <c:pt idx="82">
                  <c:v>4.0999999999999996</c:v>
                </c:pt>
                <c:pt idx="83">
                  <c:v>4.1500000000000004</c:v>
                </c:pt>
                <c:pt idx="84">
                  <c:v>4.2</c:v>
                </c:pt>
                <c:pt idx="85">
                  <c:v>4.25</c:v>
                </c:pt>
                <c:pt idx="86">
                  <c:v>4.3</c:v>
                </c:pt>
                <c:pt idx="87">
                  <c:v>4.3499999999999996</c:v>
                </c:pt>
                <c:pt idx="88">
                  <c:v>4.4000000000000004</c:v>
                </c:pt>
                <c:pt idx="89">
                  <c:v>4.45</c:v>
                </c:pt>
                <c:pt idx="90">
                  <c:v>4.5</c:v>
                </c:pt>
                <c:pt idx="91">
                  <c:v>4.55</c:v>
                </c:pt>
                <c:pt idx="92">
                  <c:v>4.5999999999999996</c:v>
                </c:pt>
                <c:pt idx="93">
                  <c:v>4.6500000000000004</c:v>
                </c:pt>
                <c:pt idx="94">
                  <c:v>4.7</c:v>
                </c:pt>
                <c:pt idx="95">
                  <c:v>4.75</c:v>
                </c:pt>
                <c:pt idx="96">
                  <c:v>4.8</c:v>
                </c:pt>
                <c:pt idx="97">
                  <c:v>4.8499999999999996</c:v>
                </c:pt>
                <c:pt idx="98">
                  <c:v>4.9000000000000004</c:v>
                </c:pt>
                <c:pt idx="99">
                  <c:v>4.95</c:v>
                </c:pt>
                <c:pt idx="100">
                  <c:v>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3-7A01-4C6E-8131-226BA8336B2F}"/>
            </c:ext>
          </c:extLst>
        </c:ser>
        <c:dLbls>
          <c:showLegendKey val="0"/>
          <c:showVal val="0"/>
          <c:showCatName val="0"/>
          <c:showSerName val="0"/>
          <c:showPercent val="0"/>
          <c:showBubbleSize val="0"/>
        </c:dLbls>
        <c:marker val="1"/>
        <c:smooth val="0"/>
        <c:axId val="334307328"/>
        <c:axId val="334301056"/>
      </c:lineChart>
      <c:catAx>
        <c:axId val="334288768"/>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34299136"/>
        <c:crosses val="autoZero"/>
        <c:auto val="1"/>
        <c:lblAlgn val="ctr"/>
        <c:lblOffset val="100"/>
        <c:tickLblSkip val="20"/>
        <c:tickMarkSkip val="20"/>
        <c:noMultiLvlLbl val="1"/>
      </c:catAx>
      <c:valAx>
        <c:axId val="3342991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4288768"/>
        <c:crosses val="autoZero"/>
        <c:crossBetween val="between"/>
        <c:majorUnit val="5"/>
        <c:minorUnit val="2.5"/>
      </c:valAx>
      <c:valAx>
        <c:axId val="3343010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307328"/>
        <c:crosses val="max"/>
        <c:crossBetween val="between"/>
      </c:valAx>
      <c:catAx>
        <c:axId val="334307328"/>
        <c:scaling>
          <c:orientation val="minMax"/>
        </c:scaling>
        <c:delete val="1"/>
        <c:axPos val="b"/>
        <c:numFmt formatCode="0.000" sourceLinked="1"/>
        <c:majorTickMark val="out"/>
        <c:minorTickMark val="none"/>
        <c:tickLblPos val="nextTo"/>
        <c:crossAx val="3343010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50"/>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1"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power" TargetMode="External"/><Relationship Id="rId5" Type="http://schemas.openxmlformats.org/officeDocument/2006/relationships/image" Target="../media/image4.png"/><Relationship Id="rId4" Type="http://schemas.openxmlformats.org/officeDocument/2006/relationships/hyperlink" Target="http://www.ti.com/product/lm5148-q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6.xml.rels><?xml version="1.0" encoding="UTF-8" standalone="yes"?>
<Relationships xmlns="http://schemas.openxmlformats.org/package/2006/relationships"><Relationship Id="rId2" Type="http://schemas.openxmlformats.org/officeDocument/2006/relationships/image" Target="../media/image26.jpg"/><Relationship Id="rId1" Type="http://schemas.openxmlformats.org/officeDocument/2006/relationships/image" Target="../media/image25.png"/></Relationships>
</file>

<file path=xl/drawings/_rels/drawing7.x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30.emf"/></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70</xdr:row>
          <xdr:rowOff>76200</xdr:rowOff>
        </xdr:from>
        <xdr:to>
          <xdr:col>2</xdr:col>
          <xdr:colOff>895350</xdr:colOff>
          <xdr:row>72</xdr:row>
          <xdr:rowOff>133350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323850</xdr:colOff>
          <xdr:row>70</xdr:row>
          <xdr:rowOff>76200</xdr:rowOff>
        </xdr:from>
        <xdr:to>
          <xdr:col>2</xdr:col>
          <xdr:colOff>895350</xdr:colOff>
          <xdr:row>72</xdr:row>
          <xdr:rowOff>133350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5476875</xdr:colOff>
          <xdr:row>0</xdr:row>
          <xdr:rowOff>171450</xdr:rowOff>
        </xdr:from>
        <xdr:to>
          <xdr:col>15</xdr:col>
          <xdr:colOff>5857875</xdr:colOff>
          <xdr:row>0</xdr:row>
          <xdr:rowOff>419100</xdr:rowOff>
        </xdr:to>
        <xdr:sp macro="" textlink="">
          <xdr:nvSpPr>
            <xdr:cNvPr id="809785" name="Drop Down 7993" hidden="1">
              <a:extLst>
                <a:ext uri="{63B3BB69-23CF-44E3-9099-C40C66FF867C}">
                  <a14:compatExt spid="_x0000_s809785"/>
                </a:ext>
                <a:ext uri="{FF2B5EF4-FFF2-40B4-BE49-F238E27FC236}">
                  <a16:creationId xmlns:a16="http://schemas.microsoft.com/office/drawing/2014/main" id="{00000000-0008-0000-0000-0000395B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228877</xdr:colOff>
          <xdr:row>42</xdr:row>
          <xdr:rowOff>16188</xdr:rowOff>
        </xdr:from>
        <xdr:to>
          <xdr:col>15</xdr:col>
          <xdr:colOff>3999951</xdr:colOff>
          <xdr:row>70</xdr:row>
          <xdr:rowOff>163416</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843554"/>
                </a:ext>
              </a:extLst>
            </xdr:cNvPicPr>
          </xdr:nvPicPr>
          <xdr:blipFill>
            <a:blip xmlns:r="http://schemas.openxmlformats.org/officeDocument/2006/relationships" r:embed="rId1"/>
            <a:srcRect/>
            <a:stretch>
              <a:fillRect/>
            </a:stretch>
          </xdr:blipFill>
          <xdr:spPr bwMode="auto">
            <a:xfrm>
              <a:off x="4938037" y="8268648"/>
              <a:ext cx="8617394" cy="53974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270920</xdr:colOff>
          <xdr:row>76</xdr:row>
          <xdr:rowOff>124506</xdr:rowOff>
        </xdr:from>
        <xdr:to>
          <xdr:col>15</xdr:col>
          <xdr:colOff>5414862</xdr:colOff>
          <xdr:row>105</xdr:row>
          <xdr:rowOff>65295</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843555"/>
                </a:ext>
              </a:extLst>
            </xdr:cNvPicPr>
          </xdr:nvPicPr>
          <xdr:blipFill>
            <a:blip xmlns:r="http://schemas.openxmlformats.org/officeDocument/2006/relationships" r:embed="rId2"/>
            <a:srcRect/>
            <a:stretch>
              <a:fillRect/>
            </a:stretch>
          </xdr:blipFill>
          <xdr:spPr bwMode="auto">
            <a:xfrm>
              <a:off x="5891791" y="14943165"/>
              <a:ext cx="9088412" cy="5418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9</xdr:col>
      <xdr:colOff>265485</xdr:colOff>
      <xdr:row>63</xdr:row>
      <xdr:rowOff>155416</xdr:rowOff>
    </xdr:from>
    <xdr:to>
      <xdr:col>12</xdr:col>
      <xdr:colOff>496584</xdr:colOff>
      <xdr:row>65</xdr:row>
      <xdr:rowOff>40450</xdr:rowOff>
    </xdr:to>
    <xdr:sp macro="" textlink="'Variable Management'!A424">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5848867" y="12472107"/>
          <a:ext cx="2226153" cy="27296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39kHz</a:t>
          </a:fld>
          <a:endParaRPr lang="en-US" sz="1100" b="1" i="0" u="none" strike="noStrike" baseline="0">
            <a:solidFill>
              <a:srgbClr val="FF0000"/>
            </a:solidFill>
            <a:latin typeface="Arial"/>
            <a:cs typeface="Arial"/>
          </a:endParaRPr>
        </a:p>
      </xdr:txBody>
    </xdr:sp>
    <xdr:clientData/>
  </xdr:twoCellAnchor>
  <xdr:twoCellAnchor>
    <xdr:from>
      <xdr:col>9</xdr:col>
      <xdr:colOff>278598</xdr:colOff>
      <xdr:row>65</xdr:row>
      <xdr:rowOff>8066</xdr:rowOff>
    </xdr:from>
    <xdr:to>
      <xdr:col>11</xdr:col>
      <xdr:colOff>547251</xdr:colOff>
      <xdr:row>66</xdr:row>
      <xdr:rowOff>113718</xdr:rowOff>
    </xdr:to>
    <xdr:sp macro="" textlink="'Variable Management'!A425">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5861980" y="12712684"/>
          <a:ext cx="1640253" cy="299616"/>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63°</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19050</xdr:colOff>
          <xdr:row>62</xdr:row>
          <xdr:rowOff>0</xdr:rowOff>
        </xdr:from>
        <xdr:to>
          <xdr:col>5</xdr:col>
          <xdr:colOff>180975</xdr:colOff>
          <xdr:row>62</xdr:row>
          <xdr:rowOff>180975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6</xdr:row>
          <xdr:rowOff>19050</xdr:rowOff>
        </xdr:from>
        <xdr:to>
          <xdr:col>5</xdr:col>
          <xdr:colOff>304800</xdr:colOff>
          <xdr:row>7</xdr:row>
          <xdr:rowOff>19050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50</xdr:row>
          <xdr:rowOff>57150</xdr:rowOff>
        </xdr:from>
        <xdr:to>
          <xdr:col>3</xdr:col>
          <xdr:colOff>447675</xdr:colOff>
          <xdr:row>51</xdr:row>
          <xdr:rowOff>133350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233354</xdr:colOff>
          <xdr:row>5</xdr:row>
          <xdr:rowOff>3569</xdr:rowOff>
        </xdr:from>
        <xdr:to>
          <xdr:col>15</xdr:col>
          <xdr:colOff>4080910</xdr:colOff>
          <xdr:row>30</xdr:row>
          <xdr:rowOff>80952</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843556"/>
                </a:ext>
              </a:extLst>
            </xdr:cNvPicPr>
          </xdr:nvPicPr>
          <xdr:blipFill>
            <a:blip xmlns:r="http://schemas.openxmlformats.org/officeDocument/2006/relationships" r:embed="rId3"/>
            <a:srcRect/>
            <a:stretch>
              <a:fillRect/>
            </a:stretch>
          </xdr:blipFill>
          <xdr:spPr bwMode="auto">
            <a:xfrm>
              <a:off x="4823283" y="1411028"/>
              <a:ext cx="8580921" cy="4909359"/>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oneCell">
    <xdr:from>
      <xdr:col>15</xdr:col>
      <xdr:colOff>3485611</xdr:colOff>
      <xdr:row>32</xdr:row>
      <xdr:rowOff>34869</xdr:rowOff>
    </xdr:from>
    <xdr:to>
      <xdr:col>15</xdr:col>
      <xdr:colOff>5756269</xdr:colOff>
      <xdr:row>40</xdr:row>
      <xdr:rowOff>80277</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792897" y="6424783"/>
          <a:ext cx="2274468" cy="1466266"/>
        </a:xfrm>
        <a:prstGeom prst="rect">
          <a:avLst/>
        </a:prstGeom>
      </xdr:spPr>
    </xdr:pic>
    <xdr:clientData/>
  </xdr:twoCellAnchor>
  <xdr:twoCellAnchor editAs="oneCell">
    <xdr:from>
      <xdr:col>15</xdr:col>
      <xdr:colOff>4051935</xdr:colOff>
      <xdr:row>0</xdr:row>
      <xdr:rowOff>0</xdr:rowOff>
    </xdr:from>
    <xdr:to>
      <xdr:col>16</xdr:col>
      <xdr:colOff>1904</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57860" y="0"/>
          <a:ext cx="1882139" cy="1158240"/>
        </a:xfrm>
        <a:prstGeom prst="rect">
          <a:avLst/>
        </a:prstGeom>
      </xdr:spPr>
    </xdr:pic>
    <xdr:clientData/>
  </xdr:twoCellAnchor>
  <xdr:twoCellAnchor editAs="oneCell">
    <xdr:from>
      <xdr:col>0</xdr:col>
      <xdr:colOff>9525</xdr:colOff>
      <xdr:row>0</xdr:row>
      <xdr:rowOff>9525</xdr:rowOff>
    </xdr:from>
    <xdr:to>
      <xdr:col>3</xdr:col>
      <xdr:colOff>148590</xdr:colOff>
      <xdr:row>1</xdr:row>
      <xdr:rowOff>3463</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66675</xdr:colOff>
          <xdr:row>50</xdr:row>
          <xdr:rowOff>57150</xdr:rowOff>
        </xdr:from>
        <xdr:to>
          <xdr:col>5</xdr:col>
          <xdr:colOff>333375</xdr:colOff>
          <xdr:row>51</xdr:row>
          <xdr:rowOff>133350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3493770</xdr:colOff>
      <xdr:row>79</xdr:row>
      <xdr:rowOff>156999</xdr:rowOff>
    </xdr:from>
    <xdr:to>
      <xdr:col>15</xdr:col>
      <xdr:colOff>3915713</xdr:colOff>
      <xdr:row>81</xdr:row>
      <xdr:rowOff>29364</xdr:rowOff>
    </xdr:to>
    <xdr:sp macro="" textlink="'Variable Management'!$B$42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034010" y="1513791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96.5%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15</xdr:col>
      <xdr:colOff>411480</xdr:colOff>
      <xdr:row>79</xdr:row>
      <xdr:rowOff>162714</xdr:rowOff>
    </xdr:from>
    <xdr:to>
      <xdr:col>15</xdr:col>
      <xdr:colOff>833423</xdr:colOff>
      <xdr:row>81</xdr:row>
      <xdr:rowOff>35079</xdr:rowOff>
    </xdr:to>
    <xdr:sp macro="" textlink="'Variable Management'!$B$42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9951720" y="1514363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93B0AF30-6523-4122-9521-75B00DB91745}" type="TxLink">
            <a:rPr lang="en-US" sz="1000" b="0" i="0" u="none" strike="noStrike" baseline="0">
              <a:solidFill>
                <a:srgbClr val="000000"/>
              </a:solidFill>
              <a:latin typeface="Arial"/>
              <a:cs typeface="Arial"/>
            </a:rPr>
            <a:pPr algn="l" rtl="0">
              <a:defRPr sz="1000"/>
            </a:pPr>
            <a:t>96.1%</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19050</xdr:colOff>
          <xdr:row>101</xdr:row>
          <xdr:rowOff>0</xdr:rowOff>
        </xdr:from>
        <xdr:to>
          <xdr:col>2</xdr:col>
          <xdr:colOff>19050</xdr:colOff>
          <xdr:row>102</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808966</xdr:colOff>
      <xdr:row>25</xdr:row>
      <xdr:rowOff>102425</xdr:rowOff>
    </xdr:from>
    <xdr:to>
      <xdr:col>11</xdr:col>
      <xdr:colOff>409761</xdr:colOff>
      <xdr:row>27</xdr:row>
      <xdr:rowOff>18374</xdr:rowOff>
    </xdr:to>
    <xdr:sp macro="" textlink="'Variable Management'!B409">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6957518" y="5252494"/>
          <a:ext cx="452133" cy="252280"/>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291960</xdr:colOff>
      <xdr:row>24</xdr:row>
      <xdr:rowOff>126514</xdr:rowOff>
    </xdr:from>
    <xdr:to>
      <xdr:col>10</xdr:col>
      <xdr:colOff>407471</xdr:colOff>
      <xdr:row>25</xdr:row>
      <xdr:rowOff>138242</xdr:rowOff>
    </xdr:to>
    <xdr:sp macro="" textlink="'Variable Management'!B407">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5920250" y="5034845"/>
          <a:ext cx="635773" cy="25346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3133628</xdr:colOff>
      <xdr:row>15</xdr:row>
      <xdr:rowOff>59531</xdr:rowOff>
    </xdr:from>
    <xdr:to>
      <xdr:col>15</xdr:col>
      <xdr:colOff>3629712</xdr:colOff>
      <xdr:row>16</xdr:row>
      <xdr:rowOff>98231</xdr:rowOff>
    </xdr:to>
    <xdr:sp macro="" textlink="'Variable Management'!B397">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12705520" y="3347854"/>
          <a:ext cx="496084" cy="232131"/>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1837592</xdr:colOff>
      <xdr:row>14</xdr:row>
      <xdr:rowOff>17964</xdr:rowOff>
    </xdr:from>
    <xdr:to>
      <xdr:col>15</xdr:col>
      <xdr:colOff>2333341</xdr:colOff>
      <xdr:row>14</xdr:row>
      <xdr:rowOff>241555</xdr:rowOff>
    </xdr:to>
    <xdr:sp macro="" textlink="'Variable Management'!B37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11409484" y="3054241"/>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2067626</xdr:colOff>
      <xdr:row>8</xdr:row>
      <xdr:rowOff>50997</xdr:rowOff>
    </xdr:from>
    <xdr:to>
      <xdr:col>15</xdr:col>
      <xdr:colOff>2561649</xdr:colOff>
      <xdr:row>9</xdr:row>
      <xdr:rowOff>136349</xdr:rowOff>
    </xdr:to>
    <xdr:sp macro="" textlink="'Variable Management'!B401">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11639518" y="1985305"/>
          <a:ext cx="494023" cy="255336"/>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3227835</xdr:colOff>
      <xdr:row>11</xdr:row>
      <xdr:rowOff>48221</xdr:rowOff>
    </xdr:from>
    <xdr:to>
      <xdr:col>15</xdr:col>
      <xdr:colOff>3838088</xdr:colOff>
      <xdr:row>12</xdr:row>
      <xdr:rowOff>153978</xdr:rowOff>
    </xdr:to>
    <xdr:sp macro="" textlink="'Variable Management'!B395">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12799727" y="2492483"/>
          <a:ext cx="610253" cy="275741"/>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12V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15</xdr:col>
      <xdr:colOff>3225429</xdr:colOff>
      <xdr:row>12</xdr:row>
      <xdr:rowOff>124573</xdr:rowOff>
    </xdr:from>
    <xdr:to>
      <xdr:col>15</xdr:col>
      <xdr:colOff>3643985</xdr:colOff>
      <xdr:row>13</xdr:row>
      <xdr:rowOff>162140</xdr:rowOff>
    </xdr:to>
    <xdr:sp macro="" textlink="'Variable Management'!B448">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2797321" y="2738819"/>
          <a:ext cx="418556" cy="248583"/>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15</xdr:col>
      <xdr:colOff>2372103</xdr:colOff>
      <xdr:row>12</xdr:row>
      <xdr:rowOff>173205</xdr:rowOff>
    </xdr:from>
    <xdr:to>
      <xdr:col>15</xdr:col>
      <xdr:colOff>2828283</xdr:colOff>
      <xdr:row>13</xdr:row>
      <xdr:rowOff>204628</xdr:rowOff>
    </xdr:to>
    <xdr:sp macro="" textlink="'Variable Management'!B38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11943995" y="2787451"/>
          <a:ext cx="456180" cy="242439"/>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410523</xdr:colOff>
      <xdr:row>26</xdr:row>
      <xdr:rowOff>137173</xdr:rowOff>
    </xdr:from>
    <xdr:to>
      <xdr:col>10</xdr:col>
      <xdr:colOff>304313</xdr:colOff>
      <xdr:row>28</xdr:row>
      <xdr:rowOff>50975</xdr:rowOff>
    </xdr:to>
    <xdr:sp macro="" textlink="'Variable Management'!B408">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6038813" y="5455407"/>
          <a:ext cx="414052" cy="25013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3.3nF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11</xdr:col>
      <xdr:colOff>157074</xdr:colOff>
      <xdr:row>27</xdr:row>
      <xdr:rowOff>32820</xdr:rowOff>
    </xdr:from>
    <xdr:to>
      <xdr:col>12</xdr:col>
      <xdr:colOff>118722</xdr:colOff>
      <xdr:row>28</xdr:row>
      <xdr:rowOff>104903</xdr:rowOff>
    </xdr:to>
    <xdr:sp macro="" textlink="'Variable Management'!B44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7155751" y="5548528"/>
          <a:ext cx="588833" cy="242067"/>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64.9kΩ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96889</xdr:colOff>
      <xdr:row>17</xdr:row>
      <xdr:rowOff>142326</xdr:rowOff>
    </xdr:from>
    <xdr:to>
      <xdr:col>10</xdr:col>
      <xdr:colOff>631702</xdr:colOff>
      <xdr:row>19</xdr:row>
      <xdr:rowOff>22118</xdr:rowOff>
    </xdr:to>
    <xdr:sp macro="" textlink="'Variable Management'!B417">
      <xdr:nvSpPr>
        <xdr:cNvPr id="95" name="Text Box 263">
          <a:extLst>
            <a:ext uri="{FF2B5EF4-FFF2-40B4-BE49-F238E27FC236}">
              <a16:creationId xmlns:a16="http://schemas.microsoft.com/office/drawing/2014/main" id="{00000000-0008-0000-0000-00005F000000}"/>
            </a:ext>
          </a:extLst>
        </xdr:cNvPr>
        <xdr:cNvSpPr txBox="1">
          <a:spLocks noChangeArrowheads="1" noTextEdit="1"/>
        </xdr:cNvSpPr>
      </xdr:nvSpPr>
      <xdr:spPr bwMode="auto">
        <a:xfrm>
          <a:off x="6239781" y="3817511"/>
          <a:ext cx="534813" cy="225622"/>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82424</xdr:colOff>
      <xdr:row>20</xdr:row>
      <xdr:rowOff>148157</xdr:rowOff>
    </xdr:from>
    <xdr:to>
      <xdr:col>10</xdr:col>
      <xdr:colOff>653836</xdr:colOff>
      <xdr:row>22</xdr:row>
      <xdr:rowOff>33747</xdr:rowOff>
    </xdr:to>
    <xdr:sp macro="" textlink="'Variable Management'!B418">
      <xdr:nvSpPr>
        <xdr:cNvPr id="96" name="Text Box 263">
          <a:extLst>
            <a:ext uri="{FF2B5EF4-FFF2-40B4-BE49-F238E27FC236}">
              <a16:creationId xmlns:a16="http://schemas.microsoft.com/office/drawing/2014/main" id="{00000000-0008-0000-0000-000060000000}"/>
            </a:ext>
          </a:extLst>
        </xdr:cNvPr>
        <xdr:cNvSpPr txBox="1">
          <a:spLocks noChangeArrowheads="1" noTextEdit="1"/>
        </xdr:cNvSpPr>
      </xdr:nvSpPr>
      <xdr:spPr bwMode="auto">
        <a:xfrm>
          <a:off x="6225316" y="4345019"/>
          <a:ext cx="571412" cy="237282"/>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58</xdr:row>
          <xdr:rowOff>171450</xdr:rowOff>
        </xdr:from>
        <xdr:to>
          <xdr:col>6</xdr:col>
          <xdr:colOff>0</xdr:colOff>
          <xdr:row>59</xdr:row>
          <xdr:rowOff>238125</xdr:rowOff>
        </xdr:to>
        <xdr:sp macro="" textlink="">
          <xdr:nvSpPr>
            <xdr:cNvPr id="700305" name="Drop Down 2961" hidden="1">
              <a:extLst>
                <a:ext uri="{63B3BB69-23CF-44E3-9099-C40C66FF867C}">
                  <a14:compatExt spid="_x0000_s700305"/>
                </a:ext>
                <a:ext uri="{FF2B5EF4-FFF2-40B4-BE49-F238E27FC236}">
                  <a16:creationId xmlns:a16="http://schemas.microsoft.com/office/drawing/2014/main" id="{00000000-0008-0000-0000-000091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164682</xdr:colOff>
      <xdr:row>27</xdr:row>
      <xdr:rowOff>28100</xdr:rowOff>
    </xdr:from>
    <xdr:to>
      <xdr:col>13</xdr:col>
      <xdr:colOff>88364</xdr:colOff>
      <xdr:row>28</xdr:row>
      <xdr:rowOff>74468</xdr:rowOff>
    </xdr:to>
    <xdr:sp macro="" textlink="'Variable Management'!B442">
      <xdr:nvSpPr>
        <xdr:cNvPr id="68" name="Text Box 263">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7790544" y="5543808"/>
          <a:ext cx="550866" cy="216352"/>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490735</xdr:colOff>
      <xdr:row>31</xdr:row>
      <xdr:rowOff>77416</xdr:rowOff>
    </xdr:from>
    <xdr:to>
      <xdr:col>13</xdr:col>
      <xdr:colOff>338748</xdr:colOff>
      <xdr:row>32</xdr:row>
      <xdr:rowOff>71599</xdr:rowOff>
    </xdr:to>
    <xdr:sp macro="" textlink="'Variable Management'!B385">
      <xdr:nvSpPr>
        <xdr:cNvPr id="76" name="Text Box 279">
          <a:extLst>
            <a:ext uri="{FF2B5EF4-FFF2-40B4-BE49-F238E27FC236}">
              <a16:creationId xmlns:a16="http://schemas.microsoft.com/office/drawing/2014/main" id="{00000000-0008-0000-0000-00004C000000}"/>
            </a:ext>
          </a:extLst>
        </xdr:cNvPr>
        <xdr:cNvSpPr txBox="1">
          <a:spLocks noChangeArrowheads="1"/>
        </xdr:cNvSpPr>
      </xdr:nvSpPr>
      <xdr:spPr bwMode="auto">
        <a:xfrm>
          <a:off x="7894381" y="6391130"/>
          <a:ext cx="448088" cy="2293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6743863A-37F9-454E-8264-1AAED8F1ABE9}" type="TxLink">
            <a:rPr lang="en-US" sz="1000" b="0" i="0" u="none" strike="noStrike">
              <a:solidFill>
                <a:srgbClr val="000000"/>
              </a:solidFill>
              <a:latin typeface="Arial"/>
              <a:ea typeface="+mn-ea"/>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1000">
            <a:latin typeface="Arial" pitchFamily="34" charset="0"/>
            <a:cs typeface="Arial" pitchFamily="34" charset="0"/>
          </a:endParaRPr>
        </a:p>
      </xdr:txBody>
    </xdr:sp>
    <xdr:clientData/>
  </xdr:twoCellAnchor>
  <xdr:twoCellAnchor editAs="absolute">
    <xdr:from>
      <xdr:col>9</xdr:col>
      <xdr:colOff>385274</xdr:colOff>
      <xdr:row>10</xdr:row>
      <xdr:rowOff>156195</xdr:rowOff>
    </xdr:from>
    <xdr:to>
      <xdr:col>10</xdr:col>
      <xdr:colOff>384896</xdr:colOff>
      <xdr:row>12</xdr:row>
      <xdr:rowOff>42552</xdr:rowOff>
    </xdr:to>
    <xdr:sp macro="" textlink="'Variable Management'!B385">
      <xdr:nvSpPr>
        <xdr:cNvPr id="65" name="Text Box 279">
          <a:extLst>
            <a:ext uri="{FF2B5EF4-FFF2-40B4-BE49-F238E27FC236}">
              <a16:creationId xmlns:a16="http://schemas.microsoft.com/office/drawing/2014/main" id="{00000000-0008-0000-0000-000041000000}"/>
            </a:ext>
          </a:extLst>
        </xdr:cNvPr>
        <xdr:cNvSpPr txBox="1">
          <a:spLocks noChangeArrowheads="1"/>
        </xdr:cNvSpPr>
      </xdr:nvSpPr>
      <xdr:spPr bwMode="auto">
        <a:xfrm>
          <a:off x="5870329" y="2481864"/>
          <a:ext cx="499741" cy="24685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9</xdr:col>
      <xdr:colOff>384414</xdr:colOff>
      <xdr:row>7</xdr:row>
      <xdr:rowOff>148504</xdr:rowOff>
    </xdr:from>
    <xdr:to>
      <xdr:col>10</xdr:col>
      <xdr:colOff>384036</xdr:colOff>
      <xdr:row>9</xdr:row>
      <xdr:rowOff>34136</xdr:rowOff>
    </xdr:to>
    <xdr:sp macro="" textlink="'Variable Management'!C385">
      <xdr:nvSpPr>
        <xdr:cNvPr id="66" name="Text Box 279">
          <a:extLst>
            <a:ext uri="{FF2B5EF4-FFF2-40B4-BE49-F238E27FC236}">
              <a16:creationId xmlns:a16="http://schemas.microsoft.com/office/drawing/2014/main" id="{00000000-0008-0000-0000-000042000000}"/>
            </a:ext>
          </a:extLst>
        </xdr:cNvPr>
        <xdr:cNvSpPr txBox="1">
          <a:spLocks noChangeArrowheads="1"/>
        </xdr:cNvSpPr>
      </xdr:nvSpPr>
      <xdr:spPr bwMode="auto">
        <a:xfrm>
          <a:off x="5871374" y="1921050"/>
          <a:ext cx="499741" cy="236601"/>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8</xdr:col>
      <xdr:colOff>188858</xdr:colOff>
      <xdr:row>22</xdr:row>
      <xdr:rowOff>42135</xdr:rowOff>
    </xdr:from>
    <xdr:to>
      <xdr:col>9</xdr:col>
      <xdr:colOff>270281</xdr:colOff>
      <xdr:row>23</xdr:row>
      <xdr:rowOff>80809</xdr:rowOff>
    </xdr:to>
    <xdr:sp macro="" textlink="'Variable Management'!E385">
      <xdr:nvSpPr>
        <xdr:cNvPr id="81" name="Text Box 279">
          <a:extLst>
            <a:ext uri="{FF2B5EF4-FFF2-40B4-BE49-F238E27FC236}">
              <a16:creationId xmlns:a16="http://schemas.microsoft.com/office/drawing/2014/main" id="{00000000-0008-0000-0000-000051000000}"/>
            </a:ext>
          </a:extLst>
        </xdr:cNvPr>
        <xdr:cNvSpPr txBox="1">
          <a:spLocks noChangeArrowheads="1"/>
        </xdr:cNvSpPr>
      </xdr:nvSpPr>
      <xdr:spPr bwMode="auto">
        <a:xfrm>
          <a:off x="5218058" y="4700532"/>
          <a:ext cx="537278" cy="21606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9</xdr:col>
      <xdr:colOff>95</xdr:colOff>
      <xdr:row>7</xdr:row>
      <xdr:rowOff>918</xdr:rowOff>
    </xdr:from>
    <xdr:to>
      <xdr:col>10</xdr:col>
      <xdr:colOff>461799</xdr:colOff>
      <xdr:row>8</xdr:row>
      <xdr:rowOff>110241</xdr:rowOff>
    </xdr:to>
    <xdr:sp macro="" textlink="'Variable Management'!B451">
      <xdr:nvSpPr>
        <xdr:cNvPr id="86" name="Text Box 28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5475065" y="1772568"/>
          <a:ext cx="968434" cy="288393"/>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40V...60V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10</xdr:col>
      <xdr:colOff>153374</xdr:colOff>
      <xdr:row>17</xdr:row>
      <xdr:rowOff>142496</xdr:rowOff>
    </xdr:from>
    <xdr:to>
      <xdr:col>10</xdr:col>
      <xdr:colOff>686644</xdr:colOff>
      <xdr:row>18</xdr:row>
      <xdr:rowOff>149468</xdr:rowOff>
    </xdr:to>
    <xdr:sp macro="" textlink="'Variable Management'!D419">
      <xdr:nvSpPr>
        <xdr:cNvPr id="94" name="Text Box 279">
          <a:extLst>
            <a:ext uri="{FF2B5EF4-FFF2-40B4-BE49-F238E27FC236}">
              <a16:creationId xmlns:a16="http://schemas.microsoft.com/office/drawing/2014/main" id="{00000000-0008-0000-0000-00005E000000}"/>
            </a:ext>
          </a:extLst>
        </xdr:cNvPr>
        <xdr:cNvSpPr txBox="1">
          <a:spLocks noChangeArrowheads="1"/>
        </xdr:cNvSpPr>
      </xdr:nvSpPr>
      <xdr:spPr bwMode="auto">
        <a:xfrm>
          <a:off x="6296266" y="3817681"/>
          <a:ext cx="533270" cy="182818"/>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48.7kΩ</a:t>
          </a:fld>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57150</xdr:colOff>
          <xdr:row>50</xdr:row>
          <xdr:rowOff>57150</xdr:rowOff>
        </xdr:from>
        <xdr:to>
          <xdr:col>2</xdr:col>
          <xdr:colOff>28575</xdr:colOff>
          <xdr:row>51</xdr:row>
          <xdr:rowOff>133350</xdr:rowOff>
        </xdr:to>
        <xdr:sp macro="" textlink="">
          <xdr:nvSpPr>
            <xdr:cNvPr id="770900" name="Drop Down 6996" hidden="1">
              <a:extLst>
                <a:ext uri="{63B3BB69-23CF-44E3-9099-C40C66FF867C}">
                  <a14:compatExt spid="_x0000_s770900"/>
                </a:ext>
                <a:ext uri="{FF2B5EF4-FFF2-40B4-BE49-F238E27FC236}">
                  <a16:creationId xmlns:a16="http://schemas.microsoft.com/office/drawing/2014/main" id="{00000000-0008-0000-0000-000054C3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97109</xdr:colOff>
      <xdr:row>10</xdr:row>
      <xdr:rowOff>51297</xdr:rowOff>
    </xdr:from>
    <xdr:to>
      <xdr:col>10</xdr:col>
      <xdr:colOff>250019</xdr:colOff>
      <xdr:row>11</xdr:row>
      <xdr:rowOff>58778</xdr:rowOff>
    </xdr:to>
    <xdr:sp macro="" textlink="'Variable Management'!B421">
      <xdr:nvSpPr>
        <xdr:cNvPr id="80" name="Text Box 27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5712097" y="2313485"/>
          <a:ext cx="672022" cy="174168"/>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172461</xdr:colOff>
      <xdr:row>13</xdr:row>
      <xdr:rowOff>96434</xdr:rowOff>
    </xdr:from>
    <xdr:to>
      <xdr:col>10</xdr:col>
      <xdr:colOff>250197</xdr:colOff>
      <xdr:row>14</xdr:row>
      <xdr:rowOff>126070</xdr:rowOff>
    </xdr:to>
    <xdr:sp macro="" textlink="'Variable Management'!B422">
      <xdr:nvSpPr>
        <xdr:cNvPr id="84" name="Text Box 276">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5787449" y="2906309"/>
          <a:ext cx="596848" cy="243949"/>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10</xdr:col>
      <xdr:colOff>574616</xdr:colOff>
      <xdr:row>8</xdr:row>
      <xdr:rowOff>3470</xdr:rowOff>
    </xdr:from>
    <xdr:to>
      <xdr:col>11</xdr:col>
      <xdr:colOff>307735</xdr:colOff>
      <xdr:row>9</xdr:row>
      <xdr:rowOff>42738</xdr:rowOff>
    </xdr:to>
    <xdr:sp macro="" textlink="'Variable Management'!B405">
      <xdr:nvSpPr>
        <xdr:cNvPr id="83" name="Text Box 276">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6555980" y="1951276"/>
          <a:ext cx="572551" cy="237837"/>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688916</xdr:colOff>
      <xdr:row>10</xdr:row>
      <xdr:rowOff>80228</xdr:rowOff>
    </xdr:from>
    <xdr:to>
      <xdr:col>11</xdr:col>
      <xdr:colOff>307735</xdr:colOff>
      <xdr:row>11</xdr:row>
      <xdr:rowOff>156445</xdr:rowOff>
    </xdr:to>
    <xdr:sp macro="" textlink="'Variable Management'!B404">
      <xdr:nvSpPr>
        <xdr:cNvPr id="85" name="Text Box 276">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6670280" y="2407802"/>
          <a:ext cx="458251" cy="251701"/>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335280</xdr:colOff>
      <xdr:row>14</xdr:row>
      <xdr:rowOff>244906</xdr:rowOff>
    </xdr:from>
    <xdr:to>
      <xdr:col>15</xdr:col>
      <xdr:colOff>403860</xdr:colOff>
      <xdr:row>17</xdr:row>
      <xdr:rowOff>42303</xdr:rowOff>
    </xdr:to>
    <xdr:sp macro="" textlink="'Variable Management'!P29">
      <xdr:nvSpPr>
        <xdr:cNvPr id="100" name="Text Box 255">
          <a:extLst>
            <a:ext uri="{FF2B5EF4-FFF2-40B4-BE49-F238E27FC236}">
              <a16:creationId xmlns:a16="http://schemas.microsoft.com/office/drawing/2014/main" id="{00000000-0008-0000-0000-000064000000}"/>
            </a:ext>
          </a:extLst>
        </xdr:cNvPr>
        <xdr:cNvSpPr txBox="1">
          <a:spLocks noChangeArrowheads="1"/>
        </xdr:cNvSpPr>
      </xdr:nvSpPr>
      <xdr:spPr bwMode="auto">
        <a:xfrm>
          <a:off x="7322820" y="3270046"/>
          <a:ext cx="2636520" cy="429857"/>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10</xdr:col>
      <xdr:colOff>92678</xdr:colOff>
      <xdr:row>22</xdr:row>
      <xdr:rowOff>118704</xdr:rowOff>
    </xdr:from>
    <xdr:to>
      <xdr:col>10</xdr:col>
      <xdr:colOff>739363</xdr:colOff>
      <xdr:row>23</xdr:row>
      <xdr:rowOff>194771</xdr:rowOff>
    </xdr:to>
    <xdr:sp macro="" textlink="'Variable Management'!E407">
      <xdr:nvSpPr>
        <xdr:cNvPr id="99" name="Text Box 263">
          <a:extLst>
            <a:ext uri="{FF2B5EF4-FFF2-40B4-BE49-F238E27FC236}">
              <a16:creationId xmlns:a16="http://schemas.microsoft.com/office/drawing/2014/main" id="{00000000-0008-0000-0000-000063000000}"/>
            </a:ext>
          </a:extLst>
        </xdr:cNvPr>
        <xdr:cNvSpPr txBox="1">
          <a:spLocks noChangeArrowheads="1" noTextEdit="1"/>
        </xdr:cNvSpPr>
      </xdr:nvSpPr>
      <xdr:spPr bwMode="auto">
        <a:xfrm>
          <a:off x="6235570" y="4667258"/>
          <a:ext cx="646685" cy="246051"/>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42394</xdr:colOff>
      <xdr:row>22</xdr:row>
      <xdr:rowOff>79883</xdr:rowOff>
    </xdr:from>
    <xdr:to>
      <xdr:col>10</xdr:col>
      <xdr:colOff>156515</xdr:colOff>
      <xdr:row>23</xdr:row>
      <xdr:rowOff>193945</xdr:rowOff>
    </xdr:to>
    <xdr:sp macro="" textlink="'Variable Management'!C407">
      <xdr:nvSpPr>
        <xdr:cNvPr id="101" name="Text Box 263">
          <a:extLst>
            <a:ext uri="{FF2B5EF4-FFF2-40B4-BE49-F238E27FC236}">
              <a16:creationId xmlns:a16="http://schemas.microsoft.com/office/drawing/2014/main" id="{00000000-0008-0000-0000-000065000000}"/>
            </a:ext>
          </a:extLst>
        </xdr:cNvPr>
        <xdr:cNvSpPr txBox="1">
          <a:spLocks noChangeArrowheads="1" noTextEdit="1"/>
        </xdr:cNvSpPr>
      </xdr:nvSpPr>
      <xdr:spPr bwMode="auto">
        <a:xfrm>
          <a:off x="5521734" y="4738280"/>
          <a:ext cx="621860" cy="291451"/>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9525</xdr:rowOff>
        </xdr:from>
        <xdr:to>
          <xdr:col>7</xdr:col>
          <xdr:colOff>114300</xdr:colOff>
          <xdr:row>4</xdr:row>
          <xdr:rowOff>247650</xdr:rowOff>
        </xdr:to>
        <xdr:sp macro="" textlink="">
          <xdr:nvSpPr>
            <xdr:cNvPr id="843436" name="Drop Down 8876" hidden="1">
              <a:extLst>
                <a:ext uri="{63B3BB69-23CF-44E3-9099-C40C66FF867C}">
                  <a14:compatExt spid="_x0000_s843436"/>
                </a:ext>
                <a:ext uri="{FF2B5EF4-FFF2-40B4-BE49-F238E27FC236}">
                  <a16:creationId xmlns:a16="http://schemas.microsoft.com/office/drawing/2014/main" id="{00000000-0008-0000-0000-0000ACD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15</xdr:col>
      <xdr:colOff>1219200</xdr:colOff>
      <xdr:row>22</xdr:row>
      <xdr:rowOff>15240</xdr:rowOff>
    </xdr:from>
    <xdr:to>
      <xdr:col>15</xdr:col>
      <xdr:colOff>2894921</xdr:colOff>
      <xdr:row>24</xdr:row>
      <xdr:rowOff>30359</xdr:rowOff>
    </xdr:to>
    <xdr:sp macro="" textlink="">
      <xdr:nvSpPr>
        <xdr:cNvPr id="50" name="Text Box 249">
          <a:extLst>
            <a:ext uri="{FF2B5EF4-FFF2-40B4-BE49-F238E27FC236}">
              <a16:creationId xmlns:a16="http://schemas.microsoft.com/office/drawing/2014/main" id="{00000000-0008-0000-0000-000032000000}"/>
            </a:ext>
          </a:extLst>
        </xdr:cNvPr>
        <xdr:cNvSpPr txBox="1">
          <a:spLocks noChangeArrowheads="1"/>
        </xdr:cNvSpPr>
      </xdr:nvSpPr>
      <xdr:spPr bwMode="auto">
        <a:xfrm>
          <a:off x="10774680" y="4541520"/>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twoCellAnchor editAs="absolute">
    <xdr:from>
      <xdr:col>14</xdr:col>
      <xdr:colOff>640080</xdr:colOff>
      <xdr:row>43</xdr:row>
      <xdr:rowOff>76200</xdr:rowOff>
    </xdr:from>
    <xdr:to>
      <xdr:col>15</xdr:col>
      <xdr:colOff>3368040</xdr:colOff>
      <xdr:row>45</xdr:row>
      <xdr:rowOff>2643</xdr:rowOff>
    </xdr:to>
    <xdr:sp macro="" textlink="'Variable Management'!A426">
      <xdr:nvSpPr>
        <xdr:cNvPr id="51" name="Text Box 283">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9502140" y="8503920"/>
          <a:ext cx="3421380" cy="276963"/>
        </a:xfrm>
        <a:prstGeom prst="rect">
          <a:avLst/>
        </a:prstGeom>
        <a:noFill/>
        <a:ln w="9525">
          <a:noFill/>
          <a:miter lim="800000"/>
          <a:headEnd/>
          <a:tailEnd/>
        </a:ln>
      </xdr:spPr>
      <xdr:txBody>
        <a:bodyPr vertOverflow="clip" wrap="square" lIns="27432" tIns="22860" rIns="0" bIns="0" anchor="t" upright="1"/>
        <a:lstStyle/>
        <a:p>
          <a:pPr algn="l" rtl="0">
            <a:defRPr sz="1000"/>
          </a:pPr>
          <a:fld id="{6459DEAC-AF83-4910-965F-54E18763E2E4}" type="TxLink">
            <a:rPr lang="en-US" sz="1100" b="1" i="0" u="none" strike="noStrike">
              <a:solidFill>
                <a:srgbClr val="FF0000"/>
              </a:solidFill>
              <a:latin typeface="Arial"/>
              <a:cs typeface="Arial"/>
            </a:rPr>
            <a:pPr algn="l" rtl="0">
              <a:defRPr sz="1000"/>
            </a:pPr>
            <a:t> </a:t>
          </a:fld>
          <a:endParaRPr lang="en-US" sz="1800" b="1" i="0" strike="noStrike">
            <a:solidFill>
              <a:srgbClr val="FF0000"/>
            </a:solidFill>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9525</xdr:rowOff>
    </xdr:from>
    <xdr:ext cx="1950720" cy="508288"/>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1950720" cy="508288"/>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533400</xdr:colOff>
          <xdr:row>18</xdr:row>
          <xdr:rowOff>38100</xdr:rowOff>
        </xdr:from>
        <xdr:to>
          <xdr:col>6</xdr:col>
          <xdr:colOff>342900</xdr:colOff>
          <xdr:row>35</xdr:row>
          <xdr:rowOff>95250</xdr:rowOff>
        </xdr:to>
        <xdr:sp macro="" textlink="">
          <xdr:nvSpPr>
            <xdr:cNvPr id="797704" name="Object 4" hidden="1">
              <a:extLst>
                <a:ext uri="{63B3BB69-23CF-44E3-9099-C40C66FF867C}">
                  <a14:compatExt spid="_x0000_s797704"/>
                </a:ext>
                <a:ext uri="{FF2B5EF4-FFF2-40B4-BE49-F238E27FC236}">
                  <a16:creationId xmlns:a16="http://schemas.microsoft.com/office/drawing/2014/main" id="{00000000-0008-0000-0100-0000082C0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102870</xdr:colOff>
          <xdr:row>12</xdr:row>
          <xdr:rowOff>125730</xdr:rowOff>
        </xdr:from>
        <xdr:to>
          <xdr:col>16</xdr:col>
          <xdr:colOff>6606540</xdr:colOff>
          <xdr:row>42</xdr:row>
          <xdr:rowOff>94273</xdr:rowOff>
        </xdr:to>
        <xdr:pic>
          <xdr:nvPicPr>
            <xdr:cNvPr id="6" name="Picture 1174">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BODE_PLOT_Ch2" spid="_x0000_s798364"/>
                </a:ext>
              </a:extLst>
            </xdr:cNvPicPr>
          </xdr:nvPicPr>
          <xdr:blipFill>
            <a:blip xmlns:r="http://schemas.openxmlformats.org/officeDocument/2006/relationships" r:embed="rId3"/>
            <a:srcRect/>
            <a:stretch>
              <a:fillRect/>
            </a:stretch>
          </xdr:blipFill>
          <xdr:spPr bwMode="auto">
            <a:xfrm>
              <a:off x="8181975" y="2781300"/>
              <a:ext cx="7724775" cy="48891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38100</xdr:rowOff>
        </xdr:from>
        <xdr:to>
          <xdr:col>14</xdr:col>
          <xdr:colOff>19050</xdr:colOff>
          <xdr:row>32</xdr:row>
          <xdr:rowOff>133350</xdr:rowOff>
        </xdr:to>
        <xdr:sp macro="" textlink="">
          <xdr:nvSpPr>
            <xdr:cNvPr id="797852" name="Object 156" hidden="1">
              <a:extLst>
                <a:ext uri="{63B3BB69-23CF-44E3-9099-C40C66FF867C}">
                  <a14:compatExt spid="_x0000_s797852"/>
                </a:ext>
                <a:ext uri="{FF2B5EF4-FFF2-40B4-BE49-F238E27FC236}">
                  <a16:creationId xmlns:a16="http://schemas.microsoft.com/office/drawing/2014/main" id="{00000000-0008-0000-0100-00009C2C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3</xdr:col>
      <xdr:colOff>131445</xdr:colOff>
      <xdr:row>1</xdr:row>
      <xdr:rowOff>3463</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2223770" cy="59083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276536</xdr:colOff>
          <xdr:row>17</xdr:row>
          <xdr:rowOff>82236</xdr:rowOff>
        </xdr:from>
        <xdr:to>
          <xdr:col>16</xdr:col>
          <xdr:colOff>3599012</xdr:colOff>
          <xdr:row>50</xdr:row>
          <xdr:rowOff>130874</xdr:rowOff>
        </xdr:to>
        <xdr:pic>
          <xdr:nvPicPr>
            <xdr:cNvPr id="3" name="Picture 1174">
              <a:extLst>
                <a:ext uri="{FF2B5EF4-FFF2-40B4-BE49-F238E27FC236}">
                  <a16:creationId xmlns:a16="http://schemas.microsoft.com/office/drawing/2014/main" id="{00000000-0008-0000-0200-000003000000}"/>
                </a:ext>
              </a:extLst>
            </xdr:cNvPr>
            <xdr:cNvPicPr>
              <a:picLocks noChangeAspect="1" noChangeArrowheads="1"/>
              <a:extLst>
                <a:ext uri="{84589F7E-364E-4C9E-8A38-B11213B215E9}">
                  <a14:cameraTool cellRange="BODE_PLOT_Ch2" spid="_x0000_s785243"/>
                </a:ext>
              </a:extLst>
            </xdr:cNvPicPr>
          </xdr:nvPicPr>
          <xdr:blipFill>
            <a:blip xmlns:r="http://schemas.openxmlformats.org/officeDocument/2006/relationships" r:embed="rId3"/>
            <a:srcRect/>
            <a:stretch>
              <a:fillRect/>
            </a:stretch>
          </xdr:blipFill>
          <xdr:spPr bwMode="auto">
            <a:xfrm>
              <a:off x="4842559" y="3358836"/>
              <a:ext cx="9002739" cy="5496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206189</xdr:colOff>
          <xdr:row>1</xdr:row>
          <xdr:rowOff>62754</xdr:rowOff>
        </xdr:from>
        <xdr:to>
          <xdr:col>7</xdr:col>
          <xdr:colOff>1087708</xdr:colOff>
          <xdr:row>28</xdr:row>
          <xdr:rowOff>135014</xdr:rowOff>
        </xdr:to>
        <xdr:pic>
          <xdr:nvPicPr>
            <xdr:cNvPr id="29" name="Picture 1175">
              <a:extLst>
                <a:ext uri="{FF2B5EF4-FFF2-40B4-BE49-F238E27FC236}">
                  <a16:creationId xmlns:a16="http://schemas.microsoft.com/office/drawing/2014/main" id="{00000000-0008-0000-0300-00001D000000}"/>
                </a:ext>
              </a:extLst>
            </xdr:cNvPr>
            <xdr:cNvPicPr>
              <a:picLocks noChangeAspect="1" noChangeArrowheads="1"/>
              <a:extLst>
                <a:ext uri="{84589F7E-364E-4C9E-8A38-B11213B215E9}">
                  <a14:cameraTool cellRange="PICTURE2" spid="_x0000_s830851"/>
                </a:ext>
              </a:extLst>
            </xdr:cNvPicPr>
          </xdr:nvPicPr>
          <xdr:blipFill>
            <a:blip xmlns:r="http://schemas.openxmlformats.org/officeDocument/2006/relationships" r:embed="rId1"/>
            <a:srcRect/>
            <a:stretch>
              <a:fillRect/>
            </a:stretch>
          </xdr:blipFill>
          <xdr:spPr bwMode="auto">
            <a:xfrm>
              <a:off x="206189" y="233083"/>
              <a:ext cx="8680813" cy="467115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absolute">
    <xdr:from>
      <xdr:col>2</xdr:col>
      <xdr:colOff>144402</xdr:colOff>
      <xdr:row>24</xdr:row>
      <xdr:rowOff>1543</xdr:rowOff>
    </xdr:from>
    <xdr:to>
      <xdr:col>2</xdr:col>
      <xdr:colOff>594282</xdr:colOff>
      <xdr:row>25</xdr:row>
      <xdr:rowOff>71045</xdr:rowOff>
    </xdr:to>
    <xdr:sp macro="" textlink="'Variable Management'!B409">
      <xdr:nvSpPr>
        <xdr:cNvPr id="30" name="Text Box 262">
          <a:extLst>
            <a:ext uri="{FF2B5EF4-FFF2-40B4-BE49-F238E27FC236}">
              <a16:creationId xmlns:a16="http://schemas.microsoft.com/office/drawing/2014/main" id="{00000000-0008-0000-0300-00001E000000}"/>
            </a:ext>
          </a:extLst>
        </xdr:cNvPr>
        <xdr:cNvSpPr txBox="1">
          <a:spLocks noChangeArrowheads="1" noTextEdit="1"/>
        </xdr:cNvSpPr>
      </xdr:nvSpPr>
      <xdr:spPr bwMode="auto">
        <a:xfrm>
          <a:off x="2197320" y="4086759"/>
          <a:ext cx="449880" cy="242521"/>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529650</xdr:colOff>
      <xdr:row>22</xdr:row>
      <xdr:rowOff>155646</xdr:rowOff>
    </xdr:from>
    <xdr:to>
      <xdr:col>1</xdr:col>
      <xdr:colOff>1167676</xdr:colOff>
      <xdr:row>24</xdr:row>
      <xdr:rowOff>61321</xdr:rowOff>
    </xdr:to>
    <xdr:sp macro="" textlink="'Variable Management'!B407">
      <xdr:nvSpPr>
        <xdr:cNvPr id="31" name="Text Box 263">
          <a:extLst>
            <a:ext uri="{FF2B5EF4-FFF2-40B4-BE49-F238E27FC236}">
              <a16:creationId xmlns:a16="http://schemas.microsoft.com/office/drawing/2014/main" id="{00000000-0008-0000-0300-00001F000000}"/>
            </a:ext>
          </a:extLst>
        </xdr:cNvPr>
        <xdr:cNvSpPr txBox="1">
          <a:spLocks noChangeArrowheads="1" noTextEdit="1"/>
        </xdr:cNvSpPr>
      </xdr:nvSpPr>
      <xdr:spPr bwMode="auto">
        <a:xfrm>
          <a:off x="1184074" y="3902893"/>
          <a:ext cx="638026" cy="246334"/>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12.4kΩ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140426</xdr:colOff>
      <xdr:row>12</xdr:row>
      <xdr:rowOff>106550</xdr:rowOff>
    </xdr:from>
    <xdr:to>
      <xdr:col>7</xdr:col>
      <xdr:colOff>636510</xdr:colOff>
      <xdr:row>14</xdr:row>
      <xdr:rowOff>533</xdr:rowOff>
    </xdr:to>
    <xdr:sp macro="" textlink="'Variable Management'!B397">
      <xdr:nvSpPr>
        <xdr:cNvPr id="32" name="Text Box 267">
          <a:extLst>
            <a:ext uri="{FF2B5EF4-FFF2-40B4-BE49-F238E27FC236}">
              <a16:creationId xmlns:a16="http://schemas.microsoft.com/office/drawing/2014/main" id="{00000000-0008-0000-0300-000020000000}"/>
            </a:ext>
          </a:extLst>
        </xdr:cNvPr>
        <xdr:cNvSpPr txBox="1">
          <a:spLocks noChangeArrowheads="1" noTextEdit="1"/>
        </xdr:cNvSpPr>
      </xdr:nvSpPr>
      <xdr:spPr bwMode="auto">
        <a:xfrm>
          <a:off x="7939720" y="2150503"/>
          <a:ext cx="496084" cy="234642"/>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915237</xdr:colOff>
      <xdr:row>10</xdr:row>
      <xdr:rowOff>155270</xdr:rowOff>
    </xdr:from>
    <xdr:to>
      <xdr:col>6</xdr:col>
      <xdr:colOff>3527</xdr:colOff>
      <xdr:row>12</xdr:row>
      <xdr:rowOff>38202</xdr:rowOff>
    </xdr:to>
    <xdr:sp macro="" textlink="'Variable Management'!B379">
      <xdr:nvSpPr>
        <xdr:cNvPr id="33" name="Text Box 275">
          <a:extLst>
            <a:ext uri="{FF2B5EF4-FFF2-40B4-BE49-F238E27FC236}">
              <a16:creationId xmlns:a16="http://schemas.microsoft.com/office/drawing/2014/main" id="{00000000-0008-0000-0300-000021000000}"/>
            </a:ext>
          </a:extLst>
        </xdr:cNvPr>
        <xdr:cNvSpPr txBox="1">
          <a:spLocks noChangeArrowheads="1" noTextEdit="1"/>
        </xdr:cNvSpPr>
      </xdr:nvSpPr>
      <xdr:spPr bwMode="auto">
        <a:xfrm>
          <a:off x="6643684" y="1858564"/>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2.2µH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1145271</xdr:colOff>
      <xdr:row>4</xdr:row>
      <xdr:rowOff>121708</xdr:rowOff>
    </xdr:from>
    <xdr:to>
      <xdr:col>6</xdr:col>
      <xdr:colOff>231835</xdr:colOff>
      <xdr:row>6</xdr:row>
      <xdr:rowOff>29687</xdr:rowOff>
    </xdr:to>
    <xdr:sp macro="" textlink="'Variable Management'!B401">
      <xdr:nvSpPr>
        <xdr:cNvPr id="34" name="Text Box 276">
          <a:extLst>
            <a:ext uri="{FF2B5EF4-FFF2-40B4-BE49-F238E27FC236}">
              <a16:creationId xmlns:a16="http://schemas.microsoft.com/office/drawing/2014/main" id="{00000000-0008-0000-0300-000022000000}"/>
            </a:ext>
          </a:extLst>
        </xdr:cNvPr>
        <xdr:cNvSpPr txBox="1">
          <a:spLocks noChangeArrowheads="1" noTextEdit="1"/>
        </xdr:cNvSpPr>
      </xdr:nvSpPr>
      <xdr:spPr bwMode="auto">
        <a:xfrm>
          <a:off x="6873718" y="803026"/>
          <a:ext cx="494023" cy="248637"/>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234633</xdr:colOff>
      <xdr:row>7</xdr:row>
      <xdr:rowOff>97801</xdr:rowOff>
    </xdr:from>
    <xdr:to>
      <xdr:col>7</xdr:col>
      <xdr:colOff>844886</xdr:colOff>
      <xdr:row>9</xdr:row>
      <xdr:rowOff>26185</xdr:rowOff>
    </xdr:to>
    <xdr:sp macro="" textlink="'Variable Management'!B395">
      <xdr:nvSpPr>
        <xdr:cNvPr id="35" name="Text Box 285">
          <a:extLst>
            <a:ext uri="{FF2B5EF4-FFF2-40B4-BE49-F238E27FC236}">
              <a16:creationId xmlns:a16="http://schemas.microsoft.com/office/drawing/2014/main" id="{00000000-0008-0000-0300-000023000000}"/>
            </a:ext>
          </a:extLst>
        </xdr:cNvPr>
        <xdr:cNvSpPr txBox="1">
          <a:spLocks noChangeArrowheads="1" noTextEdit="1"/>
        </xdr:cNvSpPr>
      </xdr:nvSpPr>
      <xdr:spPr bwMode="auto">
        <a:xfrm>
          <a:off x="8033927" y="1290107"/>
          <a:ext cx="610253" cy="269043"/>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12V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7</xdr:col>
      <xdr:colOff>232227</xdr:colOff>
      <xdr:row>8</xdr:row>
      <xdr:rowOff>167110</xdr:rowOff>
    </xdr:from>
    <xdr:to>
      <xdr:col>7</xdr:col>
      <xdr:colOff>650783</xdr:colOff>
      <xdr:row>10</xdr:row>
      <xdr:rowOff>81732</xdr:rowOff>
    </xdr:to>
    <xdr:sp macro="" textlink="'Variable Management'!B448">
      <xdr:nvSpPr>
        <xdr:cNvPr id="36" name="Text Box 286">
          <a:extLst>
            <a:ext uri="{FF2B5EF4-FFF2-40B4-BE49-F238E27FC236}">
              <a16:creationId xmlns:a16="http://schemas.microsoft.com/office/drawing/2014/main" id="{00000000-0008-0000-0300-000024000000}"/>
            </a:ext>
          </a:extLst>
        </xdr:cNvPr>
        <xdr:cNvSpPr txBox="1">
          <a:spLocks noChangeArrowheads="1" noTextEdit="1"/>
        </xdr:cNvSpPr>
      </xdr:nvSpPr>
      <xdr:spPr bwMode="auto">
        <a:xfrm>
          <a:off x="8031521" y="1529745"/>
          <a:ext cx="418556" cy="255281"/>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6</xdr:col>
      <xdr:colOff>42289</xdr:colOff>
      <xdr:row>9</xdr:row>
      <xdr:rowOff>45412</xdr:rowOff>
    </xdr:from>
    <xdr:to>
      <xdr:col>6</xdr:col>
      <xdr:colOff>498469</xdr:colOff>
      <xdr:row>10</xdr:row>
      <xdr:rowOff>124220</xdr:rowOff>
    </xdr:to>
    <xdr:sp macro="" textlink="'Variable Management'!B381">
      <xdr:nvSpPr>
        <xdr:cNvPr id="37" name="Text Box 275">
          <a:extLst>
            <a:ext uri="{FF2B5EF4-FFF2-40B4-BE49-F238E27FC236}">
              <a16:creationId xmlns:a16="http://schemas.microsoft.com/office/drawing/2014/main" id="{00000000-0008-0000-0300-000025000000}"/>
            </a:ext>
          </a:extLst>
        </xdr:cNvPr>
        <xdr:cNvSpPr txBox="1">
          <a:spLocks noChangeArrowheads="1" noTextEdit="1"/>
        </xdr:cNvSpPr>
      </xdr:nvSpPr>
      <xdr:spPr bwMode="auto">
        <a:xfrm>
          <a:off x="7178195" y="1578377"/>
          <a:ext cx="456180" cy="24913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669234</xdr:colOff>
      <xdr:row>25</xdr:row>
      <xdr:rowOff>26559</xdr:rowOff>
    </xdr:from>
    <xdr:to>
      <xdr:col>1</xdr:col>
      <xdr:colOff>1085539</xdr:colOff>
      <xdr:row>26</xdr:row>
      <xdr:rowOff>96603</xdr:rowOff>
    </xdr:to>
    <xdr:sp macro="" textlink="'Variable Management'!B408">
      <xdr:nvSpPr>
        <xdr:cNvPr id="38" name="Text Box 261">
          <a:extLst>
            <a:ext uri="{FF2B5EF4-FFF2-40B4-BE49-F238E27FC236}">
              <a16:creationId xmlns:a16="http://schemas.microsoft.com/office/drawing/2014/main" id="{00000000-0008-0000-0300-000026000000}"/>
            </a:ext>
          </a:extLst>
        </xdr:cNvPr>
        <xdr:cNvSpPr txBox="1">
          <a:spLocks noChangeArrowheads="1" noTextEdit="1"/>
        </xdr:cNvSpPr>
      </xdr:nvSpPr>
      <xdr:spPr bwMode="auto">
        <a:xfrm>
          <a:off x="1323658" y="4284794"/>
          <a:ext cx="416305" cy="24037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3.3nF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2</xdr:col>
      <xdr:colOff>352105</xdr:colOff>
      <xdr:row>25</xdr:row>
      <xdr:rowOff>64471</xdr:rowOff>
    </xdr:from>
    <xdr:to>
      <xdr:col>2</xdr:col>
      <xdr:colOff>934239</xdr:colOff>
      <xdr:row>26</xdr:row>
      <xdr:rowOff>129510</xdr:rowOff>
    </xdr:to>
    <xdr:sp macro="" textlink="'Variable Management'!B443">
      <xdr:nvSpPr>
        <xdr:cNvPr id="39" name="Text Box 281">
          <a:extLst>
            <a:ext uri="{FF2B5EF4-FFF2-40B4-BE49-F238E27FC236}">
              <a16:creationId xmlns:a16="http://schemas.microsoft.com/office/drawing/2014/main" id="{00000000-0008-0000-0300-000027000000}"/>
            </a:ext>
          </a:extLst>
        </xdr:cNvPr>
        <xdr:cNvSpPr txBox="1">
          <a:spLocks noChangeArrowheads="1" noTextEdit="1"/>
        </xdr:cNvSpPr>
      </xdr:nvSpPr>
      <xdr:spPr bwMode="auto">
        <a:xfrm>
          <a:off x="2405023" y="4322706"/>
          <a:ext cx="582134" cy="235369"/>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64.9kΩ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841329</xdr:colOff>
      <xdr:row>15</xdr:row>
      <xdr:rowOff>70242</xdr:rowOff>
    </xdr:from>
    <xdr:to>
      <xdr:col>1</xdr:col>
      <xdr:colOff>1376142</xdr:colOff>
      <xdr:row>16</xdr:row>
      <xdr:rowOff>117161</xdr:rowOff>
    </xdr:to>
    <xdr:sp macro="" textlink="'Variable Management'!B417">
      <xdr:nvSpPr>
        <xdr:cNvPr id="40" name="Text Box 263">
          <a:extLst>
            <a:ext uri="{FF2B5EF4-FFF2-40B4-BE49-F238E27FC236}">
              <a16:creationId xmlns:a16="http://schemas.microsoft.com/office/drawing/2014/main" id="{00000000-0008-0000-0300-000028000000}"/>
            </a:ext>
          </a:extLst>
        </xdr:cNvPr>
        <xdr:cNvSpPr txBox="1">
          <a:spLocks noChangeArrowheads="1" noTextEdit="1"/>
        </xdr:cNvSpPr>
      </xdr:nvSpPr>
      <xdr:spPr bwMode="auto">
        <a:xfrm>
          <a:off x="1495753" y="2625183"/>
          <a:ext cx="534813" cy="217249"/>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826864</xdr:colOff>
      <xdr:row>18</xdr:row>
      <xdr:rowOff>76714</xdr:rowOff>
    </xdr:from>
    <xdr:to>
      <xdr:col>1</xdr:col>
      <xdr:colOff>1390656</xdr:colOff>
      <xdr:row>19</xdr:row>
      <xdr:rowOff>140317</xdr:rowOff>
    </xdr:to>
    <xdr:sp macro="" textlink="'Variable Management'!B418">
      <xdr:nvSpPr>
        <xdr:cNvPr id="41" name="Text Box 263">
          <a:extLst>
            <a:ext uri="{FF2B5EF4-FFF2-40B4-BE49-F238E27FC236}">
              <a16:creationId xmlns:a16="http://schemas.microsoft.com/office/drawing/2014/main" id="{00000000-0008-0000-0300-000029000000}"/>
            </a:ext>
          </a:extLst>
        </xdr:cNvPr>
        <xdr:cNvSpPr txBox="1">
          <a:spLocks noChangeArrowheads="1" noTextEdit="1"/>
        </xdr:cNvSpPr>
      </xdr:nvSpPr>
      <xdr:spPr bwMode="auto">
        <a:xfrm>
          <a:off x="1481288" y="3142643"/>
          <a:ext cx="571412" cy="233933"/>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980199</xdr:colOff>
      <xdr:row>25</xdr:row>
      <xdr:rowOff>59751</xdr:rowOff>
    </xdr:from>
    <xdr:to>
      <xdr:col>3</xdr:col>
      <xdr:colOff>421709</xdr:colOff>
      <xdr:row>26</xdr:row>
      <xdr:rowOff>99075</xdr:rowOff>
    </xdr:to>
    <xdr:sp macro="" textlink="'Variable Management'!B442">
      <xdr:nvSpPr>
        <xdr:cNvPr id="42" name="Text Box 263">
          <a:extLst>
            <a:ext uri="{FF2B5EF4-FFF2-40B4-BE49-F238E27FC236}">
              <a16:creationId xmlns:a16="http://schemas.microsoft.com/office/drawing/2014/main" id="{00000000-0008-0000-0300-00002A000000}"/>
            </a:ext>
          </a:extLst>
        </xdr:cNvPr>
        <xdr:cNvSpPr txBox="1">
          <a:spLocks noChangeArrowheads="1" noTextEdit="1"/>
        </xdr:cNvSpPr>
      </xdr:nvSpPr>
      <xdr:spPr bwMode="auto">
        <a:xfrm>
          <a:off x="3033117" y="4317986"/>
          <a:ext cx="544168" cy="209654"/>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607199</xdr:colOff>
      <xdr:row>7</xdr:row>
      <xdr:rowOff>42489</xdr:rowOff>
    </xdr:from>
    <xdr:to>
      <xdr:col>1</xdr:col>
      <xdr:colOff>1129336</xdr:colOff>
      <xdr:row>8</xdr:row>
      <xdr:rowOff>85089</xdr:rowOff>
    </xdr:to>
    <xdr:sp macro="" textlink="'Variable Management'!B385">
      <xdr:nvSpPr>
        <xdr:cNvPr id="43" name="Text Box 279">
          <a:extLst>
            <a:ext uri="{FF2B5EF4-FFF2-40B4-BE49-F238E27FC236}">
              <a16:creationId xmlns:a16="http://schemas.microsoft.com/office/drawing/2014/main" id="{00000000-0008-0000-0300-00002B000000}"/>
            </a:ext>
          </a:extLst>
        </xdr:cNvPr>
        <xdr:cNvSpPr txBox="1">
          <a:spLocks noChangeArrowheads="1"/>
        </xdr:cNvSpPr>
      </xdr:nvSpPr>
      <xdr:spPr bwMode="auto">
        <a:xfrm>
          <a:off x="1261623" y="1234795"/>
          <a:ext cx="522137" cy="2129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1</xdr:col>
      <xdr:colOff>606339</xdr:colOff>
      <xdr:row>4</xdr:row>
      <xdr:rowOff>55929</xdr:rowOff>
    </xdr:from>
    <xdr:to>
      <xdr:col>1</xdr:col>
      <xdr:colOff>1128476</xdr:colOff>
      <xdr:row>5</xdr:row>
      <xdr:rowOff>97803</xdr:rowOff>
    </xdr:to>
    <xdr:sp macro="" textlink="'Variable Management'!C385">
      <xdr:nvSpPr>
        <xdr:cNvPr id="61" name="Text Box 279">
          <a:extLst>
            <a:ext uri="{FF2B5EF4-FFF2-40B4-BE49-F238E27FC236}">
              <a16:creationId xmlns:a16="http://schemas.microsoft.com/office/drawing/2014/main" id="{00000000-0008-0000-0300-00003D000000}"/>
            </a:ext>
          </a:extLst>
        </xdr:cNvPr>
        <xdr:cNvSpPr txBox="1">
          <a:spLocks noChangeArrowheads="1"/>
        </xdr:cNvSpPr>
      </xdr:nvSpPr>
      <xdr:spPr bwMode="auto">
        <a:xfrm>
          <a:off x="1260763" y="737247"/>
          <a:ext cx="522137" cy="21220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0</xdr:col>
      <xdr:colOff>608007</xdr:colOff>
      <xdr:row>19</xdr:row>
      <xdr:rowOff>148705</xdr:rowOff>
    </xdr:from>
    <xdr:to>
      <xdr:col>1</xdr:col>
      <xdr:colOff>492206</xdr:colOff>
      <xdr:row>21</xdr:row>
      <xdr:rowOff>10005</xdr:rowOff>
    </xdr:to>
    <xdr:sp macro="" textlink="'Variable Management'!E385">
      <xdr:nvSpPr>
        <xdr:cNvPr id="62" name="Text Box 279">
          <a:extLst>
            <a:ext uri="{FF2B5EF4-FFF2-40B4-BE49-F238E27FC236}">
              <a16:creationId xmlns:a16="http://schemas.microsoft.com/office/drawing/2014/main" id="{00000000-0008-0000-0300-00003E000000}"/>
            </a:ext>
          </a:extLst>
        </xdr:cNvPr>
        <xdr:cNvSpPr txBox="1">
          <a:spLocks noChangeArrowheads="1"/>
        </xdr:cNvSpPr>
      </xdr:nvSpPr>
      <xdr:spPr bwMode="auto">
        <a:xfrm>
          <a:off x="608007" y="3384964"/>
          <a:ext cx="538623" cy="20195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1</xdr:col>
      <xdr:colOff>222020</xdr:colOff>
      <xdr:row>3</xdr:row>
      <xdr:rowOff>78673</xdr:rowOff>
    </xdr:from>
    <xdr:to>
      <xdr:col>1</xdr:col>
      <xdr:colOff>1206239</xdr:colOff>
      <xdr:row>5</xdr:row>
      <xdr:rowOff>10623</xdr:rowOff>
    </xdr:to>
    <xdr:sp macro="" textlink="'Variable Management'!B451">
      <xdr:nvSpPr>
        <xdr:cNvPr id="63" name="Text Box 283">
          <a:extLst>
            <a:ext uri="{FF2B5EF4-FFF2-40B4-BE49-F238E27FC236}">
              <a16:creationId xmlns:a16="http://schemas.microsoft.com/office/drawing/2014/main" id="{00000000-0008-0000-0300-00003F000000}"/>
            </a:ext>
          </a:extLst>
        </xdr:cNvPr>
        <xdr:cNvSpPr txBox="1">
          <a:spLocks noChangeArrowheads="1" noTextEdit="1"/>
        </xdr:cNvSpPr>
      </xdr:nvSpPr>
      <xdr:spPr bwMode="auto">
        <a:xfrm>
          <a:off x="876444" y="589661"/>
          <a:ext cx="984219" cy="272609"/>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40V...60V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xdr:col>
      <xdr:colOff>897814</xdr:colOff>
      <xdr:row>15</xdr:row>
      <xdr:rowOff>70412</xdr:rowOff>
    </xdr:from>
    <xdr:to>
      <xdr:col>2</xdr:col>
      <xdr:colOff>32590</xdr:colOff>
      <xdr:row>16</xdr:row>
      <xdr:rowOff>81226</xdr:rowOff>
    </xdr:to>
    <xdr:sp macro="" textlink="'Variable Management'!D419">
      <xdr:nvSpPr>
        <xdr:cNvPr id="64" name="Text Box 279">
          <a:extLst>
            <a:ext uri="{FF2B5EF4-FFF2-40B4-BE49-F238E27FC236}">
              <a16:creationId xmlns:a16="http://schemas.microsoft.com/office/drawing/2014/main" id="{00000000-0008-0000-0300-000040000000}"/>
            </a:ext>
          </a:extLst>
        </xdr:cNvPr>
        <xdr:cNvSpPr txBox="1">
          <a:spLocks noChangeArrowheads="1"/>
        </xdr:cNvSpPr>
      </xdr:nvSpPr>
      <xdr:spPr bwMode="auto">
        <a:xfrm>
          <a:off x="1552238" y="2625353"/>
          <a:ext cx="533270" cy="18114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48.7kΩ</a:t>
          </a:fld>
          <a:endParaRPr lang="en-US" sz="1000">
            <a:latin typeface="Arial" pitchFamily="34" charset="0"/>
            <a:cs typeface="Arial" pitchFamily="34" charset="0"/>
          </a:endParaRPr>
        </a:p>
      </xdr:txBody>
    </xdr:sp>
    <xdr:clientData/>
  </xdr:twoCellAnchor>
  <xdr:twoCellAnchor editAs="absolute">
    <xdr:from>
      <xdr:col>1</xdr:col>
      <xdr:colOff>328560</xdr:colOff>
      <xdr:row>6</xdr:row>
      <xdr:rowOff>103158</xdr:rowOff>
    </xdr:from>
    <xdr:to>
      <xdr:col>1</xdr:col>
      <xdr:colOff>1003985</xdr:colOff>
      <xdr:row>7</xdr:row>
      <xdr:rowOff>103595</xdr:rowOff>
    </xdr:to>
    <xdr:sp macro="" textlink="'Variable Management'!B421">
      <xdr:nvSpPr>
        <xdr:cNvPr id="65" name="Text Box 276">
          <a:extLst>
            <a:ext uri="{FF2B5EF4-FFF2-40B4-BE49-F238E27FC236}">
              <a16:creationId xmlns:a16="http://schemas.microsoft.com/office/drawing/2014/main" id="{00000000-0008-0000-0300-000041000000}"/>
            </a:ext>
          </a:extLst>
        </xdr:cNvPr>
        <xdr:cNvSpPr txBox="1">
          <a:spLocks noChangeArrowheads="1" noTextEdit="1"/>
        </xdr:cNvSpPr>
      </xdr:nvSpPr>
      <xdr:spPr bwMode="auto">
        <a:xfrm>
          <a:off x="982984" y="1125134"/>
          <a:ext cx="675425" cy="170767"/>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403912</xdr:colOff>
      <xdr:row>10</xdr:row>
      <xdr:rowOff>11263</xdr:rowOff>
    </xdr:from>
    <xdr:to>
      <xdr:col>1</xdr:col>
      <xdr:colOff>1004163</xdr:colOff>
      <xdr:row>11</xdr:row>
      <xdr:rowOff>88283</xdr:rowOff>
    </xdr:to>
    <xdr:sp macro="" textlink="'Variable Management'!B422">
      <xdr:nvSpPr>
        <xdr:cNvPr id="66" name="Text Box 276">
          <a:extLst>
            <a:ext uri="{FF2B5EF4-FFF2-40B4-BE49-F238E27FC236}">
              <a16:creationId xmlns:a16="http://schemas.microsoft.com/office/drawing/2014/main" id="{00000000-0008-0000-0300-000042000000}"/>
            </a:ext>
          </a:extLst>
        </xdr:cNvPr>
        <xdr:cNvSpPr txBox="1">
          <a:spLocks noChangeArrowheads="1" noTextEdit="1"/>
        </xdr:cNvSpPr>
      </xdr:nvSpPr>
      <xdr:spPr bwMode="auto">
        <a:xfrm>
          <a:off x="1058336" y="1714557"/>
          <a:ext cx="600251" cy="247350"/>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1319056</xdr:colOff>
      <xdr:row>4</xdr:row>
      <xdr:rowOff>74181</xdr:rowOff>
    </xdr:from>
    <xdr:to>
      <xdr:col>2</xdr:col>
      <xdr:colOff>502766</xdr:colOff>
      <xdr:row>5</xdr:row>
      <xdr:rowOff>106405</xdr:rowOff>
    </xdr:to>
    <xdr:sp macro="" textlink="'Variable Management'!B405">
      <xdr:nvSpPr>
        <xdr:cNvPr id="67" name="Text Box 276">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973480" y="755499"/>
          <a:ext cx="582204" cy="202553"/>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34862</xdr:colOff>
      <xdr:row>6</xdr:row>
      <xdr:rowOff>136852</xdr:rowOff>
    </xdr:from>
    <xdr:to>
      <xdr:col>2</xdr:col>
      <xdr:colOff>502766</xdr:colOff>
      <xdr:row>8</xdr:row>
      <xdr:rowOff>35696</xdr:rowOff>
    </xdr:to>
    <xdr:sp macro="" textlink="'Variable Management'!B404">
      <xdr:nvSpPr>
        <xdr:cNvPr id="68" name="Text Box 276">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2087780" y="1158828"/>
          <a:ext cx="467904" cy="239503"/>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612187</xdr:colOff>
      <xdr:row>13</xdr:row>
      <xdr:rowOff>7296</xdr:rowOff>
    </xdr:from>
    <xdr:to>
      <xdr:col>4</xdr:col>
      <xdr:colOff>529928</xdr:colOff>
      <xdr:row>15</xdr:row>
      <xdr:rowOff>106291</xdr:rowOff>
    </xdr:to>
    <xdr:sp macro="" textlink="'Variable Management'!P29">
      <xdr:nvSpPr>
        <xdr:cNvPr id="69" name="Text Box 255">
          <a:extLst>
            <a:ext uri="{FF2B5EF4-FFF2-40B4-BE49-F238E27FC236}">
              <a16:creationId xmlns:a16="http://schemas.microsoft.com/office/drawing/2014/main" id="{00000000-0008-0000-0300-000045000000}"/>
            </a:ext>
          </a:extLst>
        </xdr:cNvPr>
        <xdr:cNvSpPr txBox="1">
          <a:spLocks noChangeArrowheads="1"/>
        </xdr:cNvSpPr>
      </xdr:nvSpPr>
      <xdr:spPr bwMode="auto">
        <a:xfrm>
          <a:off x="2665105" y="2221578"/>
          <a:ext cx="2400964" cy="439654"/>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LM5148</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xdr:col>
      <xdr:colOff>837118</xdr:colOff>
      <xdr:row>20</xdr:row>
      <xdr:rowOff>54945</xdr:rowOff>
    </xdr:from>
    <xdr:to>
      <xdr:col>2</xdr:col>
      <xdr:colOff>85309</xdr:colOff>
      <xdr:row>21</xdr:row>
      <xdr:rowOff>123967</xdr:rowOff>
    </xdr:to>
    <xdr:sp macro="" textlink="'Variable Management'!E407">
      <xdr:nvSpPr>
        <xdr:cNvPr id="70" name="Text Box 263">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1491542" y="3461533"/>
          <a:ext cx="646685" cy="239352"/>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264319</xdr:colOff>
      <xdr:row>20</xdr:row>
      <xdr:rowOff>16124</xdr:rowOff>
    </xdr:from>
    <xdr:to>
      <xdr:col>1</xdr:col>
      <xdr:colOff>900955</xdr:colOff>
      <xdr:row>21</xdr:row>
      <xdr:rowOff>123141</xdr:rowOff>
    </xdr:to>
    <xdr:sp macro="" textlink="'Variable Management'!C407">
      <xdr:nvSpPr>
        <xdr:cNvPr id="71" name="Text Box 263">
          <a:extLst>
            <a:ext uri="{FF2B5EF4-FFF2-40B4-BE49-F238E27FC236}">
              <a16:creationId xmlns:a16="http://schemas.microsoft.com/office/drawing/2014/main" id="{00000000-0008-0000-0300-000047000000}"/>
            </a:ext>
          </a:extLst>
        </xdr:cNvPr>
        <xdr:cNvSpPr txBox="1">
          <a:spLocks noChangeArrowheads="1" noTextEdit="1"/>
        </xdr:cNvSpPr>
      </xdr:nvSpPr>
      <xdr:spPr bwMode="auto">
        <a:xfrm>
          <a:off x="918743" y="3422712"/>
          <a:ext cx="636636" cy="277347"/>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296845</xdr:colOff>
      <xdr:row>19</xdr:row>
      <xdr:rowOff>121810</xdr:rowOff>
    </xdr:from>
    <xdr:to>
      <xdr:col>6</xdr:col>
      <xdr:colOff>565107</xdr:colOff>
      <xdr:row>22</xdr:row>
      <xdr:rowOff>6941</xdr:rowOff>
    </xdr:to>
    <xdr:sp macro="" textlink="">
      <xdr:nvSpPr>
        <xdr:cNvPr id="72" name="Text Box 249">
          <a:extLst>
            <a:ext uri="{FF2B5EF4-FFF2-40B4-BE49-F238E27FC236}">
              <a16:creationId xmlns:a16="http://schemas.microsoft.com/office/drawing/2014/main" id="{00000000-0008-0000-0300-000048000000}"/>
            </a:ext>
          </a:extLst>
        </xdr:cNvPr>
        <xdr:cNvSpPr txBox="1">
          <a:spLocks noChangeArrowheads="1"/>
        </xdr:cNvSpPr>
      </xdr:nvSpPr>
      <xdr:spPr bwMode="auto">
        <a:xfrm>
          <a:off x="6025292" y="3358069"/>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95250</xdr:colOff>
          <xdr:row>9</xdr:row>
          <xdr:rowOff>76200</xdr:rowOff>
        </xdr:from>
        <xdr:to>
          <xdr:col>24</xdr:col>
          <xdr:colOff>228600</xdr:colOff>
          <xdr:row>36</xdr:row>
          <xdr:rowOff>76200</xdr:rowOff>
        </xdr:to>
        <xdr:sp macro="" textlink="">
          <xdr:nvSpPr>
            <xdr:cNvPr id="819203" name="Object 3" hidden="1">
              <a:extLst>
                <a:ext uri="{63B3BB69-23CF-44E3-9099-C40C66FF867C}">
                  <a14:compatExt spid="_x0000_s819203"/>
                </a:ext>
                <a:ext uri="{FF2B5EF4-FFF2-40B4-BE49-F238E27FC236}">
                  <a16:creationId xmlns:a16="http://schemas.microsoft.com/office/drawing/2014/main" id="{00000000-0008-0000-0400-000003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133350</xdr:colOff>
          <xdr:row>69</xdr:row>
          <xdr:rowOff>95250</xdr:rowOff>
        </xdr:from>
        <xdr:to>
          <xdr:col>24</xdr:col>
          <xdr:colOff>133350</xdr:colOff>
          <xdr:row>96</xdr:row>
          <xdr:rowOff>66675</xdr:rowOff>
        </xdr:to>
        <xdr:sp macro="" textlink="">
          <xdr:nvSpPr>
            <xdr:cNvPr id="819207" name="Object 7" hidden="1">
              <a:extLst>
                <a:ext uri="{63B3BB69-23CF-44E3-9099-C40C66FF867C}">
                  <a14:compatExt spid="_x0000_s819207"/>
                </a:ext>
                <a:ext uri="{FF2B5EF4-FFF2-40B4-BE49-F238E27FC236}">
                  <a16:creationId xmlns:a16="http://schemas.microsoft.com/office/drawing/2014/main" id="{00000000-0008-0000-0400-000007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40</xdr:row>
          <xdr:rowOff>57150</xdr:rowOff>
        </xdr:from>
        <xdr:to>
          <xdr:col>24</xdr:col>
          <xdr:colOff>104775</xdr:colOff>
          <xdr:row>67</xdr:row>
          <xdr:rowOff>19050</xdr:rowOff>
        </xdr:to>
        <xdr:sp macro="" textlink="">
          <xdr:nvSpPr>
            <xdr:cNvPr id="819208" name="Object 8" hidden="1">
              <a:extLst>
                <a:ext uri="{63B3BB69-23CF-44E3-9099-C40C66FF867C}">
                  <a14:compatExt spid="_x0000_s819208"/>
                </a:ext>
                <a:ext uri="{FF2B5EF4-FFF2-40B4-BE49-F238E27FC236}">
                  <a16:creationId xmlns:a16="http://schemas.microsoft.com/office/drawing/2014/main" id="{00000000-0008-0000-0400-000008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40</xdr:row>
          <xdr:rowOff>57150</xdr:rowOff>
        </xdr:from>
        <xdr:to>
          <xdr:col>12</xdr:col>
          <xdr:colOff>438150</xdr:colOff>
          <xdr:row>67</xdr:row>
          <xdr:rowOff>57150</xdr:rowOff>
        </xdr:to>
        <xdr:sp macro="" textlink="">
          <xdr:nvSpPr>
            <xdr:cNvPr id="819209" name="Object 9" hidden="1">
              <a:extLst>
                <a:ext uri="{63B3BB69-23CF-44E3-9099-C40C66FF867C}">
                  <a14:compatExt spid="_x0000_s819209"/>
                </a:ext>
                <a:ext uri="{FF2B5EF4-FFF2-40B4-BE49-F238E27FC236}">
                  <a16:creationId xmlns:a16="http://schemas.microsoft.com/office/drawing/2014/main" id="{00000000-0008-0000-0400-000009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69</xdr:row>
          <xdr:rowOff>114300</xdr:rowOff>
        </xdr:from>
        <xdr:to>
          <xdr:col>12</xdr:col>
          <xdr:colOff>381000</xdr:colOff>
          <xdr:row>96</xdr:row>
          <xdr:rowOff>57150</xdr:rowOff>
        </xdr:to>
        <xdr:sp macro="" textlink="">
          <xdr:nvSpPr>
            <xdr:cNvPr id="819210" name="Object 10" hidden="1">
              <a:extLst>
                <a:ext uri="{63B3BB69-23CF-44E3-9099-C40C66FF867C}">
                  <a14:compatExt spid="_x0000_s819210"/>
                </a:ext>
                <a:ext uri="{FF2B5EF4-FFF2-40B4-BE49-F238E27FC236}">
                  <a16:creationId xmlns:a16="http://schemas.microsoft.com/office/drawing/2014/main" id="{00000000-0008-0000-0400-00000A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9</xdr:row>
          <xdr:rowOff>76200</xdr:rowOff>
        </xdr:from>
        <xdr:to>
          <xdr:col>12</xdr:col>
          <xdr:colOff>438150</xdr:colOff>
          <xdr:row>36</xdr:row>
          <xdr:rowOff>28575</xdr:rowOff>
        </xdr:to>
        <xdr:sp macro="" textlink="">
          <xdr:nvSpPr>
            <xdr:cNvPr id="819211" name="Object 11" hidden="1">
              <a:extLst>
                <a:ext uri="{63B3BB69-23CF-44E3-9099-C40C66FF867C}">
                  <a14:compatExt spid="_x0000_s819211"/>
                </a:ext>
                <a:ext uri="{FF2B5EF4-FFF2-40B4-BE49-F238E27FC236}">
                  <a16:creationId xmlns:a16="http://schemas.microsoft.com/office/drawing/2014/main" id="{00000000-0008-0000-0400-00000B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552450</xdr:colOff>
      <xdr:row>36</xdr:row>
      <xdr:rowOff>95250</xdr:rowOff>
    </xdr:from>
    <xdr:to>
      <xdr:col>21</xdr:col>
      <xdr:colOff>552450</xdr:colOff>
      <xdr:row>68</xdr:row>
      <xdr:rowOff>38100</xdr:rowOff>
    </xdr:to>
    <xdr:grpSp>
      <xdr:nvGrpSpPr>
        <xdr:cNvPr id="2" name="Group 14">
          <a:extLst>
            <a:ext uri="{FF2B5EF4-FFF2-40B4-BE49-F238E27FC236}">
              <a16:creationId xmlns:a16="http://schemas.microsoft.com/office/drawing/2014/main" id="{00000000-0008-0000-0500-000002000000}"/>
            </a:ext>
          </a:extLst>
        </xdr:cNvPr>
        <xdr:cNvGrpSpPr>
          <a:grpSpLocks/>
        </xdr:cNvGrpSpPr>
      </xdr:nvGrpSpPr>
      <xdr:grpSpPr bwMode="auto">
        <a:xfrm>
          <a:off x="13249689" y="6307207"/>
          <a:ext cx="6733761" cy="5276850"/>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08">
        <xdr:nvSpPr>
          <xdr:cNvPr id="4" name="Text Box 5">
            <a:extLst>
              <a:ext uri="{FF2B5EF4-FFF2-40B4-BE49-F238E27FC236}">
                <a16:creationId xmlns:a16="http://schemas.microsoft.com/office/drawing/2014/main" id="{00000000-0008-0000-05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3.3nF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17">
        <xdr:nvSpPr>
          <xdr:cNvPr id="6" name="Text Box 9">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418">
        <xdr:nvSpPr>
          <xdr:cNvPr id="7" name="Text Box 10">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177kΩ</a:t>
            </a:fld>
            <a:endParaRPr lang="el-GR" sz="1000" b="1" i="0" u="none" strike="noStrike" baseline="0">
              <a:solidFill>
                <a:srgbClr val="000000"/>
              </a:solidFill>
              <a:latin typeface="Arial"/>
              <a:cs typeface="Arial"/>
            </a:endParaRPr>
          </a:p>
        </xdr:txBody>
      </xdr:sp>
      <xdr:sp macro="" textlink="$A$407">
        <xdr:nvSpPr>
          <xdr:cNvPr id="8" name="Text Box 4">
            <a:extLst>
              <a:ext uri="{FF2B5EF4-FFF2-40B4-BE49-F238E27FC236}">
                <a16:creationId xmlns:a16="http://schemas.microsoft.com/office/drawing/2014/main" id="{00000000-0008-0000-05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12.4kΩ</a:t>
            </a:fld>
            <a:endParaRPr lang="el-GR" sz="1000" b="1" i="0" u="none" strike="noStrike" baseline="0">
              <a:solidFill>
                <a:srgbClr val="000000"/>
              </a:solidFill>
              <a:latin typeface="Arial"/>
              <a:cs typeface="Arial"/>
            </a:endParaRPr>
          </a:p>
        </xdr:txBody>
      </xdr:sp>
      <xdr:sp macro="" textlink="$A$395">
        <xdr:nvSpPr>
          <xdr:cNvPr id="9" name="Text Box 9">
            <a:extLst>
              <a:ext uri="{FF2B5EF4-FFF2-40B4-BE49-F238E27FC236}">
                <a16:creationId xmlns:a16="http://schemas.microsoft.com/office/drawing/2014/main" id="{00000000-0008-0000-05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12V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411">
      <xdr:nvSpPr>
        <xdr:cNvPr id="10" name="Text Box 4">
          <a:extLst>
            <a:ext uri="{FF2B5EF4-FFF2-40B4-BE49-F238E27FC236}">
              <a16:creationId xmlns:a16="http://schemas.microsoft.com/office/drawing/2014/main" id="{00000000-0008-0000-05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412">
      <xdr:nvSpPr>
        <xdr:cNvPr id="11" name="Text Box 4">
          <a:extLst>
            <a:ext uri="{FF2B5EF4-FFF2-40B4-BE49-F238E27FC236}">
              <a16:creationId xmlns:a16="http://schemas.microsoft.com/office/drawing/2014/main" id="{00000000-0008-0000-05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413">
      <xdr:nvSpPr>
        <xdr:cNvPr id="12" name="Text Box 4">
          <a:extLst>
            <a:ext uri="{FF2B5EF4-FFF2-40B4-BE49-F238E27FC236}">
              <a16:creationId xmlns:a16="http://schemas.microsoft.com/office/drawing/2014/main" id="{00000000-0008-0000-05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6MHz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15</xdr:col>
      <xdr:colOff>796539</xdr:colOff>
      <xdr:row>3</xdr:row>
      <xdr:rowOff>3049</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361950</xdr:colOff>
          <xdr:row>18</xdr:row>
          <xdr:rowOff>57150</xdr:rowOff>
        </xdr:from>
        <xdr:to>
          <xdr:col>11</xdr:col>
          <xdr:colOff>0</xdr:colOff>
          <xdr:row>19</xdr:row>
          <xdr:rowOff>133350</xdr:rowOff>
        </xdr:to>
        <xdr:sp macro="" textlink="">
          <xdr:nvSpPr>
            <xdr:cNvPr id="702465" name="Drop Down 1" hidden="1">
              <a:extLst>
                <a:ext uri="{63B3BB69-23CF-44E3-9099-C40C66FF867C}">
                  <a14:compatExt spid="_x0000_s702465"/>
                </a:ext>
                <a:ext uri="{FF2B5EF4-FFF2-40B4-BE49-F238E27FC236}">
                  <a16:creationId xmlns:a16="http://schemas.microsoft.com/office/drawing/2014/main" id="{00000000-0008-0000-0500-000001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361950</xdr:colOff>
          <xdr:row>15</xdr:row>
          <xdr:rowOff>133350</xdr:rowOff>
        </xdr:from>
        <xdr:to>
          <xdr:col>20</xdr:col>
          <xdr:colOff>28575</xdr:colOff>
          <xdr:row>17</xdr:row>
          <xdr:rowOff>0</xdr:rowOff>
        </xdr:to>
        <xdr:sp macro="" textlink="">
          <xdr:nvSpPr>
            <xdr:cNvPr id="702468" name="Drop Down 4" hidden="1">
              <a:extLst>
                <a:ext uri="{63B3BB69-23CF-44E3-9099-C40C66FF867C}">
                  <a14:compatExt spid="_x0000_s702468"/>
                </a:ext>
                <a:ext uri="{FF2B5EF4-FFF2-40B4-BE49-F238E27FC236}">
                  <a16:creationId xmlns:a16="http://schemas.microsoft.com/office/drawing/2014/main" id="{00000000-0008-0000-0500-000004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409575</xdr:colOff>
          <xdr:row>31</xdr:row>
          <xdr:rowOff>38100</xdr:rowOff>
        </xdr:from>
        <xdr:to>
          <xdr:col>25</xdr:col>
          <xdr:colOff>66675</xdr:colOff>
          <xdr:row>32</xdr:row>
          <xdr:rowOff>171450</xdr:rowOff>
        </xdr:to>
        <xdr:sp macro="" textlink="">
          <xdr:nvSpPr>
            <xdr:cNvPr id="702470" name="Drop Down 6" hidden="1">
              <a:extLst>
                <a:ext uri="{63B3BB69-23CF-44E3-9099-C40C66FF867C}">
                  <a14:compatExt spid="_x0000_s702470"/>
                </a:ext>
                <a:ext uri="{FF2B5EF4-FFF2-40B4-BE49-F238E27FC236}">
                  <a16:creationId xmlns:a16="http://schemas.microsoft.com/office/drawing/2014/main" id="{00000000-0008-0000-0500-000006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51</xdr:row>
          <xdr:rowOff>38100</xdr:rowOff>
        </xdr:from>
        <xdr:to>
          <xdr:col>10</xdr:col>
          <xdr:colOff>523875</xdr:colOff>
          <xdr:row>52</xdr:row>
          <xdr:rowOff>114300</xdr:rowOff>
        </xdr:to>
        <xdr:sp macro="" textlink="">
          <xdr:nvSpPr>
            <xdr:cNvPr id="702471" name="Drop Down 7" hidden="1">
              <a:extLst>
                <a:ext uri="{63B3BB69-23CF-44E3-9099-C40C66FF867C}">
                  <a14:compatExt spid="_x0000_s702471"/>
                </a:ext>
                <a:ext uri="{FF2B5EF4-FFF2-40B4-BE49-F238E27FC236}">
                  <a16:creationId xmlns:a16="http://schemas.microsoft.com/office/drawing/2014/main" id="{00000000-0008-0000-0500-000007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1859410</xdr:colOff>
      <xdr:row>7</xdr:row>
      <xdr:rowOff>1222954</xdr:rowOff>
    </xdr:from>
    <xdr:to>
      <xdr:col>1</xdr:col>
      <xdr:colOff>2204210</xdr:colOff>
      <xdr:row>7</xdr:row>
      <xdr:rowOff>1483106</xdr:rowOff>
    </xdr:to>
    <xdr:sp macro="" textlink="">
      <xdr:nvSpPr>
        <xdr:cNvPr id="21" name="Text Box 225">
          <a:extLst>
            <a:ext uri="{FF2B5EF4-FFF2-40B4-BE49-F238E27FC236}">
              <a16:creationId xmlns:a16="http://schemas.microsoft.com/office/drawing/2014/main" id="{00000000-0008-0000-0600-000015000000}"/>
            </a:ext>
          </a:extLst>
        </xdr:cNvPr>
        <xdr:cNvSpPr txBox="1">
          <a:spLocks noChangeArrowheads="1"/>
        </xdr:cNvSpPr>
      </xdr:nvSpPr>
      <xdr:spPr bwMode="auto">
        <a:xfrm>
          <a:off x="2563171" y="6492006"/>
          <a:ext cx="344800"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1375139</xdr:colOff>
      <xdr:row>7</xdr:row>
      <xdr:rowOff>913217</xdr:rowOff>
    </xdr:from>
    <xdr:to>
      <xdr:col>1</xdr:col>
      <xdr:colOff>1780062</xdr:colOff>
      <xdr:row>7</xdr:row>
      <xdr:rowOff>1110284</xdr:rowOff>
    </xdr:to>
    <xdr:sp macro="" textlink="">
      <xdr:nvSpPr>
        <xdr:cNvPr id="22" name="Text Box 255">
          <a:extLst>
            <a:ext uri="{FF2B5EF4-FFF2-40B4-BE49-F238E27FC236}">
              <a16:creationId xmlns:a16="http://schemas.microsoft.com/office/drawing/2014/main" id="{00000000-0008-0000-0600-000016000000}"/>
            </a:ext>
          </a:extLst>
        </xdr:cNvPr>
        <xdr:cNvSpPr txBox="1">
          <a:spLocks noChangeArrowheads="1"/>
        </xdr:cNvSpPr>
      </xdr:nvSpPr>
      <xdr:spPr bwMode="auto">
        <a:xfrm>
          <a:off x="2084615" y="618036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1364525</xdr:colOff>
      <xdr:row>7</xdr:row>
      <xdr:rowOff>2736721</xdr:rowOff>
    </xdr:from>
    <xdr:to>
      <xdr:col>1</xdr:col>
      <xdr:colOff>1748519</xdr:colOff>
      <xdr:row>7</xdr:row>
      <xdr:rowOff>2933788</xdr:rowOff>
    </xdr:to>
    <xdr:sp macro="" textlink="">
      <xdr:nvSpPr>
        <xdr:cNvPr id="23" name="Text Box 255">
          <a:extLst>
            <a:ext uri="{FF2B5EF4-FFF2-40B4-BE49-F238E27FC236}">
              <a16:creationId xmlns:a16="http://schemas.microsoft.com/office/drawing/2014/main" id="{00000000-0008-0000-0600-000017000000}"/>
            </a:ext>
          </a:extLst>
        </xdr:cNvPr>
        <xdr:cNvSpPr txBox="1">
          <a:spLocks noChangeArrowheads="1"/>
        </xdr:cNvSpPr>
      </xdr:nvSpPr>
      <xdr:spPr bwMode="auto">
        <a:xfrm>
          <a:off x="2068286" y="8000058"/>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1108229</xdr:colOff>
      <xdr:row>7</xdr:row>
      <xdr:rowOff>219733</xdr:rowOff>
    </xdr:from>
    <xdr:to>
      <xdr:col>1</xdr:col>
      <xdr:colOff>1513152</xdr:colOff>
      <xdr:row>7</xdr:row>
      <xdr:rowOff>414895</xdr:rowOff>
    </xdr:to>
    <xdr:sp macro="" textlink="">
      <xdr:nvSpPr>
        <xdr:cNvPr id="31" name="Text Box 255">
          <a:extLst>
            <a:ext uri="{FF2B5EF4-FFF2-40B4-BE49-F238E27FC236}">
              <a16:creationId xmlns:a16="http://schemas.microsoft.com/office/drawing/2014/main" id="{00000000-0008-0000-0600-00001F000000}"/>
            </a:ext>
          </a:extLst>
        </xdr:cNvPr>
        <xdr:cNvSpPr txBox="1">
          <a:spLocks noChangeArrowheads="1"/>
        </xdr:cNvSpPr>
      </xdr:nvSpPr>
      <xdr:spPr bwMode="auto">
        <a:xfrm>
          <a:off x="1813519" y="547697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1093868</xdr:colOff>
      <xdr:row>7</xdr:row>
      <xdr:rowOff>606156</xdr:rowOff>
    </xdr:from>
    <xdr:to>
      <xdr:col>1</xdr:col>
      <xdr:colOff>1485456</xdr:colOff>
      <xdr:row>7</xdr:row>
      <xdr:rowOff>803223</xdr:rowOff>
    </xdr:to>
    <xdr:sp macro="" textlink="">
      <xdr:nvSpPr>
        <xdr:cNvPr id="32" name="Text Box 255">
          <a:extLst>
            <a:ext uri="{FF2B5EF4-FFF2-40B4-BE49-F238E27FC236}">
              <a16:creationId xmlns:a16="http://schemas.microsoft.com/office/drawing/2014/main" id="{00000000-0008-0000-0600-000020000000}"/>
            </a:ext>
          </a:extLst>
        </xdr:cNvPr>
        <xdr:cNvSpPr txBox="1">
          <a:spLocks noChangeArrowheads="1"/>
        </xdr:cNvSpPr>
      </xdr:nvSpPr>
      <xdr:spPr bwMode="auto">
        <a:xfrm>
          <a:off x="1791538" y="586530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453056</xdr:colOff>
      <xdr:row>7</xdr:row>
      <xdr:rowOff>223689</xdr:rowOff>
    </xdr:from>
    <xdr:to>
      <xdr:col>1</xdr:col>
      <xdr:colOff>842739</xdr:colOff>
      <xdr:row>7</xdr:row>
      <xdr:rowOff>420756</xdr:rowOff>
    </xdr:to>
    <xdr:sp macro="" textlink="">
      <xdr:nvSpPr>
        <xdr:cNvPr id="33" name="Text Box 255">
          <a:extLst>
            <a:ext uri="{FF2B5EF4-FFF2-40B4-BE49-F238E27FC236}">
              <a16:creationId xmlns:a16="http://schemas.microsoft.com/office/drawing/2014/main" id="{00000000-0008-0000-0600-000021000000}"/>
            </a:ext>
          </a:extLst>
        </xdr:cNvPr>
        <xdr:cNvSpPr txBox="1">
          <a:spLocks noChangeArrowheads="1"/>
        </xdr:cNvSpPr>
      </xdr:nvSpPr>
      <xdr:spPr bwMode="auto">
        <a:xfrm>
          <a:off x="1152631" y="548284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450752</xdr:colOff>
      <xdr:row>7</xdr:row>
      <xdr:rowOff>602388</xdr:rowOff>
    </xdr:from>
    <xdr:to>
      <xdr:col>1</xdr:col>
      <xdr:colOff>842340</xdr:colOff>
      <xdr:row>7</xdr:row>
      <xdr:rowOff>799455</xdr:rowOff>
    </xdr:to>
    <xdr:sp macro="" textlink="">
      <xdr:nvSpPr>
        <xdr:cNvPr id="34" name="Text Box 255">
          <a:extLst>
            <a:ext uri="{FF2B5EF4-FFF2-40B4-BE49-F238E27FC236}">
              <a16:creationId xmlns:a16="http://schemas.microsoft.com/office/drawing/2014/main" id="{00000000-0008-0000-0600-000022000000}"/>
            </a:ext>
          </a:extLst>
        </xdr:cNvPr>
        <xdr:cNvSpPr txBox="1">
          <a:spLocks noChangeArrowheads="1"/>
        </xdr:cNvSpPr>
      </xdr:nvSpPr>
      <xdr:spPr bwMode="auto">
        <a:xfrm>
          <a:off x="1150327" y="586153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428477</xdr:colOff>
      <xdr:row>7</xdr:row>
      <xdr:rowOff>1089775</xdr:rowOff>
    </xdr:from>
    <xdr:to>
      <xdr:col>1</xdr:col>
      <xdr:colOff>833400</xdr:colOff>
      <xdr:row>7</xdr:row>
      <xdr:rowOff>1286842</xdr:rowOff>
    </xdr:to>
    <xdr:sp macro="" textlink="">
      <xdr:nvSpPr>
        <xdr:cNvPr id="35" name="Text Box 255">
          <a:extLst>
            <a:ext uri="{FF2B5EF4-FFF2-40B4-BE49-F238E27FC236}">
              <a16:creationId xmlns:a16="http://schemas.microsoft.com/office/drawing/2014/main" id="{00000000-0008-0000-0600-000023000000}"/>
            </a:ext>
          </a:extLst>
        </xdr:cNvPr>
        <xdr:cNvSpPr txBox="1">
          <a:spLocks noChangeArrowheads="1"/>
        </xdr:cNvSpPr>
      </xdr:nvSpPr>
      <xdr:spPr bwMode="auto">
        <a:xfrm>
          <a:off x="113567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719942</xdr:colOff>
      <xdr:row>7</xdr:row>
      <xdr:rowOff>1089775</xdr:rowOff>
    </xdr:from>
    <xdr:to>
      <xdr:col>1</xdr:col>
      <xdr:colOff>1111530</xdr:colOff>
      <xdr:row>7</xdr:row>
      <xdr:rowOff>1286842</xdr:rowOff>
    </xdr:to>
    <xdr:sp macro="" textlink="">
      <xdr:nvSpPr>
        <xdr:cNvPr id="36" name="Text Box 255">
          <a:extLst>
            <a:ext uri="{FF2B5EF4-FFF2-40B4-BE49-F238E27FC236}">
              <a16:creationId xmlns:a16="http://schemas.microsoft.com/office/drawing/2014/main" id="{00000000-0008-0000-0600-000024000000}"/>
            </a:ext>
          </a:extLst>
        </xdr:cNvPr>
        <xdr:cNvSpPr txBox="1">
          <a:spLocks noChangeArrowheads="1"/>
        </xdr:cNvSpPr>
      </xdr:nvSpPr>
      <xdr:spPr bwMode="auto">
        <a:xfrm>
          <a:off x="142142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599195</xdr:colOff>
      <xdr:row>7</xdr:row>
      <xdr:rowOff>1551370</xdr:rowOff>
    </xdr:from>
    <xdr:to>
      <xdr:col>1</xdr:col>
      <xdr:colOff>990783</xdr:colOff>
      <xdr:row>7</xdr:row>
      <xdr:rowOff>1748437</xdr:rowOff>
    </xdr:to>
    <xdr:sp macro="" textlink="">
      <xdr:nvSpPr>
        <xdr:cNvPr id="37" name="Text Box 255">
          <a:extLst>
            <a:ext uri="{FF2B5EF4-FFF2-40B4-BE49-F238E27FC236}">
              <a16:creationId xmlns:a16="http://schemas.microsoft.com/office/drawing/2014/main" id="{00000000-0008-0000-0600-000025000000}"/>
            </a:ext>
          </a:extLst>
        </xdr:cNvPr>
        <xdr:cNvSpPr txBox="1">
          <a:spLocks noChangeArrowheads="1"/>
        </xdr:cNvSpPr>
      </xdr:nvSpPr>
      <xdr:spPr bwMode="auto">
        <a:xfrm>
          <a:off x="1296865" y="680671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2518995</xdr:colOff>
      <xdr:row>7</xdr:row>
      <xdr:rowOff>3158017</xdr:rowOff>
    </xdr:from>
    <xdr:to>
      <xdr:col>1</xdr:col>
      <xdr:colOff>2922013</xdr:colOff>
      <xdr:row>7</xdr:row>
      <xdr:rowOff>3355084</xdr:rowOff>
    </xdr:to>
    <xdr:sp macro="" textlink="">
      <xdr:nvSpPr>
        <xdr:cNvPr id="38" name="Text Box 255">
          <a:extLst>
            <a:ext uri="{FF2B5EF4-FFF2-40B4-BE49-F238E27FC236}">
              <a16:creationId xmlns:a16="http://schemas.microsoft.com/office/drawing/2014/main" id="{00000000-0008-0000-0600-000026000000}"/>
            </a:ext>
          </a:extLst>
        </xdr:cNvPr>
        <xdr:cNvSpPr txBox="1">
          <a:spLocks noChangeArrowheads="1"/>
        </xdr:cNvSpPr>
      </xdr:nvSpPr>
      <xdr:spPr bwMode="auto">
        <a:xfrm>
          <a:off x="3222380" y="841716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1854004</xdr:colOff>
      <xdr:row>7</xdr:row>
      <xdr:rowOff>2891905</xdr:rowOff>
    </xdr:from>
    <xdr:to>
      <xdr:col>1</xdr:col>
      <xdr:colOff>2243687</xdr:colOff>
      <xdr:row>7</xdr:row>
      <xdr:rowOff>3088972</xdr:rowOff>
    </xdr:to>
    <xdr:sp macro="" textlink="">
      <xdr:nvSpPr>
        <xdr:cNvPr id="39" name="Text Box 255">
          <a:extLst>
            <a:ext uri="{FF2B5EF4-FFF2-40B4-BE49-F238E27FC236}">
              <a16:creationId xmlns:a16="http://schemas.microsoft.com/office/drawing/2014/main" id="{00000000-0008-0000-0600-000027000000}"/>
            </a:ext>
          </a:extLst>
        </xdr:cNvPr>
        <xdr:cNvSpPr txBox="1">
          <a:spLocks noChangeArrowheads="1"/>
        </xdr:cNvSpPr>
      </xdr:nvSpPr>
      <xdr:spPr bwMode="auto">
        <a:xfrm>
          <a:off x="2549769" y="81548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1570956</xdr:colOff>
      <xdr:row>7</xdr:row>
      <xdr:rowOff>569269</xdr:rowOff>
    </xdr:from>
    <xdr:to>
      <xdr:col>1</xdr:col>
      <xdr:colOff>1975879</xdr:colOff>
      <xdr:row>7</xdr:row>
      <xdr:rowOff>766336</xdr:rowOff>
    </xdr:to>
    <xdr:sp macro="" textlink="">
      <xdr:nvSpPr>
        <xdr:cNvPr id="43" name="Text Box 255">
          <a:extLst>
            <a:ext uri="{FF2B5EF4-FFF2-40B4-BE49-F238E27FC236}">
              <a16:creationId xmlns:a16="http://schemas.microsoft.com/office/drawing/2014/main" id="{00000000-0008-0000-0600-00002B000000}"/>
            </a:ext>
          </a:extLst>
        </xdr:cNvPr>
        <xdr:cNvSpPr txBox="1">
          <a:spLocks noChangeArrowheads="1"/>
        </xdr:cNvSpPr>
      </xdr:nvSpPr>
      <xdr:spPr bwMode="auto">
        <a:xfrm>
          <a:off x="2282337" y="58364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1566057</xdr:colOff>
      <xdr:row>7</xdr:row>
      <xdr:rowOff>235747</xdr:rowOff>
    </xdr:from>
    <xdr:to>
      <xdr:col>1</xdr:col>
      <xdr:colOff>1970980</xdr:colOff>
      <xdr:row>7</xdr:row>
      <xdr:rowOff>446149</xdr:rowOff>
    </xdr:to>
    <xdr:sp macro="" textlink="">
      <xdr:nvSpPr>
        <xdr:cNvPr id="44" name="Text Box 255">
          <a:extLst>
            <a:ext uri="{FF2B5EF4-FFF2-40B4-BE49-F238E27FC236}">
              <a16:creationId xmlns:a16="http://schemas.microsoft.com/office/drawing/2014/main" id="{00000000-0008-0000-0600-00002C000000}"/>
            </a:ext>
          </a:extLst>
        </xdr:cNvPr>
        <xdr:cNvSpPr txBox="1">
          <a:spLocks noChangeArrowheads="1"/>
        </xdr:cNvSpPr>
      </xdr:nvSpPr>
      <xdr:spPr bwMode="auto">
        <a:xfrm>
          <a:off x="2271347" y="550251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2179614</xdr:colOff>
      <xdr:row>7</xdr:row>
      <xdr:rowOff>567320</xdr:rowOff>
    </xdr:from>
    <xdr:to>
      <xdr:col>1</xdr:col>
      <xdr:colOff>2584537</xdr:colOff>
      <xdr:row>7</xdr:row>
      <xdr:rowOff>764387</xdr:rowOff>
    </xdr:to>
    <xdr:sp macro="" textlink="">
      <xdr:nvSpPr>
        <xdr:cNvPr id="45" name="Text Box 255">
          <a:extLst>
            <a:ext uri="{FF2B5EF4-FFF2-40B4-BE49-F238E27FC236}">
              <a16:creationId xmlns:a16="http://schemas.microsoft.com/office/drawing/2014/main" id="{00000000-0008-0000-0600-00002D000000}"/>
            </a:ext>
          </a:extLst>
        </xdr:cNvPr>
        <xdr:cNvSpPr txBox="1">
          <a:spLocks noChangeArrowheads="1"/>
        </xdr:cNvSpPr>
      </xdr:nvSpPr>
      <xdr:spPr bwMode="auto">
        <a:xfrm>
          <a:off x="2890995" y="583065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2176097</xdr:colOff>
      <xdr:row>7</xdr:row>
      <xdr:rowOff>310062</xdr:rowOff>
    </xdr:from>
    <xdr:to>
      <xdr:col>1</xdr:col>
      <xdr:colOff>2579115</xdr:colOff>
      <xdr:row>7</xdr:row>
      <xdr:rowOff>522369</xdr:rowOff>
    </xdr:to>
    <xdr:sp macro="" textlink="">
      <xdr:nvSpPr>
        <xdr:cNvPr id="46" name="Text Box 255">
          <a:extLst>
            <a:ext uri="{FF2B5EF4-FFF2-40B4-BE49-F238E27FC236}">
              <a16:creationId xmlns:a16="http://schemas.microsoft.com/office/drawing/2014/main" id="{00000000-0008-0000-0600-00002E000000}"/>
            </a:ext>
          </a:extLst>
        </xdr:cNvPr>
        <xdr:cNvSpPr txBox="1">
          <a:spLocks noChangeArrowheads="1"/>
        </xdr:cNvSpPr>
      </xdr:nvSpPr>
      <xdr:spPr bwMode="auto">
        <a:xfrm>
          <a:off x="2883668" y="558101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1129995</xdr:colOff>
      <xdr:row>11</xdr:row>
      <xdr:rowOff>190468</xdr:rowOff>
    </xdr:from>
    <xdr:to>
      <xdr:col>1</xdr:col>
      <xdr:colOff>1519678</xdr:colOff>
      <xdr:row>11</xdr:row>
      <xdr:rowOff>387535</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829946" y="136899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1100394</xdr:colOff>
      <xdr:row>11</xdr:row>
      <xdr:rowOff>574986</xdr:rowOff>
    </xdr:from>
    <xdr:to>
      <xdr:col>1</xdr:col>
      <xdr:colOff>1493887</xdr:colOff>
      <xdr:row>11</xdr:row>
      <xdr:rowOff>787293</xdr:rowOff>
    </xdr:to>
    <xdr:sp macro="" textlink="">
      <xdr:nvSpPr>
        <xdr:cNvPr id="41" name="Text Box 255">
          <a:extLst>
            <a:ext uri="{FF2B5EF4-FFF2-40B4-BE49-F238E27FC236}">
              <a16:creationId xmlns:a16="http://schemas.microsoft.com/office/drawing/2014/main" id="{00000000-0008-0000-0600-000029000000}"/>
            </a:ext>
          </a:extLst>
        </xdr:cNvPr>
        <xdr:cNvSpPr txBox="1">
          <a:spLocks noChangeArrowheads="1"/>
        </xdr:cNvSpPr>
      </xdr:nvSpPr>
      <xdr:spPr bwMode="auto">
        <a:xfrm>
          <a:off x="1807965" y="140782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461487</xdr:colOff>
      <xdr:row>11</xdr:row>
      <xdr:rowOff>194424</xdr:rowOff>
    </xdr:from>
    <xdr:to>
      <xdr:col>1</xdr:col>
      <xdr:colOff>864505</xdr:colOff>
      <xdr:row>11</xdr:row>
      <xdr:rowOff>404826</xdr:rowOff>
    </xdr:to>
    <xdr:sp macro="" textlink="">
      <xdr:nvSpPr>
        <xdr:cNvPr id="42" name="Text Box 255">
          <a:extLst>
            <a:ext uri="{FF2B5EF4-FFF2-40B4-BE49-F238E27FC236}">
              <a16:creationId xmlns:a16="http://schemas.microsoft.com/office/drawing/2014/main" id="{00000000-0008-0000-0600-00002A000000}"/>
            </a:ext>
          </a:extLst>
        </xdr:cNvPr>
        <xdr:cNvSpPr txBox="1">
          <a:spLocks noChangeArrowheads="1"/>
        </xdr:cNvSpPr>
      </xdr:nvSpPr>
      <xdr:spPr bwMode="auto">
        <a:xfrm>
          <a:off x="1169058" y="136957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459183</xdr:colOff>
      <xdr:row>11</xdr:row>
      <xdr:rowOff>575028</xdr:rowOff>
    </xdr:from>
    <xdr:to>
      <xdr:col>1</xdr:col>
      <xdr:colOff>864106</xdr:colOff>
      <xdr:row>11</xdr:row>
      <xdr:rowOff>772095</xdr:rowOff>
    </xdr:to>
    <xdr:sp macro="" textlink="">
      <xdr:nvSpPr>
        <xdr:cNvPr id="47" name="Text Box 255">
          <a:extLst>
            <a:ext uri="{FF2B5EF4-FFF2-40B4-BE49-F238E27FC236}">
              <a16:creationId xmlns:a16="http://schemas.microsoft.com/office/drawing/2014/main" id="{00000000-0008-0000-0600-00002F000000}"/>
            </a:ext>
          </a:extLst>
        </xdr:cNvPr>
        <xdr:cNvSpPr txBox="1">
          <a:spLocks noChangeArrowheads="1"/>
        </xdr:cNvSpPr>
      </xdr:nvSpPr>
      <xdr:spPr bwMode="auto">
        <a:xfrm>
          <a:off x="1166754" y="1407449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448338</xdr:colOff>
      <xdr:row>11</xdr:row>
      <xdr:rowOff>1062415</xdr:rowOff>
    </xdr:from>
    <xdr:to>
      <xdr:col>1</xdr:col>
      <xdr:colOff>841831</xdr:colOff>
      <xdr:row>11</xdr:row>
      <xdr:rowOff>1259482</xdr:rowOff>
    </xdr:to>
    <xdr:sp macro="" textlink="">
      <xdr:nvSpPr>
        <xdr:cNvPr id="48" name="Text Box 255">
          <a:extLst>
            <a:ext uri="{FF2B5EF4-FFF2-40B4-BE49-F238E27FC236}">
              <a16:creationId xmlns:a16="http://schemas.microsoft.com/office/drawing/2014/main" id="{00000000-0008-0000-0600-000030000000}"/>
            </a:ext>
          </a:extLst>
        </xdr:cNvPr>
        <xdr:cNvSpPr txBox="1">
          <a:spLocks noChangeArrowheads="1"/>
        </xdr:cNvSpPr>
      </xdr:nvSpPr>
      <xdr:spPr bwMode="auto">
        <a:xfrm>
          <a:off x="115209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728373</xdr:colOff>
      <xdr:row>11</xdr:row>
      <xdr:rowOff>1062415</xdr:rowOff>
    </xdr:from>
    <xdr:to>
      <xdr:col>1</xdr:col>
      <xdr:colOff>1133296</xdr:colOff>
      <xdr:row>11</xdr:row>
      <xdr:rowOff>1259482</xdr:rowOff>
    </xdr:to>
    <xdr:sp macro="" textlink="">
      <xdr:nvSpPr>
        <xdr:cNvPr id="49" name="Text Box 255">
          <a:extLst>
            <a:ext uri="{FF2B5EF4-FFF2-40B4-BE49-F238E27FC236}">
              <a16:creationId xmlns:a16="http://schemas.microsoft.com/office/drawing/2014/main" id="{00000000-0008-0000-0600-000031000000}"/>
            </a:ext>
          </a:extLst>
        </xdr:cNvPr>
        <xdr:cNvSpPr txBox="1">
          <a:spLocks noChangeArrowheads="1"/>
        </xdr:cNvSpPr>
      </xdr:nvSpPr>
      <xdr:spPr bwMode="auto">
        <a:xfrm>
          <a:off x="143784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605721</xdr:colOff>
      <xdr:row>11</xdr:row>
      <xdr:rowOff>1520200</xdr:rowOff>
    </xdr:from>
    <xdr:to>
      <xdr:col>1</xdr:col>
      <xdr:colOff>999214</xdr:colOff>
      <xdr:row>11</xdr:row>
      <xdr:rowOff>1719172</xdr:rowOff>
    </xdr:to>
    <xdr:sp macro="" textlink="">
      <xdr:nvSpPr>
        <xdr:cNvPr id="50" name="Text Box 255">
          <a:extLst>
            <a:ext uri="{FF2B5EF4-FFF2-40B4-BE49-F238E27FC236}">
              <a16:creationId xmlns:a16="http://schemas.microsoft.com/office/drawing/2014/main" id="{00000000-0008-0000-0600-000032000000}"/>
            </a:ext>
          </a:extLst>
        </xdr:cNvPr>
        <xdr:cNvSpPr txBox="1">
          <a:spLocks noChangeArrowheads="1"/>
        </xdr:cNvSpPr>
      </xdr:nvSpPr>
      <xdr:spPr bwMode="auto">
        <a:xfrm>
          <a:off x="1313292" y="1501966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2538856</xdr:colOff>
      <xdr:row>11</xdr:row>
      <xdr:rowOff>3128752</xdr:rowOff>
    </xdr:from>
    <xdr:to>
      <xdr:col>1</xdr:col>
      <xdr:colOff>2930444</xdr:colOff>
      <xdr:row>11</xdr:row>
      <xdr:rowOff>3339154</xdr:rowOff>
    </xdr:to>
    <xdr:sp macro="" textlink="">
      <xdr:nvSpPr>
        <xdr:cNvPr id="51" name="Text Box 255">
          <a:extLst>
            <a:ext uri="{FF2B5EF4-FFF2-40B4-BE49-F238E27FC236}">
              <a16:creationId xmlns:a16="http://schemas.microsoft.com/office/drawing/2014/main" id="{00000000-0008-0000-0600-000033000000}"/>
            </a:ext>
          </a:extLst>
        </xdr:cNvPr>
        <xdr:cNvSpPr txBox="1">
          <a:spLocks noChangeArrowheads="1"/>
        </xdr:cNvSpPr>
      </xdr:nvSpPr>
      <xdr:spPr bwMode="auto">
        <a:xfrm>
          <a:off x="3238807" y="1663012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1862435</xdr:colOff>
      <xdr:row>11</xdr:row>
      <xdr:rowOff>2864545</xdr:rowOff>
    </xdr:from>
    <xdr:to>
      <xdr:col>1</xdr:col>
      <xdr:colOff>2252118</xdr:colOff>
      <xdr:row>11</xdr:row>
      <xdr:rowOff>3074947</xdr:rowOff>
    </xdr:to>
    <xdr:sp macro="" textlink="">
      <xdr:nvSpPr>
        <xdr:cNvPr id="52" name="Text Box 255">
          <a:extLst>
            <a:ext uri="{FF2B5EF4-FFF2-40B4-BE49-F238E27FC236}">
              <a16:creationId xmlns:a16="http://schemas.microsoft.com/office/drawing/2014/main" id="{00000000-0008-0000-0600-000034000000}"/>
            </a:ext>
          </a:extLst>
        </xdr:cNvPr>
        <xdr:cNvSpPr txBox="1">
          <a:spLocks noChangeArrowheads="1"/>
        </xdr:cNvSpPr>
      </xdr:nvSpPr>
      <xdr:spPr bwMode="auto">
        <a:xfrm>
          <a:off x="2566196" y="1636782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1566595</xdr:colOff>
      <xdr:row>11</xdr:row>
      <xdr:rowOff>541909</xdr:rowOff>
    </xdr:from>
    <xdr:to>
      <xdr:col>1</xdr:col>
      <xdr:colOff>1969613</xdr:colOff>
      <xdr:row>11</xdr:row>
      <xdr:rowOff>752311</xdr:rowOff>
    </xdr:to>
    <xdr:sp macro="" textlink="">
      <xdr:nvSpPr>
        <xdr:cNvPr id="53" name="Text Box 255">
          <a:extLst>
            <a:ext uri="{FF2B5EF4-FFF2-40B4-BE49-F238E27FC236}">
              <a16:creationId xmlns:a16="http://schemas.microsoft.com/office/drawing/2014/main" id="{00000000-0008-0000-0600-000035000000}"/>
            </a:ext>
          </a:extLst>
        </xdr:cNvPr>
        <xdr:cNvSpPr txBox="1">
          <a:spLocks noChangeArrowheads="1"/>
        </xdr:cNvSpPr>
      </xdr:nvSpPr>
      <xdr:spPr bwMode="auto">
        <a:xfrm>
          <a:off x="2274166" y="1404518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1587823</xdr:colOff>
      <xdr:row>11</xdr:row>
      <xdr:rowOff>219817</xdr:rowOff>
    </xdr:from>
    <xdr:to>
      <xdr:col>1</xdr:col>
      <xdr:colOff>1977506</xdr:colOff>
      <xdr:row>11</xdr:row>
      <xdr:rowOff>416884</xdr:rowOff>
    </xdr:to>
    <xdr:sp macro="" textlink="">
      <xdr:nvSpPr>
        <xdr:cNvPr id="54" name="Text Box 255">
          <a:extLst>
            <a:ext uri="{FF2B5EF4-FFF2-40B4-BE49-F238E27FC236}">
              <a16:creationId xmlns:a16="http://schemas.microsoft.com/office/drawing/2014/main" id="{00000000-0008-0000-0600-000036000000}"/>
            </a:ext>
          </a:extLst>
        </xdr:cNvPr>
        <xdr:cNvSpPr txBox="1">
          <a:spLocks noChangeArrowheads="1"/>
        </xdr:cNvSpPr>
      </xdr:nvSpPr>
      <xdr:spPr bwMode="auto">
        <a:xfrm>
          <a:off x="2287774" y="137154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2175253</xdr:colOff>
      <xdr:row>11</xdr:row>
      <xdr:rowOff>559283</xdr:rowOff>
    </xdr:from>
    <xdr:to>
      <xdr:col>1</xdr:col>
      <xdr:colOff>2580176</xdr:colOff>
      <xdr:row>11</xdr:row>
      <xdr:rowOff>758255</xdr:rowOff>
    </xdr:to>
    <xdr:sp macro="" textlink="">
      <xdr:nvSpPr>
        <xdr:cNvPr id="55" name="Text Box 255">
          <a:extLst>
            <a:ext uri="{FF2B5EF4-FFF2-40B4-BE49-F238E27FC236}">
              <a16:creationId xmlns:a16="http://schemas.microsoft.com/office/drawing/2014/main" id="{00000000-0008-0000-0600-000037000000}"/>
            </a:ext>
          </a:extLst>
        </xdr:cNvPr>
        <xdr:cNvSpPr txBox="1">
          <a:spLocks noChangeArrowheads="1"/>
        </xdr:cNvSpPr>
      </xdr:nvSpPr>
      <xdr:spPr bwMode="auto">
        <a:xfrm>
          <a:off x="2882824" y="140530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2174730</xdr:colOff>
      <xdr:row>11</xdr:row>
      <xdr:rowOff>272904</xdr:rowOff>
    </xdr:from>
    <xdr:to>
      <xdr:col>1</xdr:col>
      <xdr:colOff>2579653</xdr:colOff>
      <xdr:row>11</xdr:row>
      <xdr:rowOff>483306</xdr:rowOff>
    </xdr:to>
    <xdr:sp macro="" textlink="">
      <xdr:nvSpPr>
        <xdr:cNvPr id="56" name="Text Box 255">
          <a:extLst>
            <a:ext uri="{FF2B5EF4-FFF2-40B4-BE49-F238E27FC236}">
              <a16:creationId xmlns:a16="http://schemas.microsoft.com/office/drawing/2014/main" id="{00000000-0008-0000-0600-000038000000}"/>
            </a:ext>
          </a:extLst>
        </xdr:cNvPr>
        <xdr:cNvSpPr txBox="1">
          <a:spLocks noChangeArrowheads="1"/>
        </xdr:cNvSpPr>
      </xdr:nvSpPr>
      <xdr:spPr bwMode="auto">
        <a:xfrm>
          <a:off x="2882301" y="1377618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1096312</xdr:colOff>
      <xdr:row>16</xdr:row>
      <xdr:rowOff>252302</xdr:rowOff>
    </xdr:from>
    <xdr:to>
      <xdr:col>1</xdr:col>
      <xdr:colOff>1487900</xdr:colOff>
      <xdr:row>16</xdr:row>
      <xdr:rowOff>449369</xdr:rowOff>
    </xdr:to>
    <xdr:sp macro="" textlink="">
      <xdr:nvSpPr>
        <xdr:cNvPr id="83" name="Text Box 255">
          <a:extLst>
            <a:ext uri="{FF2B5EF4-FFF2-40B4-BE49-F238E27FC236}">
              <a16:creationId xmlns:a16="http://schemas.microsoft.com/office/drawing/2014/main" id="{00000000-0008-0000-0600-000053000000}"/>
            </a:ext>
          </a:extLst>
        </xdr:cNvPr>
        <xdr:cNvSpPr txBox="1">
          <a:spLocks noChangeArrowheads="1"/>
        </xdr:cNvSpPr>
      </xdr:nvSpPr>
      <xdr:spPr bwMode="auto">
        <a:xfrm>
          <a:off x="1797035" y="221138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1068616</xdr:colOff>
      <xdr:row>16</xdr:row>
      <xdr:rowOff>638725</xdr:rowOff>
    </xdr:from>
    <xdr:to>
      <xdr:col>1</xdr:col>
      <xdr:colOff>1473539</xdr:colOff>
      <xdr:row>16</xdr:row>
      <xdr:rowOff>833887</xdr:rowOff>
    </xdr:to>
    <xdr:sp macro="" textlink="">
      <xdr:nvSpPr>
        <xdr:cNvPr id="84" name="Text Box 255">
          <a:extLst>
            <a:ext uri="{FF2B5EF4-FFF2-40B4-BE49-F238E27FC236}">
              <a16:creationId xmlns:a16="http://schemas.microsoft.com/office/drawing/2014/main" id="{00000000-0008-0000-0600-000054000000}"/>
            </a:ext>
          </a:extLst>
        </xdr:cNvPr>
        <xdr:cNvSpPr txBox="1">
          <a:spLocks noChangeArrowheads="1"/>
        </xdr:cNvSpPr>
      </xdr:nvSpPr>
      <xdr:spPr bwMode="auto">
        <a:xfrm>
          <a:off x="1775054" y="2250220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425899</xdr:colOff>
      <xdr:row>16</xdr:row>
      <xdr:rowOff>256258</xdr:rowOff>
    </xdr:from>
    <xdr:to>
      <xdr:col>1</xdr:col>
      <xdr:colOff>830822</xdr:colOff>
      <xdr:row>16</xdr:row>
      <xdr:rowOff>453325</xdr:rowOff>
    </xdr:to>
    <xdr:sp macro="" textlink="">
      <xdr:nvSpPr>
        <xdr:cNvPr id="85" name="Text Box 255">
          <a:extLst>
            <a:ext uri="{FF2B5EF4-FFF2-40B4-BE49-F238E27FC236}">
              <a16:creationId xmlns:a16="http://schemas.microsoft.com/office/drawing/2014/main" id="{00000000-0008-0000-0600-000055000000}"/>
            </a:ext>
          </a:extLst>
        </xdr:cNvPr>
        <xdr:cNvSpPr txBox="1">
          <a:spLocks noChangeArrowheads="1"/>
        </xdr:cNvSpPr>
      </xdr:nvSpPr>
      <xdr:spPr bwMode="auto">
        <a:xfrm>
          <a:off x="1136147" y="221197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423595</xdr:colOff>
      <xdr:row>16</xdr:row>
      <xdr:rowOff>636862</xdr:rowOff>
    </xdr:from>
    <xdr:to>
      <xdr:col>1</xdr:col>
      <xdr:colOff>828518</xdr:colOff>
      <xdr:row>16</xdr:row>
      <xdr:rowOff>833929</xdr:rowOff>
    </xdr:to>
    <xdr:sp macro="" textlink="">
      <xdr:nvSpPr>
        <xdr:cNvPr id="86" name="Text Box 255">
          <a:extLst>
            <a:ext uri="{FF2B5EF4-FFF2-40B4-BE49-F238E27FC236}">
              <a16:creationId xmlns:a16="http://schemas.microsoft.com/office/drawing/2014/main" id="{00000000-0008-0000-0600-000056000000}"/>
            </a:ext>
          </a:extLst>
        </xdr:cNvPr>
        <xdr:cNvSpPr txBox="1">
          <a:spLocks noChangeArrowheads="1"/>
        </xdr:cNvSpPr>
      </xdr:nvSpPr>
      <xdr:spPr bwMode="auto">
        <a:xfrm>
          <a:off x="1133843" y="2249843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414655</xdr:colOff>
      <xdr:row>16</xdr:row>
      <xdr:rowOff>1109009</xdr:rowOff>
    </xdr:from>
    <xdr:to>
      <xdr:col>1</xdr:col>
      <xdr:colOff>806243</xdr:colOff>
      <xdr:row>16</xdr:row>
      <xdr:rowOff>1321316</xdr:rowOff>
    </xdr:to>
    <xdr:sp macro="" textlink="">
      <xdr:nvSpPr>
        <xdr:cNvPr id="87" name="Text Box 255">
          <a:extLst>
            <a:ext uri="{FF2B5EF4-FFF2-40B4-BE49-F238E27FC236}">
              <a16:creationId xmlns:a16="http://schemas.microsoft.com/office/drawing/2014/main" id="{00000000-0008-0000-0600-000057000000}"/>
            </a:ext>
          </a:extLst>
        </xdr:cNvPr>
        <xdr:cNvSpPr txBox="1">
          <a:spLocks noChangeArrowheads="1"/>
        </xdr:cNvSpPr>
      </xdr:nvSpPr>
      <xdr:spPr bwMode="auto">
        <a:xfrm>
          <a:off x="111918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694690</xdr:colOff>
      <xdr:row>16</xdr:row>
      <xdr:rowOff>1109009</xdr:rowOff>
    </xdr:from>
    <xdr:to>
      <xdr:col>1</xdr:col>
      <xdr:colOff>1099613</xdr:colOff>
      <xdr:row>16</xdr:row>
      <xdr:rowOff>1321316</xdr:rowOff>
    </xdr:to>
    <xdr:sp macro="" textlink="">
      <xdr:nvSpPr>
        <xdr:cNvPr id="88" name="Text Box 255">
          <a:extLst>
            <a:ext uri="{FF2B5EF4-FFF2-40B4-BE49-F238E27FC236}">
              <a16:creationId xmlns:a16="http://schemas.microsoft.com/office/drawing/2014/main" id="{00000000-0008-0000-0600-000058000000}"/>
            </a:ext>
          </a:extLst>
        </xdr:cNvPr>
        <xdr:cNvSpPr txBox="1">
          <a:spLocks noChangeArrowheads="1"/>
        </xdr:cNvSpPr>
      </xdr:nvSpPr>
      <xdr:spPr bwMode="auto">
        <a:xfrm>
          <a:off x="140493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573943</xdr:colOff>
      <xdr:row>16</xdr:row>
      <xdr:rowOff>1570604</xdr:rowOff>
    </xdr:from>
    <xdr:to>
      <xdr:col>1</xdr:col>
      <xdr:colOff>978866</xdr:colOff>
      <xdr:row>16</xdr:row>
      <xdr:rowOff>1781006</xdr:rowOff>
    </xdr:to>
    <xdr:sp macro="" textlink="">
      <xdr:nvSpPr>
        <xdr:cNvPr id="89" name="Text Box 255">
          <a:extLst>
            <a:ext uri="{FF2B5EF4-FFF2-40B4-BE49-F238E27FC236}">
              <a16:creationId xmlns:a16="http://schemas.microsoft.com/office/drawing/2014/main" id="{00000000-0008-0000-0600-000059000000}"/>
            </a:ext>
          </a:extLst>
        </xdr:cNvPr>
        <xdr:cNvSpPr txBox="1">
          <a:spLocks noChangeArrowheads="1"/>
        </xdr:cNvSpPr>
      </xdr:nvSpPr>
      <xdr:spPr bwMode="auto">
        <a:xfrm>
          <a:off x="1280381" y="2344360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2505173</xdr:colOff>
      <xdr:row>16</xdr:row>
      <xdr:rowOff>3190586</xdr:rowOff>
    </xdr:from>
    <xdr:to>
      <xdr:col>1</xdr:col>
      <xdr:colOff>2896761</xdr:colOff>
      <xdr:row>16</xdr:row>
      <xdr:rowOff>3387653</xdr:rowOff>
    </xdr:to>
    <xdr:sp macro="" textlink="">
      <xdr:nvSpPr>
        <xdr:cNvPr id="90" name="Text Box 255">
          <a:extLst>
            <a:ext uri="{FF2B5EF4-FFF2-40B4-BE49-F238E27FC236}">
              <a16:creationId xmlns:a16="http://schemas.microsoft.com/office/drawing/2014/main" id="{00000000-0008-0000-0600-00005A000000}"/>
            </a:ext>
          </a:extLst>
        </xdr:cNvPr>
        <xdr:cNvSpPr txBox="1">
          <a:spLocks noChangeArrowheads="1"/>
        </xdr:cNvSpPr>
      </xdr:nvSpPr>
      <xdr:spPr bwMode="auto">
        <a:xfrm>
          <a:off x="3205896" y="250540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1826847</xdr:colOff>
      <xdr:row>16</xdr:row>
      <xdr:rowOff>2926379</xdr:rowOff>
    </xdr:from>
    <xdr:to>
      <xdr:col>1</xdr:col>
      <xdr:colOff>2231770</xdr:colOff>
      <xdr:row>16</xdr:row>
      <xdr:rowOff>3123446</xdr:rowOff>
    </xdr:to>
    <xdr:sp macro="" textlink="">
      <xdr:nvSpPr>
        <xdr:cNvPr id="91" name="Text Box 255">
          <a:extLst>
            <a:ext uri="{FF2B5EF4-FFF2-40B4-BE49-F238E27FC236}">
              <a16:creationId xmlns:a16="http://schemas.microsoft.com/office/drawing/2014/main" id="{00000000-0008-0000-0600-00005B000000}"/>
            </a:ext>
          </a:extLst>
        </xdr:cNvPr>
        <xdr:cNvSpPr txBox="1">
          <a:spLocks noChangeArrowheads="1"/>
        </xdr:cNvSpPr>
      </xdr:nvSpPr>
      <xdr:spPr bwMode="auto">
        <a:xfrm>
          <a:off x="2533285" y="2479176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1521209</xdr:colOff>
      <xdr:row>16</xdr:row>
      <xdr:rowOff>606737</xdr:rowOff>
    </xdr:from>
    <xdr:to>
      <xdr:col>1</xdr:col>
      <xdr:colOff>1914702</xdr:colOff>
      <xdr:row>16</xdr:row>
      <xdr:rowOff>803804</xdr:rowOff>
    </xdr:to>
    <xdr:sp macro="" textlink="">
      <xdr:nvSpPr>
        <xdr:cNvPr id="92" name="Text Box 255">
          <a:extLst>
            <a:ext uri="{FF2B5EF4-FFF2-40B4-BE49-F238E27FC236}">
              <a16:creationId xmlns:a16="http://schemas.microsoft.com/office/drawing/2014/main" id="{00000000-0008-0000-0600-00005C000000}"/>
            </a:ext>
          </a:extLst>
        </xdr:cNvPr>
        <xdr:cNvSpPr txBox="1">
          <a:spLocks noChangeArrowheads="1"/>
        </xdr:cNvSpPr>
      </xdr:nvSpPr>
      <xdr:spPr bwMode="auto">
        <a:xfrm>
          <a:off x="2228780" y="2250654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1552235</xdr:colOff>
      <xdr:row>16</xdr:row>
      <xdr:rowOff>270221</xdr:rowOff>
    </xdr:from>
    <xdr:to>
      <xdr:col>1</xdr:col>
      <xdr:colOff>1945728</xdr:colOff>
      <xdr:row>16</xdr:row>
      <xdr:rowOff>467288</xdr:rowOff>
    </xdr:to>
    <xdr:sp macro="" textlink="">
      <xdr:nvSpPr>
        <xdr:cNvPr id="93" name="Text Box 255">
          <a:extLst>
            <a:ext uri="{FF2B5EF4-FFF2-40B4-BE49-F238E27FC236}">
              <a16:creationId xmlns:a16="http://schemas.microsoft.com/office/drawing/2014/main" id="{00000000-0008-0000-0600-00005D000000}"/>
            </a:ext>
          </a:extLst>
        </xdr:cNvPr>
        <xdr:cNvSpPr txBox="1">
          <a:spLocks noChangeArrowheads="1"/>
        </xdr:cNvSpPr>
      </xdr:nvSpPr>
      <xdr:spPr bwMode="auto">
        <a:xfrm>
          <a:off x="2254863" y="2213941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2126873</xdr:colOff>
      <xdr:row>16</xdr:row>
      <xdr:rowOff>607782</xdr:rowOff>
    </xdr:from>
    <xdr:to>
      <xdr:col>1</xdr:col>
      <xdr:colOff>2518461</xdr:colOff>
      <xdr:row>16</xdr:row>
      <xdr:rowOff>804849</xdr:rowOff>
    </xdr:to>
    <xdr:sp macro="" textlink="">
      <xdr:nvSpPr>
        <xdr:cNvPr id="94" name="Text Box 255">
          <a:extLst>
            <a:ext uri="{FF2B5EF4-FFF2-40B4-BE49-F238E27FC236}">
              <a16:creationId xmlns:a16="http://schemas.microsoft.com/office/drawing/2014/main" id="{00000000-0008-0000-0600-00005E000000}"/>
            </a:ext>
          </a:extLst>
        </xdr:cNvPr>
        <xdr:cNvSpPr txBox="1">
          <a:spLocks noChangeArrowheads="1"/>
        </xdr:cNvSpPr>
      </xdr:nvSpPr>
      <xdr:spPr bwMode="auto">
        <a:xfrm>
          <a:off x="2830634" y="2250759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2126350</xdr:colOff>
      <xdr:row>16</xdr:row>
      <xdr:rowOff>339637</xdr:rowOff>
    </xdr:from>
    <xdr:to>
      <xdr:col>1</xdr:col>
      <xdr:colOff>2517938</xdr:colOff>
      <xdr:row>16</xdr:row>
      <xdr:rowOff>536704</xdr:rowOff>
    </xdr:to>
    <xdr:sp macro="" textlink="">
      <xdr:nvSpPr>
        <xdr:cNvPr id="95" name="Text Box 255">
          <a:extLst>
            <a:ext uri="{FF2B5EF4-FFF2-40B4-BE49-F238E27FC236}">
              <a16:creationId xmlns:a16="http://schemas.microsoft.com/office/drawing/2014/main" id="{00000000-0008-0000-0600-00005F000000}"/>
            </a:ext>
          </a:extLst>
        </xdr:cNvPr>
        <xdr:cNvSpPr txBox="1">
          <a:spLocks noChangeArrowheads="1"/>
        </xdr:cNvSpPr>
      </xdr:nvSpPr>
      <xdr:spPr bwMode="auto">
        <a:xfrm>
          <a:off x="2830111" y="222375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1095542</xdr:colOff>
      <xdr:row>20</xdr:row>
      <xdr:rowOff>223723</xdr:rowOff>
    </xdr:from>
    <xdr:to>
      <xdr:col>1</xdr:col>
      <xdr:colOff>1489035</xdr:colOff>
      <xdr:row>20</xdr:row>
      <xdr:rowOff>420790</xdr:rowOff>
    </xdr:to>
    <xdr:sp macro="" textlink="">
      <xdr:nvSpPr>
        <xdr:cNvPr id="109" name="Text Box 255">
          <a:extLst>
            <a:ext uri="{FF2B5EF4-FFF2-40B4-BE49-F238E27FC236}">
              <a16:creationId xmlns:a16="http://schemas.microsoft.com/office/drawing/2014/main" id="{00000000-0008-0000-0600-00006D000000}"/>
            </a:ext>
          </a:extLst>
        </xdr:cNvPr>
        <xdr:cNvSpPr txBox="1">
          <a:spLocks noChangeArrowheads="1"/>
        </xdr:cNvSpPr>
      </xdr:nvSpPr>
      <xdr:spPr bwMode="auto">
        <a:xfrm>
          <a:off x="1799303" y="3035413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1069751</xdr:colOff>
      <xdr:row>20</xdr:row>
      <xdr:rowOff>608241</xdr:rowOff>
    </xdr:from>
    <xdr:to>
      <xdr:col>1</xdr:col>
      <xdr:colOff>1474674</xdr:colOff>
      <xdr:row>20</xdr:row>
      <xdr:rowOff>805308</xdr:rowOff>
    </xdr:to>
    <xdr:sp macro="" textlink="">
      <xdr:nvSpPr>
        <xdr:cNvPr id="110" name="Text Box 255">
          <a:extLst>
            <a:ext uri="{FF2B5EF4-FFF2-40B4-BE49-F238E27FC236}">
              <a16:creationId xmlns:a16="http://schemas.microsoft.com/office/drawing/2014/main" id="{00000000-0008-0000-0600-00006E000000}"/>
            </a:ext>
          </a:extLst>
        </xdr:cNvPr>
        <xdr:cNvSpPr txBox="1">
          <a:spLocks noChangeArrowheads="1"/>
        </xdr:cNvSpPr>
      </xdr:nvSpPr>
      <xdr:spPr bwMode="auto">
        <a:xfrm>
          <a:off x="1777322" y="307424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427034</xdr:colOff>
      <xdr:row>20</xdr:row>
      <xdr:rowOff>225774</xdr:rowOff>
    </xdr:from>
    <xdr:to>
      <xdr:col>1</xdr:col>
      <xdr:colOff>831957</xdr:colOff>
      <xdr:row>20</xdr:row>
      <xdr:rowOff>422841</xdr:rowOff>
    </xdr:to>
    <xdr:sp macro="" textlink="">
      <xdr:nvSpPr>
        <xdr:cNvPr id="111" name="Text Box 255">
          <a:extLst>
            <a:ext uri="{FF2B5EF4-FFF2-40B4-BE49-F238E27FC236}">
              <a16:creationId xmlns:a16="http://schemas.microsoft.com/office/drawing/2014/main" id="{00000000-0008-0000-0600-00006F000000}"/>
            </a:ext>
          </a:extLst>
        </xdr:cNvPr>
        <xdr:cNvSpPr txBox="1">
          <a:spLocks noChangeArrowheads="1"/>
        </xdr:cNvSpPr>
      </xdr:nvSpPr>
      <xdr:spPr bwMode="auto">
        <a:xfrm>
          <a:off x="1138415" y="3035999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424730</xdr:colOff>
      <xdr:row>20</xdr:row>
      <xdr:rowOff>606378</xdr:rowOff>
    </xdr:from>
    <xdr:to>
      <xdr:col>1</xdr:col>
      <xdr:colOff>829653</xdr:colOff>
      <xdr:row>20</xdr:row>
      <xdr:rowOff>803445</xdr:rowOff>
    </xdr:to>
    <xdr:sp macro="" textlink="">
      <xdr:nvSpPr>
        <xdr:cNvPr id="112" name="Text Box 255">
          <a:extLst>
            <a:ext uri="{FF2B5EF4-FFF2-40B4-BE49-F238E27FC236}">
              <a16:creationId xmlns:a16="http://schemas.microsoft.com/office/drawing/2014/main" id="{00000000-0008-0000-0600-000070000000}"/>
            </a:ext>
          </a:extLst>
        </xdr:cNvPr>
        <xdr:cNvSpPr txBox="1">
          <a:spLocks noChangeArrowheads="1"/>
        </xdr:cNvSpPr>
      </xdr:nvSpPr>
      <xdr:spPr bwMode="auto">
        <a:xfrm>
          <a:off x="1136111" y="307386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415790</xdr:colOff>
      <xdr:row>20</xdr:row>
      <xdr:rowOff>1093765</xdr:rowOff>
    </xdr:from>
    <xdr:to>
      <xdr:col>1</xdr:col>
      <xdr:colOff>807378</xdr:colOff>
      <xdr:row>20</xdr:row>
      <xdr:rowOff>1290832</xdr:rowOff>
    </xdr:to>
    <xdr:sp macro="" textlink="">
      <xdr:nvSpPr>
        <xdr:cNvPr id="113" name="Text Box 255">
          <a:extLst>
            <a:ext uri="{FF2B5EF4-FFF2-40B4-BE49-F238E27FC236}">
              <a16:creationId xmlns:a16="http://schemas.microsoft.com/office/drawing/2014/main" id="{00000000-0008-0000-0600-000071000000}"/>
            </a:ext>
          </a:extLst>
        </xdr:cNvPr>
        <xdr:cNvSpPr txBox="1">
          <a:spLocks noChangeArrowheads="1"/>
        </xdr:cNvSpPr>
      </xdr:nvSpPr>
      <xdr:spPr bwMode="auto">
        <a:xfrm>
          <a:off x="112145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695825</xdr:colOff>
      <xdr:row>20</xdr:row>
      <xdr:rowOff>1093765</xdr:rowOff>
    </xdr:from>
    <xdr:to>
      <xdr:col>1</xdr:col>
      <xdr:colOff>1100748</xdr:colOff>
      <xdr:row>20</xdr:row>
      <xdr:rowOff>1290832</xdr:rowOff>
    </xdr:to>
    <xdr:sp macro="" textlink="">
      <xdr:nvSpPr>
        <xdr:cNvPr id="114" name="Text Box 255">
          <a:extLst>
            <a:ext uri="{FF2B5EF4-FFF2-40B4-BE49-F238E27FC236}">
              <a16:creationId xmlns:a16="http://schemas.microsoft.com/office/drawing/2014/main" id="{00000000-0008-0000-0600-000072000000}"/>
            </a:ext>
          </a:extLst>
        </xdr:cNvPr>
        <xdr:cNvSpPr txBox="1">
          <a:spLocks noChangeArrowheads="1"/>
        </xdr:cNvSpPr>
      </xdr:nvSpPr>
      <xdr:spPr bwMode="auto">
        <a:xfrm>
          <a:off x="140720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575078</xdr:colOff>
      <xdr:row>20</xdr:row>
      <xdr:rowOff>1553455</xdr:rowOff>
    </xdr:from>
    <xdr:to>
      <xdr:col>1</xdr:col>
      <xdr:colOff>980001</xdr:colOff>
      <xdr:row>20</xdr:row>
      <xdr:rowOff>1750522</xdr:rowOff>
    </xdr:to>
    <xdr:sp macro="" textlink="">
      <xdr:nvSpPr>
        <xdr:cNvPr id="115" name="Text Box 255">
          <a:extLst>
            <a:ext uri="{FF2B5EF4-FFF2-40B4-BE49-F238E27FC236}">
              <a16:creationId xmlns:a16="http://schemas.microsoft.com/office/drawing/2014/main" id="{00000000-0008-0000-0600-000073000000}"/>
            </a:ext>
          </a:extLst>
        </xdr:cNvPr>
        <xdr:cNvSpPr txBox="1">
          <a:spLocks noChangeArrowheads="1"/>
        </xdr:cNvSpPr>
      </xdr:nvSpPr>
      <xdr:spPr bwMode="auto">
        <a:xfrm>
          <a:off x="1282649" y="3168387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2504403</xdr:colOff>
      <xdr:row>20</xdr:row>
      <xdr:rowOff>3160102</xdr:rowOff>
    </xdr:from>
    <xdr:to>
      <xdr:col>1</xdr:col>
      <xdr:colOff>2897896</xdr:colOff>
      <xdr:row>20</xdr:row>
      <xdr:rowOff>3357169</xdr:rowOff>
    </xdr:to>
    <xdr:sp macro="" textlink="">
      <xdr:nvSpPr>
        <xdr:cNvPr id="116" name="Text Box 255">
          <a:extLst>
            <a:ext uri="{FF2B5EF4-FFF2-40B4-BE49-F238E27FC236}">
              <a16:creationId xmlns:a16="http://schemas.microsoft.com/office/drawing/2014/main" id="{00000000-0008-0000-0600-000074000000}"/>
            </a:ext>
          </a:extLst>
        </xdr:cNvPr>
        <xdr:cNvSpPr txBox="1">
          <a:spLocks noChangeArrowheads="1"/>
        </xdr:cNvSpPr>
      </xdr:nvSpPr>
      <xdr:spPr bwMode="auto">
        <a:xfrm>
          <a:off x="3208164" y="3329432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1827982</xdr:colOff>
      <xdr:row>20</xdr:row>
      <xdr:rowOff>2897800</xdr:rowOff>
    </xdr:from>
    <xdr:to>
      <xdr:col>1</xdr:col>
      <xdr:colOff>2232905</xdr:colOff>
      <xdr:row>20</xdr:row>
      <xdr:rowOff>3094867</xdr:rowOff>
    </xdr:to>
    <xdr:sp macro="" textlink="">
      <xdr:nvSpPr>
        <xdr:cNvPr id="117" name="Text Box 255">
          <a:extLst>
            <a:ext uri="{FF2B5EF4-FFF2-40B4-BE49-F238E27FC236}">
              <a16:creationId xmlns:a16="http://schemas.microsoft.com/office/drawing/2014/main" id="{00000000-0008-0000-0600-000075000000}"/>
            </a:ext>
          </a:extLst>
        </xdr:cNvPr>
        <xdr:cNvSpPr txBox="1">
          <a:spLocks noChangeArrowheads="1"/>
        </xdr:cNvSpPr>
      </xdr:nvSpPr>
      <xdr:spPr bwMode="auto">
        <a:xfrm>
          <a:off x="2535553" y="3303202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1519350</xdr:colOff>
      <xdr:row>20</xdr:row>
      <xdr:rowOff>575164</xdr:rowOff>
    </xdr:from>
    <xdr:to>
      <xdr:col>1</xdr:col>
      <xdr:colOff>1909033</xdr:colOff>
      <xdr:row>20</xdr:row>
      <xdr:rowOff>772231</xdr:rowOff>
    </xdr:to>
    <xdr:sp macro="" textlink="">
      <xdr:nvSpPr>
        <xdr:cNvPr id="118" name="Text Box 255">
          <a:extLst>
            <a:ext uri="{FF2B5EF4-FFF2-40B4-BE49-F238E27FC236}">
              <a16:creationId xmlns:a16="http://schemas.microsoft.com/office/drawing/2014/main" id="{00000000-0008-0000-0600-000076000000}"/>
            </a:ext>
          </a:extLst>
        </xdr:cNvPr>
        <xdr:cNvSpPr txBox="1">
          <a:spLocks noChangeArrowheads="1"/>
        </xdr:cNvSpPr>
      </xdr:nvSpPr>
      <xdr:spPr bwMode="auto">
        <a:xfrm>
          <a:off x="2223111" y="3070938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1553370</xdr:colOff>
      <xdr:row>20</xdr:row>
      <xdr:rowOff>253072</xdr:rowOff>
    </xdr:from>
    <xdr:to>
      <xdr:col>1</xdr:col>
      <xdr:colOff>1946863</xdr:colOff>
      <xdr:row>20</xdr:row>
      <xdr:rowOff>450139</xdr:rowOff>
    </xdr:to>
    <xdr:sp macro="" textlink="">
      <xdr:nvSpPr>
        <xdr:cNvPr id="119" name="Text Box 255">
          <a:extLst>
            <a:ext uri="{FF2B5EF4-FFF2-40B4-BE49-F238E27FC236}">
              <a16:creationId xmlns:a16="http://schemas.microsoft.com/office/drawing/2014/main" id="{00000000-0008-0000-0600-000077000000}"/>
            </a:ext>
          </a:extLst>
        </xdr:cNvPr>
        <xdr:cNvSpPr txBox="1">
          <a:spLocks noChangeArrowheads="1"/>
        </xdr:cNvSpPr>
      </xdr:nvSpPr>
      <xdr:spPr bwMode="auto">
        <a:xfrm>
          <a:off x="2257131" y="3037967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2123109</xdr:colOff>
      <xdr:row>20</xdr:row>
      <xdr:rowOff>597437</xdr:rowOff>
    </xdr:from>
    <xdr:to>
      <xdr:col>1</xdr:col>
      <xdr:colOff>2514697</xdr:colOff>
      <xdr:row>20</xdr:row>
      <xdr:rowOff>794504</xdr:rowOff>
    </xdr:to>
    <xdr:sp macro="" textlink="">
      <xdr:nvSpPr>
        <xdr:cNvPr id="120" name="Text Box 255">
          <a:extLst>
            <a:ext uri="{FF2B5EF4-FFF2-40B4-BE49-F238E27FC236}">
              <a16:creationId xmlns:a16="http://schemas.microsoft.com/office/drawing/2014/main" id="{00000000-0008-0000-0600-000078000000}"/>
            </a:ext>
          </a:extLst>
        </xdr:cNvPr>
        <xdr:cNvSpPr txBox="1">
          <a:spLocks noChangeArrowheads="1"/>
        </xdr:cNvSpPr>
      </xdr:nvSpPr>
      <xdr:spPr bwMode="auto">
        <a:xfrm>
          <a:off x="2824965" y="307240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2122586</xdr:colOff>
      <xdr:row>20</xdr:row>
      <xdr:rowOff>306159</xdr:rowOff>
    </xdr:from>
    <xdr:to>
      <xdr:col>1</xdr:col>
      <xdr:colOff>2514174</xdr:colOff>
      <xdr:row>20</xdr:row>
      <xdr:rowOff>503226</xdr:rowOff>
    </xdr:to>
    <xdr:sp macro="" textlink="">
      <xdr:nvSpPr>
        <xdr:cNvPr id="121" name="Text Box 255">
          <a:extLst>
            <a:ext uri="{FF2B5EF4-FFF2-40B4-BE49-F238E27FC236}">
              <a16:creationId xmlns:a16="http://schemas.microsoft.com/office/drawing/2014/main" id="{00000000-0008-0000-0600-000079000000}"/>
            </a:ext>
          </a:extLst>
        </xdr:cNvPr>
        <xdr:cNvSpPr txBox="1">
          <a:spLocks noChangeArrowheads="1"/>
        </xdr:cNvSpPr>
      </xdr:nvSpPr>
      <xdr:spPr bwMode="auto">
        <a:xfrm>
          <a:off x="2824442" y="3044038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1225096</xdr:colOff>
      <xdr:row>20</xdr:row>
      <xdr:rowOff>1094810</xdr:rowOff>
    </xdr:from>
    <xdr:to>
      <xdr:col>1</xdr:col>
      <xdr:colOff>1630019</xdr:colOff>
      <xdr:row>20</xdr:row>
      <xdr:rowOff>1291877</xdr:rowOff>
    </xdr:to>
    <xdr:sp macro="" textlink="">
      <xdr:nvSpPr>
        <xdr:cNvPr id="122" name="Text Box 255">
          <a:extLst>
            <a:ext uri="{FF2B5EF4-FFF2-40B4-BE49-F238E27FC236}">
              <a16:creationId xmlns:a16="http://schemas.microsoft.com/office/drawing/2014/main" id="{00000000-0008-0000-0600-00007A000000}"/>
            </a:ext>
          </a:extLst>
        </xdr:cNvPr>
        <xdr:cNvSpPr txBox="1">
          <a:spLocks noChangeArrowheads="1"/>
        </xdr:cNvSpPr>
      </xdr:nvSpPr>
      <xdr:spPr bwMode="auto">
        <a:xfrm>
          <a:off x="1932928" y="3124225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1241852</xdr:colOff>
      <xdr:row>20</xdr:row>
      <xdr:rowOff>1482055</xdr:rowOff>
    </xdr:from>
    <xdr:to>
      <xdr:col>1</xdr:col>
      <xdr:colOff>1635345</xdr:colOff>
      <xdr:row>20</xdr:row>
      <xdr:rowOff>1681027</xdr:rowOff>
    </xdr:to>
    <xdr:sp macro="" textlink="">
      <xdr:nvSpPr>
        <xdr:cNvPr id="123" name="Text Box 255">
          <a:extLst>
            <a:ext uri="{FF2B5EF4-FFF2-40B4-BE49-F238E27FC236}">
              <a16:creationId xmlns:a16="http://schemas.microsoft.com/office/drawing/2014/main" id="{00000000-0008-0000-0600-00007B000000}"/>
            </a:ext>
          </a:extLst>
        </xdr:cNvPr>
        <xdr:cNvSpPr txBox="1">
          <a:spLocks noChangeArrowheads="1"/>
        </xdr:cNvSpPr>
      </xdr:nvSpPr>
      <xdr:spPr bwMode="auto">
        <a:xfrm>
          <a:off x="1938254" y="3163330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1387929</xdr:colOff>
      <xdr:row>11</xdr:row>
      <xdr:rowOff>966107</xdr:rowOff>
    </xdr:from>
    <xdr:to>
      <xdr:col>1</xdr:col>
      <xdr:colOff>1785207</xdr:colOff>
      <xdr:row>11</xdr:row>
      <xdr:rowOff>1166961</xdr:rowOff>
    </xdr:to>
    <xdr:sp macro="" textlink="">
      <xdr:nvSpPr>
        <xdr:cNvPr id="124" name="Text Box 255">
          <a:extLst>
            <a:ext uri="{FF2B5EF4-FFF2-40B4-BE49-F238E27FC236}">
              <a16:creationId xmlns:a16="http://schemas.microsoft.com/office/drawing/2014/main" id="{00000000-0008-0000-0600-00007C000000}"/>
            </a:ext>
          </a:extLst>
        </xdr:cNvPr>
        <xdr:cNvSpPr txBox="1">
          <a:spLocks noChangeArrowheads="1"/>
        </xdr:cNvSpPr>
      </xdr:nvSpPr>
      <xdr:spPr bwMode="auto">
        <a:xfrm>
          <a:off x="2095500" y="14382750"/>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1760538</xdr:colOff>
      <xdr:row>16</xdr:row>
      <xdr:rowOff>1646238</xdr:rowOff>
    </xdr:from>
    <xdr:to>
      <xdr:col>1</xdr:col>
      <xdr:colOff>2157816</xdr:colOff>
      <xdr:row>16</xdr:row>
      <xdr:rowOff>1847092</xdr:rowOff>
    </xdr:to>
    <xdr:sp macro="" textlink="">
      <xdr:nvSpPr>
        <xdr:cNvPr id="125" name="Text Box 255">
          <a:extLst>
            <a:ext uri="{FF2B5EF4-FFF2-40B4-BE49-F238E27FC236}">
              <a16:creationId xmlns:a16="http://schemas.microsoft.com/office/drawing/2014/main" id="{00000000-0008-0000-0600-00007D000000}"/>
            </a:ext>
          </a:extLst>
        </xdr:cNvPr>
        <xdr:cNvSpPr txBox="1">
          <a:spLocks noChangeArrowheads="1"/>
        </xdr:cNvSpPr>
      </xdr:nvSpPr>
      <xdr:spPr bwMode="auto">
        <a:xfrm>
          <a:off x="2465388" y="23506113"/>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1388765</xdr:colOff>
      <xdr:row>20</xdr:row>
      <xdr:rowOff>956060</xdr:rowOff>
    </xdr:from>
    <xdr:to>
      <xdr:col>1</xdr:col>
      <xdr:colOff>1786043</xdr:colOff>
      <xdr:row>20</xdr:row>
      <xdr:rowOff>1156914</xdr:rowOff>
    </xdr:to>
    <xdr:sp macro="" textlink="">
      <xdr:nvSpPr>
        <xdr:cNvPr id="128" name="Text Box 255">
          <a:extLst>
            <a:ext uri="{FF2B5EF4-FFF2-40B4-BE49-F238E27FC236}">
              <a16:creationId xmlns:a16="http://schemas.microsoft.com/office/drawing/2014/main" id="{00000000-0008-0000-0600-000080000000}"/>
            </a:ext>
          </a:extLst>
        </xdr:cNvPr>
        <xdr:cNvSpPr txBox="1">
          <a:spLocks noChangeArrowheads="1"/>
        </xdr:cNvSpPr>
      </xdr:nvSpPr>
      <xdr:spPr bwMode="auto">
        <a:xfrm>
          <a:off x="2092150" y="31025752"/>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1222303</xdr:colOff>
      <xdr:row>16</xdr:row>
      <xdr:rowOff>1130401</xdr:rowOff>
    </xdr:from>
    <xdr:to>
      <xdr:col>1</xdr:col>
      <xdr:colOff>1627226</xdr:colOff>
      <xdr:row>16</xdr:row>
      <xdr:rowOff>1327468</xdr:rowOff>
    </xdr:to>
    <xdr:sp macro="" textlink="">
      <xdr:nvSpPr>
        <xdr:cNvPr id="132" name="Text Box 255">
          <a:extLst>
            <a:ext uri="{FF2B5EF4-FFF2-40B4-BE49-F238E27FC236}">
              <a16:creationId xmlns:a16="http://schemas.microsoft.com/office/drawing/2014/main" id="{00000000-0008-0000-0600-000084000000}"/>
            </a:ext>
          </a:extLst>
        </xdr:cNvPr>
        <xdr:cNvSpPr txBox="1">
          <a:spLocks noChangeArrowheads="1"/>
        </xdr:cNvSpPr>
      </xdr:nvSpPr>
      <xdr:spPr bwMode="auto">
        <a:xfrm>
          <a:off x="1931779" y="2302259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1225724</xdr:colOff>
      <xdr:row>16</xdr:row>
      <xdr:rowOff>1517646</xdr:rowOff>
    </xdr:from>
    <xdr:to>
      <xdr:col>1</xdr:col>
      <xdr:colOff>1630647</xdr:colOff>
      <xdr:row>16</xdr:row>
      <xdr:rowOff>1714713</xdr:rowOff>
    </xdr:to>
    <xdr:sp macro="" textlink="">
      <xdr:nvSpPr>
        <xdr:cNvPr id="133" name="Text Box 255">
          <a:extLst>
            <a:ext uri="{FF2B5EF4-FFF2-40B4-BE49-F238E27FC236}">
              <a16:creationId xmlns:a16="http://schemas.microsoft.com/office/drawing/2014/main" id="{00000000-0008-0000-0600-000085000000}"/>
            </a:ext>
          </a:extLst>
        </xdr:cNvPr>
        <xdr:cNvSpPr txBox="1">
          <a:spLocks noChangeArrowheads="1"/>
        </xdr:cNvSpPr>
      </xdr:nvSpPr>
      <xdr:spPr bwMode="auto">
        <a:xfrm>
          <a:off x="1937105" y="2341364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1384067</xdr:colOff>
      <xdr:row>16</xdr:row>
      <xdr:rowOff>960438</xdr:rowOff>
    </xdr:from>
    <xdr:to>
      <xdr:col>1</xdr:col>
      <xdr:colOff>1781345</xdr:colOff>
      <xdr:row>16</xdr:row>
      <xdr:rowOff>1161292</xdr:rowOff>
    </xdr:to>
    <xdr:sp macro="" textlink="">
      <xdr:nvSpPr>
        <xdr:cNvPr id="134" name="Text Box 255">
          <a:extLst>
            <a:ext uri="{FF2B5EF4-FFF2-40B4-BE49-F238E27FC236}">
              <a16:creationId xmlns:a16="http://schemas.microsoft.com/office/drawing/2014/main" id="{00000000-0008-0000-0600-000086000000}"/>
            </a:ext>
          </a:extLst>
        </xdr:cNvPr>
        <xdr:cNvSpPr txBox="1">
          <a:spLocks noChangeArrowheads="1"/>
        </xdr:cNvSpPr>
      </xdr:nvSpPr>
      <xdr:spPr bwMode="auto">
        <a:xfrm>
          <a:off x="2091638" y="22827117"/>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1359626</xdr:colOff>
      <xdr:row>11</xdr:row>
      <xdr:rowOff>2709634</xdr:rowOff>
    </xdr:from>
    <xdr:to>
      <xdr:col>1</xdr:col>
      <xdr:colOff>1745525</xdr:colOff>
      <xdr:row>11</xdr:row>
      <xdr:rowOff>2921941</xdr:rowOff>
    </xdr:to>
    <xdr:sp macro="" textlink="">
      <xdr:nvSpPr>
        <xdr:cNvPr id="138" name="Text Box 255">
          <a:extLst>
            <a:ext uri="{FF2B5EF4-FFF2-40B4-BE49-F238E27FC236}">
              <a16:creationId xmlns:a16="http://schemas.microsoft.com/office/drawing/2014/main" id="{00000000-0008-0000-0600-00008A000000}"/>
            </a:ext>
          </a:extLst>
        </xdr:cNvPr>
        <xdr:cNvSpPr txBox="1">
          <a:spLocks noChangeArrowheads="1"/>
        </xdr:cNvSpPr>
      </xdr:nvSpPr>
      <xdr:spPr bwMode="auto">
        <a:xfrm>
          <a:off x="2061482" y="1621291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1360760</xdr:colOff>
      <xdr:row>16</xdr:row>
      <xdr:rowOff>2777880</xdr:rowOff>
    </xdr:from>
    <xdr:to>
      <xdr:col>1</xdr:col>
      <xdr:colOff>1746659</xdr:colOff>
      <xdr:row>16</xdr:row>
      <xdr:rowOff>2974947</xdr:rowOff>
    </xdr:to>
    <xdr:sp macro="" textlink="">
      <xdr:nvSpPr>
        <xdr:cNvPr id="139" name="Text Box 255">
          <a:extLst>
            <a:ext uri="{FF2B5EF4-FFF2-40B4-BE49-F238E27FC236}">
              <a16:creationId xmlns:a16="http://schemas.microsoft.com/office/drawing/2014/main" id="{00000000-0008-0000-0600-00008B000000}"/>
            </a:ext>
          </a:extLst>
        </xdr:cNvPr>
        <xdr:cNvSpPr txBox="1">
          <a:spLocks noChangeArrowheads="1"/>
        </xdr:cNvSpPr>
      </xdr:nvSpPr>
      <xdr:spPr bwMode="auto">
        <a:xfrm>
          <a:off x="2062616" y="24677690"/>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1359625</xdr:colOff>
      <xdr:row>20</xdr:row>
      <xdr:rowOff>2747438</xdr:rowOff>
    </xdr:from>
    <xdr:to>
      <xdr:col>1</xdr:col>
      <xdr:colOff>1745524</xdr:colOff>
      <xdr:row>20</xdr:row>
      <xdr:rowOff>2955935</xdr:rowOff>
    </xdr:to>
    <xdr:sp macro="" textlink="">
      <xdr:nvSpPr>
        <xdr:cNvPr id="140" name="Text Box 255">
          <a:extLst>
            <a:ext uri="{FF2B5EF4-FFF2-40B4-BE49-F238E27FC236}">
              <a16:creationId xmlns:a16="http://schemas.microsoft.com/office/drawing/2014/main" id="{00000000-0008-0000-0600-00008C000000}"/>
            </a:ext>
          </a:extLst>
        </xdr:cNvPr>
        <xdr:cNvSpPr txBox="1">
          <a:spLocks noChangeArrowheads="1"/>
        </xdr:cNvSpPr>
      </xdr:nvSpPr>
      <xdr:spPr bwMode="auto">
        <a:xfrm>
          <a:off x="2061481" y="3288166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2129310</xdr:colOff>
      <xdr:row>20</xdr:row>
      <xdr:rowOff>1664661</xdr:rowOff>
    </xdr:from>
    <xdr:to>
      <xdr:col>1</xdr:col>
      <xdr:colOff>2518993</xdr:colOff>
      <xdr:row>20</xdr:row>
      <xdr:rowOff>1931823</xdr:rowOff>
    </xdr:to>
    <xdr:sp macro="" textlink="">
      <xdr:nvSpPr>
        <xdr:cNvPr id="141" name="Text Box 255">
          <a:extLst>
            <a:ext uri="{FF2B5EF4-FFF2-40B4-BE49-F238E27FC236}">
              <a16:creationId xmlns:a16="http://schemas.microsoft.com/office/drawing/2014/main" id="{00000000-0008-0000-0600-00008D000000}"/>
            </a:ext>
          </a:extLst>
        </xdr:cNvPr>
        <xdr:cNvSpPr txBox="1">
          <a:spLocks noChangeArrowheads="1"/>
        </xdr:cNvSpPr>
      </xdr:nvSpPr>
      <xdr:spPr bwMode="auto">
        <a:xfrm>
          <a:off x="2833071" y="31791266"/>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1857169</xdr:colOff>
      <xdr:row>20</xdr:row>
      <xdr:rowOff>1942790</xdr:rowOff>
    </xdr:from>
    <xdr:to>
      <xdr:col>1</xdr:col>
      <xdr:colOff>2250662</xdr:colOff>
      <xdr:row>20</xdr:row>
      <xdr:rowOff>2209952</xdr:rowOff>
    </xdr:to>
    <xdr:sp macro="" textlink="">
      <xdr:nvSpPr>
        <xdr:cNvPr id="143" name="Text Box 255">
          <a:extLst>
            <a:ext uri="{FF2B5EF4-FFF2-40B4-BE49-F238E27FC236}">
              <a16:creationId xmlns:a16="http://schemas.microsoft.com/office/drawing/2014/main" id="{00000000-0008-0000-0600-00008F000000}"/>
            </a:ext>
          </a:extLst>
        </xdr:cNvPr>
        <xdr:cNvSpPr txBox="1">
          <a:spLocks noChangeArrowheads="1"/>
        </xdr:cNvSpPr>
      </xdr:nvSpPr>
      <xdr:spPr bwMode="auto">
        <a:xfrm>
          <a:off x="2560930" y="32077015"/>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2129520</xdr:colOff>
      <xdr:row>11</xdr:row>
      <xdr:rowOff>1628682</xdr:rowOff>
    </xdr:from>
    <xdr:to>
      <xdr:col>1</xdr:col>
      <xdr:colOff>2523013</xdr:colOff>
      <xdr:row>11</xdr:row>
      <xdr:rowOff>1895844</xdr:rowOff>
    </xdr:to>
    <xdr:sp macro="" textlink="">
      <xdr:nvSpPr>
        <xdr:cNvPr id="150" name="Text Box 255">
          <a:extLst>
            <a:ext uri="{FF2B5EF4-FFF2-40B4-BE49-F238E27FC236}">
              <a16:creationId xmlns:a16="http://schemas.microsoft.com/office/drawing/2014/main" id="{00000000-0008-0000-0600-000096000000}"/>
            </a:ext>
          </a:extLst>
        </xdr:cNvPr>
        <xdr:cNvSpPr txBox="1">
          <a:spLocks noChangeArrowheads="1"/>
        </xdr:cNvSpPr>
      </xdr:nvSpPr>
      <xdr:spPr bwMode="auto">
        <a:xfrm>
          <a:off x="2837091"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1603739</xdr:colOff>
      <xdr:row>11</xdr:row>
      <xdr:rowOff>1628682</xdr:rowOff>
    </xdr:from>
    <xdr:to>
      <xdr:col>1</xdr:col>
      <xdr:colOff>2008662</xdr:colOff>
      <xdr:row>11</xdr:row>
      <xdr:rowOff>1895844</xdr:rowOff>
    </xdr:to>
    <xdr:sp macro="" textlink="">
      <xdr:nvSpPr>
        <xdr:cNvPr id="151" name="Text Box 255">
          <a:extLst>
            <a:ext uri="{FF2B5EF4-FFF2-40B4-BE49-F238E27FC236}">
              <a16:creationId xmlns:a16="http://schemas.microsoft.com/office/drawing/2014/main" id="{00000000-0008-0000-0600-000097000000}"/>
            </a:ext>
          </a:extLst>
        </xdr:cNvPr>
        <xdr:cNvSpPr txBox="1">
          <a:spLocks noChangeArrowheads="1"/>
        </xdr:cNvSpPr>
      </xdr:nvSpPr>
      <xdr:spPr bwMode="auto">
        <a:xfrm>
          <a:off x="2313215"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1861189</xdr:colOff>
      <xdr:row>11</xdr:row>
      <xdr:rowOff>1908716</xdr:rowOff>
    </xdr:from>
    <xdr:to>
      <xdr:col>1</xdr:col>
      <xdr:colOff>2250872</xdr:colOff>
      <xdr:row>11</xdr:row>
      <xdr:rowOff>2175878</xdr:rowOff>
    </xdr:to>
    <xdr:sp macro="" textlink="">
      <xdr:nvSpPr>
        <xdr:cNvPr id="152" name="Text Box 255">
          <a:extLst>
            <a:ext uri="{FF2B5EF4-FFF2-40B4-BE49-F238E27FC236}">
              <a16:creationId xmlns:a16="http://schemas.microsoft.com/office/drawing/2014/main" id="{00000000-0008-0000-0600-000098000000}"/>
            </a:ext>
          </a:extLst>
        </xdr:cNvPr>
        <xdr:cNvSpPr txBox="1">
          <a:spLocks noChangeArrowheads="1"/>
        </xdr:cNvSpPr>
      </xdr:nvSpPr>
      <xdr:spPr bwMode="auto">
        <a:xfrm>
          <a:off x="2564950" y="15410090"/>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2126524</xdr:colOff>
      <xdr:row>7</xdr:row>
      <xdr:rowOff>1641470</xdr:rowOff>
    </xdr:from>
    <xdr:to>
      <xdr:col>1</xdr:col>
      <xdr:colOff>2518112</xdr:colOff>
      <xdr:row>7</xdr:row>
      <xdr:rowOff>1908632</xdr:rowOff>
    </xdr:to>
    <xdr:sp macro="" textlink="">
      <xdr:nvSpPr>
        <xdr:cNvPr id="158" name="Text Box 255">
          <a:extLst>
            <a:ext uri="{FF2B5EF4-FFF2-40B4-BE49-F238E27FC236}">
              <a16:creationId xmlns:a16="http://schemas.microsoft.com/office/drawing/2014/main" id="{00000000-0008-0000-0600-00009E000000}"/>
            </a:ext>
          </a:extLst>
        </xdr:cNvPr>
        <xdr:cNvSpPr txBox="1">
          <a:spLocks noChangeArrowheads="1"/>
        </xdr:cNvSpPr>
      </xdr:nvSpPr>
      <xdr:spPr bwMode="auto">
        <a:xfrm>
          <a:off x="2830285" y="6912427"/>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2121627</xdr:colOff>
      <xdr:row>16</xdr:row>
      <xdr:rowOff>1684364</xdr:rowOff>
    </xdr:from>
    <xdr:to>
      <xdr:col>1</xdr:col>
      <xdr:colOff>2513215</xdr:colOff>
      <xdr:row>16</xdr:row>
      <xdr:rowOff>1951526</xdr:rowOff>
    </xdr:to>
    <xdr:sp macro="" textlink="">
      <xdr:nvSpPr>
        <xdr:cNvPr id="161" name="Text Box 255">
          <a:extLst>
            <a:ext uri="{FF2B5EF4-FFF2-40B4-BE49-F238E27FC236}">
              <a16:creationId xmlns:a16="http://schemas.microsoft.com/office/drawing/2014/main" id="{00000000-0008-0000-0600-0000A1000000}"/>
            </a:ext>
          </a:extLst>
        </xdr:cNvPr>
        <xdr:cNvSpPr txBox="1">
          <a:spLocks noChangeArrowheads="1"/>
        </xdr:cNvSpPr>
      </xdr:nvSpPr>
      <xdr:spPr bwMode="auto">
        <a:xfrm>
          <a:off x="2823483" y="23587984"/>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xdr:from>
      <xdr:col>1</xdr:col>
      <xdr:colOff>1850570</xdr:colOff>
      <xdr:row>11</xdr:row>
      <xdr:rowOff>1285875</xdr:rowOff>
    </xdr:from>
    <xdr:to>
      <xdr:col>1</xdr:col>
      <xdr:colOff>2195349</xdr:colOff>
      <xdr:row>11</xdr:row>
      <xdr:rowOff>1544092</xdr:rowOff>
    </xdr:to>
    <xdr:sp macro="" textlink="">
      <xdr:nvSpPr>
        <xdr:cNvPr id="163" name="Text Box 225">
          <a:extLst>
            <a:ext uri="{FF2B5EF4-FFF2-40B4-BE49-F238E27FC236}">
              <a16:creationId xmlns:a16="http://schemas.microsoft.com/office/drawing/2014/main" id="{00000000-0008-0000-0600-0000A3000000}"/>
            </a:ext>
          </a:extLst>
        </xdr:cNvPr>
        <xdr:cNvSpPr txBox="1">
          <a:spLocks noChangeArrowheads="1"/>
        </xdr:cNvSpPr>
      </xdr:nvSpPr>
      <xdr:spPr bwMode="auto">
        <a:xfrm>
          <a:off x="2558141" y="14702518"/>
          <a:ext cx="344779" cy="25821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1947765</xdr:colOff>
      <xdr:row>6</xdr:row>
      <xdr:rowOff>307971</xdr:rowOff>
    </xdr:from>
    <xdr:to>
      <xdr:col>1</xdr:col>
      <xdr:colOff>2352688</xdr:colOff>
      <xdr:row>7</xdr:row>
      <xdr:rowOff>217349</xdr:rowOff>
    </xdr:to>
    <xdr:sp macro="" textlink="">
      <xdr:nvSpPr>
        <xdr:cNvPr id="164" name="Text Box 255">
          <a:extLst>
            <a:ext uri="{FF2B5EF4-FFF2-40B4-BE49-F238E27FC236}">
              <a16:creationId xmlns:a16="http://schemas.microsoft.com/office/drawing/2014/main" id="{00000000-0008-0000-0600-0000A4000000}"/>
            </a:ext>
          </a:extLst>
        </xdr:cNvPr>
        <xdr:cNvSpPr txBox="1">
          <a:spLocks noChangeArrowheads="1"/>
        </xdr:cNvSpPr>
      </xdr:nvSpPr>
      <xdr:spPr bwMode="auto">
        <a:xfrm>
          <a:off x="2659146" y="5143500"/>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1945826</xdr:colOff>
      <xdr:row>10</xdr:row>
      <xdr:rowOff>26849</xdr:rowOff>
    </xdr:from>
    <xdr:to>
      <xdr:col>1</xdr:col>
      <xdr:colOff>2350749</xdr:colOff>
      <xdr:row>11</xdr:row>
      <xdr:rowOff>189319</xdr:rowOff>
    </xdr:to>
    <xdr:sp macro="" textlink="">
      <xdr:nvSpPr>
        <xdr:cNvPr id="166" name="Text Box 255">
          <a:extLst>
            <a:ext uri="{FF2B5EF4-FFF2-40B4-BE49-F238E27FC236}">
              <a16:creationId xmlns:a16="http://schemas.microsoft.com/office/drawing/2014/main" id="{00000000-0008-0000-0600-0000A6000000}"/>
            </a:ext>
          </a:extLst>
        </xdr:cNvPr>
        <xdr:cNvSpPr txBox="1">
          <a:spLocks noChangeArrowheads="1"/>
        </xdr:cNvSpPr>
      </xdr:nvSpPr>
      <xdr:spPr bwMode="auto">
        <a:xfrm>
          <a:off x="2653397" y="13355412"/>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1893344</xdr:colOff>
      <xdr:row>15</xdr:row>
      <xdr:rowOff>107884</xdr:rowOff>
    </xdr:from>
    <xdr:to>
      <xdr:col>1</xdr:col>
      <xdr:colOff>2283027</xdr:colOff>
      <xdr:row>16</xdr:row>
      <xdr:rowOff>254570</xdr:rowOff>
    </xdr:to>
    <xdr:sp macro="" textlink="">
      <xdr:nvSpPr>
        <xdr:cNvPr id="167" name="Text Box 255">
          <a:extLst>
            <a:ext uri="{FF2B5EF4-FFF2-40B4-BE49-F238E27FC236}">
              <a16:creationId xmlns:a16="http://schemas.microsoft.com/office/drawing/2014/main" id="{00000000-0008-0000-0600-0000A7000000}"/>
            </a:ext>
          </a:extLst>
        </xdr:cNvPr>
        <xdr:cNvSpPr txBox="1">
          <a:spLocks noChangeArrowheads="1"/>
        </xdr:cNvSpPr>
      </xdr:nvSpPr>
      <xdr:spPr bwMode="auto">
        <a:xfrm>
          <a:off x="2593295" y="21813384"/>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1873976</xdr:colOff>
      <xdr:row>19</xdr:row>
      <xdr:rowOff>80439</xdr:rowOff>
    </xdr:from>
    <xdr:to>
      <xdr:col>1</xdr:col>
      <xdr:colOff>2278899</xdr:colOff>
      <xdr:row>20</xdr:row>
      <xdr:rowOff>220320</xdr:rowOff>
    </xdr:to>
    <xdr:sp macro="" textlink="">
      <xdr:nvSpPr>
        <xdr:cNvPr id="168" name="Text Box 255">
          <a:extLst>
            <a:ext uri="{FF2B5EF4-FFF2-40B4-BE49-F238E27FC236}">
              <a16:creationId xmlns:a16="http://schemas.microsoft.com/office/drawing/2014/main" id="{00000000-0008-0000-0600-0000A8000000}"/>
            </a:ext>
          </a:extLst>
        </xdr:cNvPr>
        <xdr:cNvSpPr txBox="1">
          <a:spLocks noChangeArrowheads="1"/>
        </xdr:cNvSpPr>
      </xdr:nvSpPr>
      <xdr:spPr bwMode="auto">
        <a:xfrm>
          <a:off x="2585357" y="30017359"/>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1603737</xdr:colOff>
      <xdr:row>20</xdr:row>
      <xdr:rowOff>1679279</xdr:rowOff>
    </xdr:from>
    <xdr:to>
      <xdr:col>1</xdr:col>
      <xdr:colOff>2008660</xdr:colOff>
      <xdr:row>20</xdr:row>
      <xdr:rowOff>1946441</xdr:rowOff>
    </xdr:to>
    <xdr:sp macro="" textlink="">
      <xdr:nvSpPr>
        <xdr:cNvPr id="169" name="Text Box 255">
          <a:extLst>
            <a:ext uri="{FF2B5EF4-FFF2-40B4-BE49-F238E27FC236}">
              <a16:creationId xmlns:a16="http://schemas.microsoft.com/office/drawing/2014/main" id="{00000000-0008-0000-0600-0000A9000000}"/>
            </a:ext>
          </a:extLst>
        </xdr:cNvPr>
        <xdr:cNvSpPr txBox="1">
          <a:spLocks noChangeArrowheads="1"/>
        </xdr:cNvSpPr>
      </xdr:nvSpPr>
      <xdr:spPr bwMode="auto">
        <a:xfrm>
          <a:off x="2313213" y="31813504"/>
          <a:ext cx="397303" cy="267162"/>
        </a:xfrm>
        <a:prstGeom prst="rect">
          <a:avLst/>
        </a:prstGeom>
        <a:noFill/>
        <a:ln w="9525">
          <a:noFill/>
          <a:miter lim="800000"/>
          <a:headEnd/>
          <a:tailEnd/>
        </a:ln>
      </xdr:spPr>
      <xdr:txBody>
        <a:bodyPr vertOverflow="clip" wrap="square" lIns="27432" tIns="27432" rIns="0" bIns="0" anchor="ctr" upright="1"/>
        <a:lstStyle/>
        <a:p>
          <a:pPr algn="ctr" rtl="0">
            <a:spcAft>
              <a:spcPts val="600"/>
            </a:spcAft>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oneCell">
    <xdr:from>
      <xdr:col>1</xdr:col>
      <xdr:colOff>0</xdr:colOff>
      <xdr:row>18</xdr:row>
      <xdr:rowOff>0</xdr:rowOff>
    </xdr:from>
    <xdr:to>
      <xdr:col>1</xdr:col>
      <xdr:colOff>6812280</xdr:colOff>
      <xdr:row>18</xdr:row>
      <xdr:rowOff>3940516</xdr:rowOff>
    </xdr:to>
    <xdr:pic>
      <xdr:nvPicPr>
        <xdr:cNvPr id="165" name="Picture 164">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571" y="26005971"/>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6812280</xdr:colOff>
      <xdr:row>14</xdr:row>
      <xdr:rowOff>10773</xdr:rowOff>
    </xdr:to>
    <xdr:pic>
      <xdr:nvPicPr>
        <xdr:cNvPr id="170" name="Picture 169">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7571" y="17645743"/>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6812280</xdr:colOff>
      <xdr:row>9</xdr:row>
      <xdr:rowOff>3940516</xdr:rowOff>
    </xdr:to>
    <xdr:pic>
      <xdr:nvPicPr>
        <xdr:cNvPr id="171" name="Picture 170">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7571" y="9405257"/>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6812280</xdr:colOff>
      <xdr:row>4</xdr:row>
      <xdr:rowOff>3940516</xdr:rowOff>
    </xdr:to>
    <xdr:pic>
      <xdr:nvPicPr>
        <xdr:cNvPr id="172" name="Picture 171">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7571" y="740229"/>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569071</xdr:colOff>
      <xdr:row>17</xdr:row>
      <xdr:rowOff>102345</xdr:rowOff>
    </xdr:from>
    <xdr:to>
      <xdr:col>21</xdr:col>
      <xdr:colOff>976592</xdr:colOff>
      <xdr:row>46</xdr:row>
      <xdr:rowOff>45196</xdr:rowOff>
    </xdr:to>
    <xdr:graphicFrame macro="">
      <xdr:nvGraphicFramePr>
        <xdr:cNvPr id="2" name="Chart 102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579743</xdr:colOff>
      <xdr:row>17</xdr:row>
      <xdr:rowOff>114617</xdr:rowOff>
    </xdr:from>
    <xdr:to>
      <xdr:col>21</xdr:col>
      <xdr:colOff>987264</xdr:colOff>
      <xdr:row>46</xdr:row>
      <xdr:rowOff>63872</xdr:rowOff>
    </xdr:to>
    <xdr:graphicFrame macro="">
      <xdr:nvGraphicFramePr>
        <xdr:cNvPr id="3" name="Chart 1029">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8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425">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63°</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31</xdr:col>
      <xdr:colOff>238125</xdr:colOff>
      <xdr:row>46</xdr:row>
      <xdr:rowOff>95250</xdr:rowOff>
    </xdr:from>
    <xdr:to>
      <xdr:col>42</xdr:col>
      <xdr:colOff>200025</xdr:colOff>
      <xdr:row>75</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209550</xdr:colOff>
      <xdr:row>9</xdr:row>
      <xdr:rowOff>123825</xdr:rowOff>
    </xdr:from>
    <xdr:to>
      <xdr:col>41</xdr:col>
      <xdr:colOff>152400</xdr:colOff>
      <xdr:row>38</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200025</xdr:colOff>
      <xdr:row>9</xdr:row>
      <xdr:rowOff>117232</xdr:rowOff>
    </xdr:from>
    <xdr:to>
      <xdr:col>29</xdr:col>
      <xdr:colOff>632312</xdr:colOff>
      <xdr:row>38</xdr:row>
      <xdr:rowOff>145807</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428">
      <xdr:nvSpPr>
        <xdr:cNvPr id="5" name="Text Box 24">
          <a:extLst>
            <a:ext uri="{FF2B5EF4-FFF2-40B4-BE49-F238E27FC236}">
              <a16:creationId xmlns:a16="http://schemas.microsoft.com/office/drawing/2014/main" id="{00000000-0008-0000-09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96.5%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429">
      <xdr:nvSpPr>
        <xdr:cNvPr id="6" name="Text Box 24">
          <a:extLst>
            <a:ext uri="{FF2B5EF4-FFF2-40B4-BE49-F238E27FC236}">
              <a16:creationId xmlns:a16="http://schemas.microsoft.com/office/drawing/2014/main" id="{00000000-0008-0000-09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96.1%</a:t>
          </a:fld>
          <a:endParaRPr lang="en-US" sz="900" b="1" i="0" u="none" strike="noStrike" baseline="0">
            <a:solidFill>
              <a:srgbClr val="000000"/>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vsdx"/><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3.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image" Target="../media/image23.emf"/><Relationship Id="rId3" Type="http://schemas.openxmlformats.org/officeDocument/2006/relationships/vmlDrawing" Target="../drawings/vmlDrawing6.vml"/><Relationship Id="rId7" Type="http://schemas.openxmlformats.org/officeDocument/2006/relationships/image" Target="../media/image20.emf"/><Relationship Id="rId12" Type="http://schemas.openxmlformats.org/officeDocument/2006/relationships/package" Target="../embeddings/Microsoft_Visio_Drawing5.vsdx"/><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package" Target="../embeddings/Microsoft_Visio_Drawing2.vsdx"/><Relationship Id="rId11" Type="http://schemas.openxmlformats.org/officeDocument/2006/relationships/image" Target="../media/image22.emf"/><Relationship Id="rId5" Type="http://schemas.openxmlformats.org/officeDocument/2006/relationships/image" Target="../media/image19.emf"/><Relationship Id="rId15" Type="http://schemas.openxmlformats.org/officeDocument/2006/relationships/image" Target="../media/image24.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21.emf"/><Relationship Id="rId14" Type="http://schemas.openxmlformats.org/officeDocument/2006/relationships/package" Target="../embeddings/Microsoft_Visio_Drawing6.vsd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H454"/>
  <sheetViews>
    <sheetView tabSelected="1" topLeftCell="A2" zoomScaleNormal="100" zoomScaleSheetLayoutView="100" workbookViewId="0">
      <selection activeCell="E9" sqref="E6:E9"/>
    </sheetView>
  </sheetViews>
  <sheetFormatPr defaultColWidth="9.140625" defaultRowHeight="12.75" x14ac:dyDescent="0.2"/>
  <cols>
    <col min="1" max="1" width="8.28515625" style="187" customWidth="1"/>
    <col min="2" max="2" width="8.28515625" style="79" customWidth="1"/>
    <col min="3" max="3" width="13.5703125" style="79" customWidth="1"/>
    <col min="4" max="4" width="8.28515625" style="79" customWidth="1"/>
    <col min="5" max="5" width="8.5703125" style="79" customWidth="1"/>
    <col min="6" max="6" width="7.5703125" style="79" customWidth="1"/>
    <col min="7" max="7" width="14" style="79" customWidth="1"/>
    <col min="8" max="8" width="6.5703125" style="79" customWidth="1"/>
    <col min="9" max="9" width="6.7109375" style="79" customWidth="1"/>
    <col min="10" max="10" width="7.5703125" style="79" customWidth="1"/>
    <col min="11" max="11" width="12.42578125" style="79" bestFit="1" customWidth="1"/>
    <col min="12" max="14" width="9.140625" style="79"/>
    <col min="15" max="15" width="10.140625" style="79" customWidth="1"/>
    <col min="16" max="16" width="89" style="79" customWidth="1"/>
    <col min="17" max="17" width="3.140625" style="79" customWidth="1"/>
    <col min="18" max="18" width="10" style="79" bestFit="1" customWidth="1"/>
    <col min="19" max="16384" width="9.140625" style="79"/>
  </cols>
  <sheetData>
    <row r="1" spans="1:17" ht="47.25" customHeight="1" x14ac:dyDescent="0.2">
      <c r="A1" s="787" t="s">
        <v>919</v>
      </c>
      <c r="B1" s="788"/>
      <c r="C1" s="788"/>
      <c r="D1" s="788"/>
      <c r="E1" s="788"/>
      <c r="F1" s="788"/>
      <c r="G1" s="788"/>
      <c r="H1" s="788"/>
      <c r="I1" s="788"/>
      <c r="J1" s="788"/>
      <c r="K1" s="788"/>
      <c r="L1" s="788"/>
      <c r="M1" s="788"/>
      <c r="N1" s="788"/>
      <c r="O1" s="788"/>
      <c r="P1" s="788"/>
      <c r="Q1" s="484"/>
    </row>
    <row r="2" spans="1:17" ht="14.1" customHeight="1" x14ac:dyDescent="0.45">
      <c r="A2" s="487"/>
      <c r="B2" s="488"/>
      <c r="C2" s="488"/>
      <c r="D2" s="488"/>
      <c r="E2" s="488"/>
      <c r="F2" s="488"/>
      <c r="G2" s="488"/>
      <c r="H2" s="488"/>
      <c r="I2" s="488"/>
      <c r="J2" s="488"/>
      <c r="K2" s="488"/>
      <c r="L2" s="488"/>
      <c r="M2" s="488"/>
      <c r="N2" s="502" t="s">
        <v>585</v>
      </c>
      <c r="O2" s="488"/>
      <c r="P2" s="488"/>
      <c r="Q2" s="484"/>
    </row>
    <row r="3" spans="1:17" ht="16.149999999999999" customHeight="1" x14ac:dyDescent="0.45">
      <c r="A3" s="489" t="s">
        <v>232</v>
      </c>
      <c r="B3" s="490"/>
      <c r="C3" s="501" t="s">
        <v>233</v>
      </c>
      <c r="D3" s="491"/>
      <c r="E3" s="119"/>
      <c r="F3" s="495" t="s">
        <v>145</v>
      </c>
      <c r="G3" s="496"/>
      <c r="H3" s="488"/>
      <c r="I3" s="496"/>
      <c r="J3" s="497"/>
      <c r="K3" s="498"/>
      <c r="L3" s="484"/>
      <c r="M3" s="484"/>
      <c r="N3" s="786" t="s">
        <v>51</v>
      </c>
      <c r="O3" s="786"/>
      <c r="P3" s="484" t="s">
        <v>165</v>
      </c>
      <c r="Q3" s="484"/>
    </row>
    <row r="4" spans="1:17" ht="13.5" customHeight="1" thickBot="1" x14ac:dyDescent="0.35">
      <c r="A4" s="492"/>
      <c r="B4" s="493"/>
      <c r="C4" s="494"/>
      <c r="D4" s="494"/>
      <c r="E4" s="494"/>
      <c r="F4" s="494"/>
      <c r="G4" s="494"/>
      <c r="H4" s="494"/>
      <c r="I4" s="494"/>
      <c r="J4" s="494"/>
      <c r="K4" s="494"/>
      <c r="L4" s="499"/>
      <c r="M4" s="499"/>
      <c r="N4" s="499"/>
      <c r="O4" s="499"/>
      <c r="P4" s="500"/>
      <c r="Q4" s="484"/>
    </row>
    <row r="5" spans="1:17" ht="20.100000000000001" customHeight="1" thickBot="1" x14ac:dyDescent="0.35">
      <c r="A5" s="182" t="s">
        <v>222</v>
      </c>
      <c r="B5" s="118"/>
      <c r="C5" s="80"/>
      <c r="D5" s="80"/>
      <c r="E5" s="82"/>
      <c r="F5" s="80"/>
      <c r="G5" s="107"/>
      <c r="H5" s="83"/>
      <c r="I5" s="83"/>
      <c r="J5" s="83"/>
      <c r="K5" s="83"/>
      <c r="L5" s="83"/>
      <c r="M5" s="83"/>
      <c r="N5" s="83"/>
      <c r="O5" s="83"/>
      <c r="P5" s="106"/>
      <c r="Q5" s="484"/>
    </row>
    <row r="6" spans="1:17" ht="15.75" customHeight="1" x14ac:dyDescent="0.2">
      <c r="A6" s="261"/>
      <c r="B6" s="613"/>
      <c r="C6" s="614"/>
      <c r="D6" s="615" t="s">
        <v>690</v>
      </c>
      <c r="E6" s="616">
        <v>40</v>
      </c>
      <c r="F6" s="617" t="s">
        <v>0</v>
      </c>
      <c r="G6" s="129"/>
      <c r="H6" s="127"/>
      <c r="I6" s="83"/>
      <c r="J6" s="83"/>
      <c r="K6" s="83"/>
      <c r="L6" s="83"/>
      <c r="M6" s="83"/>
      <c r="N6" s="83"/>
      <c r="O6" s="83"/>
      <c r="P6" s="106"/>
      <c r="Q6" s="484"/>
    </row>
    <row r="7" spans="1:17" ht="13.5" customHeight="1" x14ac:dyDescent="0.2">
      <c r="A7" s="254"/>
      <c r="B7" s="253"/>
      <c r="C7" s="255"/>
      <c r="D7" s="265" t="s">
        <v>691</v>
      </c>
      <c r="E7" s="266">
        <v>50</v>
      </c>
      <c r="F7" s="278" t="s">
        <v>0</v>
      </c>
      <c r="G7" s="129"/>
      <c r="H7" s="127"/>
      <c r="I7" s="83"/>
      <c r="J7" s="83"/>
      <c r="K7" s="83"/>
      <c r="L7" s="83"/>
      <c r="M7" s="83"/>
      <c r="N7" s="83"/>
      <c r="O7" s="83"/>
      <c r="P7" s="106"/>
      <c r="Q7" s="484"/>
    </row>
    <row r="8" spans="1:17" ht="13.5" customHeight="1" x14ac:dyDescent="0.2">
      <c r="A8" s="254"/>
      <c r="B8" s="253"/>
      <c r="C8" s="255"/>
      <c r="D8" s="265" t="s">
        <v>692</v>
      </c>
      <c r="E8" s="266">
        <v>60</v>
      </c>
      <c r="F8" s="267" t="s">
        <v>0</v>
      </c>
      <c r="G8" s="129"/>
      <c r="H8" s="127"/>
      <c r="I8" s="83"/>
      <c r="J8" s="83"/>
      <c r="K8" s="83"/>
      <c r="L8" s="83"/>
      <c r="M8" s="83"/>
      <c r="N8" s="83"/>
      <c r="O8" s="83"/>
      <c r="P8" s="106"/>
      <c r="Q8" s="484"/>
    </row>
    <row r="9" spans="1:17" ht="13.5" customHeight="1" x14ac:dyDescent="0.2">
      <c r="A9" s="254"/>
      <c r="B9" s="253"/>
      <c r="C9" s="255"/>
      <c r="D9" s="265" t="s">
        <v>699</v>
      </c>
      <c r="E9" s="266">
        <v>12</v>
      </c>
      <c r="F9" s="267" t="s">
        <v>0</v>
      </c>
      <c r="G9" s="129"/>
      <c r="H9" s="127"/>
      <c r="I9" s="83"/>
      <c r="J9" s="83"/>
      <c r="K9" s="83"/>
      <c r="L9" s="83"/>
      <c r="M9" s="83"/>
      <c r="N9" s="83"/>
      <c r="O9" s="83"/>
      <c r="P9" s="106"/>
      <c r="Q9" s="484"/>
    </row>
    <row r="10" spans="1:17" ht="13.5" customHeight="1" x14ac:dyDescent="0.2">
      <c r="A10" s="254"/>
      <c r="B10" s="253"/>
      <c r="C10" s="255"/>
      <c r="D10" s="265" t="s">
        <v>700</v>
      </c>
      <c r="E10" s="266">
        <v>5</v>
      </c>
      <c r="F10" s="267" t="s">
        <v>1</v>
      </c>
      <c r="G10" s="610"/>
      <c r="H10" s="112"/>
      <c r="I10" s="590"/>
      <c r="J10" s="590"/>
      <c r="K10" s="83"/>
      <c r="L10" s="83"/>
      <c r="M10" s="83"/>
      <c r="N10" s="83"/>
      <c r="O10" s="83"/>
      <c r="P10" s="106"/>
      <c r="Q10" s="484"/>
    </row>
    <row r="11" spans="1:17" ht="13.5" customHeight="1" x14ac:dyDescent="0.2">
      <c r="A11" s="254"/>
      <c r="B11" s="253"/>
      <c r="C11" s="255"/>
      <c r="D11" s="265" t="s">
        <v>693</v>
      </c>
      <c r="E11" s="268">
        <v>340</v>
      </c>
      <c r="F11" s="267" t="s">
        <v>2</v>
      </c>
      <c r="G11" s="606"/>
      <c r="H11" s="134"/>
      <c r="I11" s="112"/>
      <c r="J11" s="112"/>
      <c r="K11" s="83"/>
      <c r="L11" s="83"/>
      <c r="M11" s="83"/>
      <c r="N11" s="83"/>
      <c r="O11" s="83"/>
      <c r="P11" s="106"/>
      <c r="Q11" s="484"/>
    </row>
    <row r="12" spans="1:17" ht="13.5" customHeight="1" x14ac:dyDescent="0.2">
      <c r="A12" s="572"/>
      <c r="B12" s="253"/>
      <c r="C12" s="255"/>
      <c r="D12" s="255" t="s">
        <v>273</v>
      </c>
      <c r="E12" s="255">
        <f>'Variable Management'!C443</f>
        <v>64.900000000000006</v>
      </c>
      <c r="F12" s="257" t="s">
        <v>50</v>
      </c>
      <c r="G12" s="606"/>
      <c r="H12" s="134"/>
      <c r="I12" s="112"/>
      <c r="J12" s="112"/>
      <c r="K12" s="83"/>
      <c r="L12" s="83"/>
      <c r="M12" s="83"/>
      <c r="N12" s="83"/>
      <c r="O12" s="83"/>
      <c r="P12" s="106"/>
      <c r="Q12" s="484"/>
    </row>
    <row r="13" spans="1:17" ht="17.25" customHeight="1" thickBot="1" x14ac:dyDescent="0.25">
      <c r="A13" s="259"/>
      <c r="B13" s="543"/>
      <c r="C13" s="272"/>
      <c r="D13" s="574" t="s">
        <v>689</v>
      </c>
      <c r="E13" s="587">
        <v>25</v>
      </c>
      <c r="F13" s="573" t="s">
        <v>223</v>
      </c>
      <c r="G13" s="606"/>
      <c r="H13" s="134"/>
      <c r="I13" s="112"/>
      <c r="J13" s="112"/>
      <c r="K13" s="83"/>
      <c r="L13" s="83"/>
      <c r="M13" s="83"/>
      <c r="N13" s="83"/>
      <c r="O13" s="83"/>
      <c r="P13" s="106"/>
      <c r="Q13" s="484"/>
    </row>
    <row r="14" spans="1:17" ht="17.25" customHeight="1" x14ac:dyDescent="0.2">
      <c r="A14" s="572"/>
      <c r="B14" s="253"/>
      <c r="C14" s="255"/>
      <c r="D14" s="589"/>
      <c r="E14" s="589"/>
      <c r="F14" s="590"/>
      <c r="G14" s="606"/>
      <c r="H14" s="134"/>
      <c r="I14" s="112"/>
      <c r="J14" s="112"/>
      <c r="K14" s="83"/>
      <c r="L14" s="83"/>
      <c r="M14" s="83"/>
      <c r="N14" s="83"/>
      <c r="O14" s="83"/>
      <c r="P14" s="106"/>
      <c r="Q14" s="484"/>
    </row>
    <row r="15" spans="1:17" ht="20.100000000000001" customHeight="1" thickBot="1" x14ac:dyDescent="0.35">
      <c r="A15" s="182" t="s">
        <v>755</v>
      </c>
      <c r="B15" s="131"/>
      <c r="C15" s="127"/>
      <c r="D15" s="127"/>
      <c r="E15" s="127"/>
      <c r="F15" s="127"/>
      <c r="G15" s="606"/>
      <c r="H15" s="134"/>
      <c r="I15" s="112"/>
      <c r="J15" s="112"/>
      <c r="K15" s="83"/>
      <c r="L15" s="83"/>
      <c r="M15" s="83"/>
      <c r="N15" s="83"/>
      <c r="O15" s="83"/>
      <c r="P15" s="106"/>
      <c r="Q15" s="484"/>
    </row>
    <row r="16" spans="1:17" ht="15" customHeight="1" x14ac:dyDescent="0.25">
      <c r="A16" s="261"/>
      <c r="B16" s="153"/>
      <c r="C16" s="153"/>
      <c r="D16" s="155" t="s">
        <v>609</v>
      </c>
      <c r="E16" s="293">
        <v>25</v>
      </c>
      <c r="F16" s="156" t="s">
        <v>1</v>
      </c>
      <c r="G16" s="610"/>
      <c r="H16" s="134"/>
      <c r="I16" s="581"/>
      <c r="J16" s="581"/>
      <c r="K16" s="83"/>
      <c r="L16" s="83"/>
      <c r="M16" s="83"/>
      <c r="N16" s="83"/>
      <c r="O16" s="83"/>
      <c r="P16" s="106"/>
      <c r="Q16" s="484"/>
    </row>
    <row r="17" spans="1:17" ht="15" customHeight="1" x14ac:dyDescent="0.2">
      <c r="A17" s="254"/>
      <c r="B17" s="127"/>
      <c r="C17" s="127"/>
      <c r="D17" s="124" t="s">
        <v>949</v>
      </c>
      <c r="E17" s="295">
        <f>Rs_ideal*1000</f>
        <v>1.928701965567867</v>
      </c>
      <c r="F17" s="162" t="s">
        <v>49</v>
      </c>
      <c r="G17" s="606"/>
      <c r="H17" s="134"/>
      <c r="I17" s="536"/>
      <c r="J17" s="134"/>
      <c r="K17" s="83"/>
      <c r="L17" s="83"/>
      <c r="M17" s="83"/>
      <c r="N17" s="83"/>
      <c r="O17" s="83"/>
      <c r="P17" s="106"/>
      <c r="Q17" s="484"/>
    </row>
    <row r="18" spans="1:17" ht="13.9" customHeight="1" x14ac:dyDescent="0.25">
      <c r="A18" s="254"/>
      <c r="B18" s="127"/>
      <c r="C18" s="127"/>
      <c r="D18" s="152" t="s">
        <v>948</v>
      </c>
      <c r="E18" s="128">
        <v>2</v>
      </c>
      <c r="F18" s="157" t="s">
        <v>49</v>
      </c>
      <c r="G18" s="606"/>
      <c r="H18" s="134"/>
      <c r="I18" s="581"/>
      <c r="J18" s="581"/>
      <c r="K18" s="83"/>
      <c r="L18" s="83"/>
      <c r="M18" s="83"/>
      <c r="N18" s="83"/>
      <c r="O18" s="83"/>
      <c r="P18" s="106"/>
      <c r="Q18" s="484"/>
    </row>
    <row r="19" spans="1:17" ht="13.5" customHeight="1" x14ac:dyDescent="0.3">
      <c r="A19" s="254"/>
      <c r="B19" s="127"/>
      <c r="C19" s="127"/>
      <c r="D19" s="513" t="s">
        <v>639</v>
      </c>
      <c r="E19" s="536">
        <f>'Variable Management'!B95</f>
        <v>30</v>
      </c>
      <c r="F19" s="162" t="s">
        <v>1</v>
      </c>
      <c r="G19" s="606"/>
      <c r="H19" s="134"/>
      <c r="I19" s="536"/>
      <c r="J19" s="134"/>
      <c r="K19" s="83"/>
      <c r="L19" s="83"/>
      <c r="M19" s="83"/>
      <c r="N19" s="83"/>
      <c r="O19" s="83"/>
      <c r="P19" s="106"/>
      <c r="Q19" s="484"/>
    </row>
    <row r="20" spans="1:17" ht="13.9" customHeight="1" x14ac:dyDescent="0.2">
      <c r="A20" s="254"/>
      <c r="B20" s="127"/>
      <c r="C20" s="127"/>
      <c r="D20" s="513" t="s">
        <v>950</v>
      </c>
      <c r="E20" s="514">
        <f>'Variable Management'!B105</f>
        <v>1.2092459184394941</v>
      </c>
      <c r="F20" s="162" t="s">
        <v>116</v>
      </c>
      <c r="G20" s="606"/>
      <c r="H20" s="134"/>
      <c r="I20" s="514"/>
      <c r="J20" s="134"/>
      <c r="K20" s="83"/>
      <c r="L20" s="83"/>
      <c r="M20" s="83"/>
      <c r="N20" s="83"/>
      <c r="O20" s="83"/>
      <c r="P20" s="106"/>
      <c r="Q20" s="484"/>
    </row>
    <row r="21" spans="1:17" ht="13.9" customHeight="1" x14ac:dyDescent="0.3">
      <c r="A21" s="254"/>
      <c r="B21" s="127"/>
      <c r="C21" s="112"/>
      <c r="D21" s="294" t="s">
        <v>274</v>
      </c>
      <c r="E21" s="256">
        <f>'Variable Management'!B97</f>
        <v>24.373565699484217</v>
      </c>
      <c r="F21" s="257" t="s">
        <v>1</v>
      </c>
      <c r="G21" s="606"/>
      <c r="H21" s="134"/>
      <c r="I21" s="603"/>
      <c r="J21" s="601"/>
      <c r="K21" s="83"/>
      <c r="L21" s="83"/>
      <c r="M21" s="83"/>
      <c r="N21" s="83"/>
      <c r="O21" s="83"/>
      <c r="P21" s="106"/>
      <c r="Q21" s="484"/>
    </row>
    <row r="22" spans="1:17" ht="13.9" customHeight="1" x14ac:dyDescent="0.3">
      <c r="A22" s="254"/>
      <c r="B22" s="127"/>
      <c r="C22" s="124" t="s">
        <v>501</v>
      </c>
      <c r="D22" s="294" t="s">
        <v>275</v>
      </c>
      <c r="E22" s="256">
        <f>'Variable Management'!B98</f>
        <v>23.890994528367052</v>
      </c>
      <c r="F22" s="257" t="s">
        <v>1</v>
      </c>
      <c r="G22" s="606"/>
      <c r="H22" s="607"/>
      <c r="I22" s="603"/>
      <c r="J22" s="601"/>
      <c r="K22" s="83"/>
      <c r="L22" s="83"/>
      <c r="M22" s="83"/>
      <c r="N22" s="83"/>
      <c r="O22" s="83"/>
      <c r="P22" s="106"/>
      <c r="Q22" s="484"/>
    </row>
    <row r="23" spans="1:17" ht="13.5" customHeight="1" thickBot="1" x14ac:dyDescent="0.35">
      <c r="A23" s="273"/>
      <c r="B23" s="174"/>
      <c r="C23" s="174"/>
      <c r="D23" s="544" t="s">
        <v>276</v>
      </c>
      <c r="E23" s="545">
        <f>'Variable Management'!B99</f>
        <v>23.569253609246942</v>
      </c>
      <c r="F23" s="275" t="s">
        <v>1</v>
      </c>
      <c r="G23" s="610"/>
      <c r="H23" s="134"/>
      <c r="I23" s="603"/>
      <c r="J23" s="601"/>
      <c r="K23" s="83"/>
      <c r="L23" s="83"/>
      <c r="M23" s="83"/>
      <c r="N23" s="83"/>
      <c r="O23" s="83"/>
      <c r="P23" s="106"/>
      <c r="Q23" s="484"/>
    </row>
    <row r="24" spans="1:17" ht="17.25" customHeight="1" x14ac:dyDescent="0.2">
      <c r="A24" s="572"/>
      <c r="B24" s="253"/>
      <c r="C24" s="255"/>
      <c r="D24" s="589"/>
      <c r="E24" s="589"/>
      <c r="F24" s="590"/>
      <c r="G24" s="606"/>
      <c r="H24" s="134"/>
      <c r="I24" s="112"/>
      <c r="J24" s="112"/>
      <c r="K24" s="83"/>
      <c r="L24" s="83"/>
      <c r="M24" s="83"/>
      <c r="N24" s="83"/>
      <c r="O24" s="83"/>
      <c r="P24" s="106"/>
      <c r="Q24" s="484"/>
    </row>
    <row r="25" spans="1:17" ht="19.5" customHeight="1" thickBot="1" x14ac:dyDescent="0.35">
      <c r="A25" s="182" t="s">
        <v>754</v>
      </c>
      <c r="B25" s="131"/>
      <c r="C25" s="132"/>
      <c r="D25" s="132"/>
      <c r="E25" s="133"/>
      <c r="F25" s="132"/>
      <c r="G25" s="606"/>
      <c r="H25" s="134"/>
      <c r="I25" s="112"/>
      <c r="J25" s="112"/>
      <c r="K25" s="83"/>
      <c r="L25" s="83"/>
      <c r="M25" s="83"/>
      <c r="N25" s="83"/>
      <c r="O25" s="83"/>
      <c r="P25" s="106"/>
      <c r="Q25" s="484"/>
    </row>
    <row r="26" spans="1:17" ht="13.5" customHeight="1" x14ac:dyDescent="0.2">
      <c r="A26" s="183"/>
      <c r="B26" s="153"/>
      <c r="C26" s="154"/>
      <c r="D26" s="154" t="s">
        <v>946</v>
      </c>
      <c r="E26" s="541">
        <f>Lopt*1000000</f>
        <v>3.1068765534382772</v>
      </c>
      <c r="F26" s="161" t="s">
        <v>214</v>
      </c>
      <c r="G26" s="610"/>
      <c r="H26" s="134"/>
      <c r="I26" s="612"/>
      <c r="J26" s="134"/>
      <c r="K26" s="83"/>
      <c r="L26" s="83"/>
      <c r="M26" s="83"/>
      <c r="N26" s="83"/>
      <c r="O26" s="83"/>
      <c r="P26" s="106"/>
      <c r="Q26" s="484"/>
    </row>
    <row r="27" spans="1:17" ht="13.5" customHeight="1" x14ac:dyDescent="0.25">
      <c r="A27" s="126"/>
      <c r="B27" s="127"/>
      <c r="C27" s="124"/>
      <c r="D27" s="152" t="s">
        <v>748</v>
      </c>
      <c r="E27" s="128">
        <v>2.2000000000000002</v>
      </c>
      <c r="F27" s="157" t="s">
        <v>214</v>
      </c>
      <c r="G27" s="606"/>
      <c r="H27" s="607"/>
      <c r="I27" s="581"/>
      <c r="J27" s="581"/>
      <c r="K27" s="83"/>
      <c r="L27" s="83"/>
      <c r="M27" s="83"/>
      <c r="N27" s="83"/>
      <c r="O27" s="83"/>
      <c r="P27" s="106"/>
      <c r="Q27" s="484"/>
    </row>
    <row r="28" spans="1:17" ht="13.5" customHeight="1" x14ac:dyDescent="0.2">
      <c r="A28" s="126"/>
      <c r="B28" s="127"/>
      <c r="C28" s="124"/>
      <c r="D28" s="152" t="s">
        <v>740</v>
      </c>
      <c r="E28" s="128">
        <v>3.5</v>
      </c>
      <c r="F28" s="157" t="s">
        <v>49</v>
      </c>
      <c r="G28" s="606"/>
      <c r="H28" s="607"/>
      <c r="I28" s="581"/>
      <c r="J28" s="581"/>
      <c r="K28" s="83"/>
      <c r="L28" s="83"/>
      <c r="M28" s="83"/>
      <c r="N28" s="83"/>
      <c r="O28" s="83"/>
      <c r="P28" s="106"/>
      <c r="Q28" s="484"/>
    </row>
    <row r="29" spans="1:17" ht="13.5" customHeight="1" x14ac:dyDescent="0.2">
      <c r="A29" s="583"/>
      <c r="B29" s="127"/>
      <c r="C29" s="124"/>
      <c r="D29" s="255" t="s">
        <v>295</v>
      </c>
      <c r="E29" s="258">
        <f>'Variable Management'!B68*100</f>
        <v>244.36021886531782</v>
      </c>
      <c r="F29" s="257" t="s">
        <v>153</v>
      </c>
      <c r="G29" s="606"/>
      <c r="H29" s="607"/>
      <c r="I29" s="581"/>
      <c r="J29" s="581"/>
      <c r="K29" s="83"/>
      <c r="L29" s="83"/>
      <c r="M29" s="83"/>
      <c r="N29" s="83"/>
      <c r="O29" s="83"/>
      <c r="P29" s="106"/>
      <c r="Q29" s="484"/>
    </row>
    <row r="30" spans="1:17" ht="16.5" customHeight="1" thickBot="1" x14ac:dyDescent="0.25">
      <c r="A30" s="273"/>
      <c r="B30" s="274"/>
      <c r="C30" s="272"/>
      <c r="D30" s="767" t="s">
        <v>947</v>
      </c>
      <c r="E30" s="781">
        <v>0.2</v>
      </c>
      <c r="F30" s="779" t="s">
        <v>116</v>
      </c>
      <c r="G30" s="610"/>
      <c r="H30" s="134"/>
      <c r="I30" s="602"/>
      <c r="J30" s="601"/>
      <c r="K30" s="83"/>
      <c r="L30" s="83"/>
      <c r="M30" s="83"/>
      <c r="N30" s="83"/>
      <c r="O30" s="83"/>
      <c r="P30" s="106"/>
      <c r="Q30" s="484"/>
    </row>
    <row r="31" spans="1:17" ht="14.1" customHeight="1" x14ac:dyDescent="0.2">
      <c r="A31" s="126"/>
      <c r="B31" s="127"/>
      <c r="C31" s="134"/>
      <c r="D31" s="134"/>
      <c r="E31" s="134"/>
      <c r="F31" s="134"/>
      <c r="G31" s="134"/>
      <c r="H31" s="134"/>
      <c r="I31" s="112"/>
      <c r="J31" s="112"/>
      <c r="K31" s="83"/>
      <c r="L31" s="83"/>
      <c r="M31" s="83"/>
      <c r="N31" s="83"/>
      <c r="O31" s="83"/>
      <c r="P31" s="106"/>
      <c r="Q31" s="484"/>
    </row>
    <row r="32" spans="1:17" ht="19.5" thickBot="1" x14ac:dyDescent="0.35">
      <c r="A32" s="182" t="s">
        <v>587</v>
      </c>
      <c r="B32" s="131"/>
      <c r="C32" s="132"/>
      <c r="D32" s="132"/>
      <c r="E32" s="133"/>
      <c r="F32" s="132"/>
      <c r="G32" s="134"/>
      <c r="H32" s="134"/>
      <c r="I32" s="112"/>
      <c r="J32" s="112"/>
      <c r="K32" s="83"/>
      <c r="L32" s="83"/>
      <c r="M32" s="83"/>
      <c r="N32" s="83"/>
      <c r="O32" s="83"/>
      <c r="P32" s="106"/>
      <c r="Q32" s="484"/>
    </row>
    <row r="33" spans="1:17" ht="15.75" customHeight="1" x14ac:dyDescent="0.25">
      <c r="A33" s="172"/>
      <c r="B33" s="163"/>
      <c r="C33" s="154"/>
      <c r="D33" s="164" t="s">
        <v>741</v>
      </c>
      <c r="E33" s="165">
        <v>50</v>
      </c>
      <c r="F33" s="156" t="s">
        <v>920</v>
      </c>
      <c r="G33" s="582"/>
      <c r="H33" s="134"/>
      <c r="I33" s="633"/>
      <c r="J33" s="581"/>
      <c r="K33" s="83"/>
      <c r="L33" s="83"/>
      <c r="M33" s="83"/>
      <c r="N33" s="83"/>
      <c r="O33" s="83"/>
      <c r="P33" s="106"/>
      <c r="Q33" s="484"/>
    </row>
    <row r="34" spans="1:17" ht="14.1" customHeight="1" x14ac:dyDescent="0.2">
      <c r="A34" s="126"/>
      <c r="B34" s="127"/>
      <c r="C34" s="124"/>
      <c r="D34" s="124" t="s">
        <v>742</v>
      </c>
      <c r="E34" s="511">
        <f>'Variable Management'!B121</f>
        <v>89.838315759308031</v>
      </c>
      <c r="F34" s="162" t="s">
        <v>215</v>
      </c>
      <c r="G34" s="134"/>
      <c r="H34" s="134"/>
      <c r="I34" s="608"/>
      <c r="J34" s="134"/>
      <c r="K34" s="83"/>
      <c r="L34" s="83"/>
      <c r="M34" s="83"/>
      <c r="N34" s="83"/>
      <c r="O34" s="83"/>
      <c r="P34" s="106"/>
      <c r="Q34" s="484"/>
    </row>
    <row r="35" spans="1:17" ht="14.1" customHeight="1" x14ac:dyDescent="0.25">
      <c r="A35" s="126"/>
      <c r="B35" s="127"/>
      <c r="C35" s="124"/>
      <c r="D35" s="123" t="s">
        <v>758</v>
      </c>
      <c r="E35" s="130">
        <v>200</v>
      </c>
      <c r="F35" s="157" t="s">
        <v>215</v>
      </c>
      <c r="G35" s="606"/>
      <c r="H35" s="134"/>
      <c r="I35" s="633"/>
      <c r="J35" s="581"/>
      <c r="K35" s="791"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L35" s="791"/>
      <c r="M35" s="791"/>
      <c r="N35" s="791"/>
      <c r="O35" s="791"/>
      <c r="P35" s="792"/>
      <c r="Q35" s="484"/>
    </row>
    <row r="36" spans="1:17" ht="14.1" customHeight="1" x14ac:dyDescent="0.2">
      <c r="A36" s="126"/>
      <c r="B36" s="127"/>
      <c r="C36" s="124"/>
      <c r="D36" s="124" t="s">
        <v>726</v>
      </c>
      <c r="E36" s="560">
        <f>'Variable Management'!B125</f>
        <v>3.6562230406597065</v>
      </c>
      <c r="F36" s="162" t="s">
        <v>49</v>
      </c>
      <c r="G36" s="606"/>
      <c r="H36" s="134"/>
      <c r="I36" s="144"/>
      <c r="J36" s="134"/>
      <c r="K36" s="791"/>
      <c r="L36" s="791"/>
      <c r="M36" s="791"/>
      <c r="N36" s="791"/>
      <c r="O36" s="791"/>
      <c r="P36" s="792"/>
      <c r="Q36" s="484"/>
    </row>
    <row r="37" spans="1:17" ht="14.1" customHeight="1" x14ac:dyDescent="0.2">
      <c r="A37" s="126"/>
      <c r="B37" s="127"/>
      <c r="C37" s="124"/>
      <c r="D37" s="123" t="s">
        <v>466</v>
      </c>
      <c r="E37" s="130">
        <v>1</v>
      </c>
      <c r="F37" s="157" t="s">
        <v>49</v>
      </c>
      <c r="G37" s="606"/>
      <c r="H37" s="134"/>
      <c r="I37" s="633"/>
      <c r="J37" s="581"/>
      <c r="K37" s="586" t="str">
        <f>CHOOSE(SCH_MODE,  "", "** Tie VCCX to GND if not used **", "** Slave controller (CNTRL2) not shown **","** Slave controller (CNTRL2) not shown **")</f>
        <v/>
      </c>
      <c r="L37" s="132"/>
      <c r="M37" s="83"/>
      <c r="N37" s="83"/>
      <c r="O37" s="83"/>
      <c r="P37" s="661" t="str">
        <f>IF(SCH_MODE=1,  "** Tie VCCX to GND if not used **", "")</f>
        <v>** Tie VCCX to GND if not used **</v>
      </c>
      <c r="Q37" s="484"/>
    </row>
    <row r="38" spans="1:17" ht="14.1" customHeight="1" x14ac:dyDescent="0.3">
      <c r="A38" s="126"/>
      <c r="B38" s="127"/>
      <c r="C38" s="127"/>
      <c r="D38" s="124" t="s">
        <v>539</v>
      </c>
      <c r="E38" s="151">
        <f>'Variable Management'!B127*1000</f>
        <v>25.567801578627869</v>
      </c>
      <c r="F38" s="162" t="s">
        <v>921</v>
      </c>
      <c r="G38" s="606"/>
      <c r="H38" s="134"/>
      <c r="I38" s="609"/>
      <c r="J38" s="134"/>
      <c r="K38" s="270" t="str">
        <f>IF(OR(SCH_MODE=3, SCH_MODE=4),"** Tie VCCX to GND if not used **", "")</f>
        <v/>
      </c>
      <c r="L38" s="112"/>
      <c r="M38" s="83"/>
      <c r="N38" s="83"/>
      <c r="O38" s="83"/>
      <c r="P38" s="106"/>
      <c r="Q38" s="484"/>
    </row>
    <row r="39" spans="1:17" ht="14.1" customHeight="1" thickBot="1" x14ac:dyDescent="0.35">
      <c r="A39" s="158"/>
      <c r="B39" s="159"/>
      <c r="C39" s="159"/>
      <c r="D39" s="125" t="s">
        <v>540</v>
      </c>
      <c r="E39" s="554">
        <f>'Variable Management'!B114</f>
        <v>3.7127931597914912</v>
      </c>
      <c r="F39" s="160" t="s">
        <v>922</v>
      </c>
      <c r="G39" s="611"/>
      <c r="H39" s="134"/>
      <c r="I39" s="514"/>
      <c r="J39" s="134"/>
      <c r="K39" s="112"/>
      <c r="L39" s="83"/>
      <c r="M39" s="83"/>
      <c r="N39" s="83"/>
      <c r="O39" s="83"/>
      <c r="P39" s="570"/>
      <c r="Q39" s="484"/>
    </row>
    <row r="40" spans="1:17" ht="13.5" customHeight="1" x14ac:dyDescent="0.2">
      <c r="A40" s="184"/>
      <c r="B40" s="134"/>
      <c r="C40" s="134"/>
      <c r="D40" s="134"/>
      <c r="E40" s="134"/>
      <c r="F40" s="134"/>
      <c r="G40" s="134"/>
      <c r="H40" s="127"/>
      <c r="I40" s="83"/>
      <c r="J40" s="83"/>
      <c r="K40" s="83"/>
      <c r="L40" s="112"/>
      <c r="M40" s="112"/>
      <c r="N40" s="112"/>
      <c r="O40" s="112"/>
      <c r="P40" s="106"/>
      <c r="Q40" s="484"/>
    </row>
    <row r="41" spans="1:17" ht="19.5" thickBot="1" x14ac:dyDescent="0.35">
      <c r="A41" s="182" t="s">
        <v>918</v>
      </c>
      <c r="B41" s="131"/>
      <c r="C41" s="132"/>
      <c r="D41" s="132"/>
      <c r="E41" s="127"/>
      <c r="F41" s="134"/>
      <c r="G41" s="134"/>
      <c r="H41" s="134"/>
      <c r="I41" s="83"/>
      <c r="J41" s="83"/>
      <c r="K41" s="108"/>
      <c r="L41" s="112"/>
      <c r="M41" s="112"/>
      <c r="N41" s="83"/>
      <c r="O41" s="83"/>
      <c r="P41" s="106"/>
      <c r="Q41" s="484"/>
    </row>
    <row r="42" spans="1:17" ht="14.1" customHeight="1" x14ac:dyDescent="0.25">
      <c r="A42" s="172"/>
      <c r="B42" s="163"/>
      <c r="C42" s="153"/>
      <c r="D42" s="155" t="s">
        <v>545</v>
      </c>
      <c r="E42" s="165">
        <v>400</v>
      </c>
      <c r="F42" s="156" t="s">
        <v>923</v>
      </c>
      <c r="G42" s="127"/>
      <c r="H42" s="127"/>
      <c r="I42" s="109"/>
      <c r="J42" s="83"/>
      <c r="K42" s="83"/>
      <c r="L42" s="83"/>
      <c r="M42" s="83"/>
      <c r="N42" s="83"/>
      <c r="O42" s="83"/>
      <c r="P42" s="106"/>
      <c r="Q42" s="484"/>
    </row>
    <row r="43" spans="1:17" ht="14.1" customHeight="1" x14ac:dyDescent="0.2">
      <c r="A43" s="135"/>
      <c r="B43" s="132"/>
      <c r="C43" s="127"/>
      <c r="D43" s="124" t="s">
        <v>546</v>
      </c>
      <c r="E43" s="560">
        <f>'Variable Management'!B148</f>
        <v>7.7205882352941169</v>
      </c>
      <c r="F43" s="162" t="s">
        <v>215</v>
      </c>
      <c r="G43" s="611"/>
      <c r="H43" s="134"/>
      <c r="I43" s="109"/>
      <c r="J43" s="83"/>
      <c r="K43" s="83"/>
      <c r="L43" s="265"/>
      <c r="M43" s="290"/>
      <c r="N43" s="83"/>
      <c r="O43" s="83"/>
      <c r="P43" s="106"/>
      <c r="Q43" s="484"/>
    </row>
    <row r="44" spans="1:17" ht="14.1" customHeight="1" x14ac:dyDescent="0.25">
      <c r="A44" s="126"/>
      <c r="B44" s="127"/>
      <c r="C44" s="132"/>
      <c r="D44" s="152" t="s">
        <v>759</v>
      </c>
      <c r="E44" s="128">
        <v>30</v>
      </c>
      <c r="F44" s="157" t="s">
        <v>215</v>
      </c>
      <c r="G44" s="127"/>
      <c r="H44" s="127"/>
      <c r="I44" s="109"/>
      <c r="J44" s="83"/>
      <c r="K44" s="83"/>
      <c r="L44" s="83"/>
      <c r="M44" s="83"/>
      <c r="N44" s="83"/>
      <c r="O44" s="83"/>
      <c r="P44" s="106"/>
      <c r="Q44" s="484"/>
    </row>
    <row r="45" spans="1:17" ht="14.1" customHeight="1" x14ac:dyDescent="0.2">
      <c r="A45" s="126"/>
      <c r="B45" s="127"/>
      <c r="C45" s="132"/>
      <c r="D45" s="124" t="s">
        <v>726</v>
      </c>
      <c r="E45" s="510">
        <f>'Variable Management'!B155</f>
        <v>27.954703819605161</v>
      </c>
      <c r="F45" s="162" t="s">
        <v>49</v>
      </c>
      <c r="G45" s="611"/>
      <c r="H45" s="127"/>
      <c r="I45" s="110"/>
      <c r="J45" s="83"/>
      <c r="K45" s="83"/>
      <c r="L45" s="83"/>
      <c r="M45" s="83"/>
      <c r="N45" s="83"/>
      <c r="O45" s="83"/>
      <c r="P45" s="106" t="s">
        <v>175</v>
      </c>
      <c r="Q45" s="484"/>
    </row>
    <row r="46" spans="1:17" ht="14.1" customHeight="1" x14ac:dyDescent="0.2">
      <c r="A46" s="126"/>
      <c r="B46" s="127"/>
      <c r="C46" s="132"/>
      <c r="D46" s="152" t="s">
        <v>464</v>
      </c>
      <c r="E46" s="128">
        <v>1</v>
      </c>
      <c r="F46" s="157" t="s">
        <v>49</v>
      </c>
      <c r="G46" s="127"/>
      <c r="H46" s="127"/>
      <c r="I46" s="110"/>
      <c r="J46" s="83"/>
      <c r="K46" s="83"/>
      <c r="L46" s="83"/>
      <c r="M46" s="83"/>
      <c r="N46" s="83"/>
      <c r="O46" s="83"/>
      <c r="P46" s="106"/>
      <c r="Q46" s="484"/>
    </row>
    <row r="47" spans="1:17" ht="14.1" customHeight="1" x14ac:dyDescent="0.2">
      <c r="A47" s="126"/>
      <c r="B47" s="127"/>
      <c r="C47" s="132"/>
      <c r="D47" s="255" t="s">
        <v>727</v>
      </c>
      <c r="E47" s="258">
        <f>'Variable Management'!B162*1000</f>
        <v>113.68749498510718</v>
      </c>
      <c r="F47" s="257" t="s">
        <v>921</v>
      </c>
      <c r="G47" s="611"/>
      <c r="H47" s="127"/>
      <c r="I47" s="110"/>
      <c r="J47" s="83"/>
      <c r="K47" s="83"/>
      <c r="L47" s="83"/>
      <c r="M47" s="83"/>
      <c r="N47" s="83"/>
      <c r="O47" s="83"/>
      <c r="P47" s="106"/>
      <c r="Q47" s="484"/>
    </row>
    <row r="48" spans="1:17" ht="15.75" customHeight="1" thickBot="1" x14ac:dyDescent="0.25">
      <c r="A48" s="693"/>
      <c r="B48" s="694"/>
      <c r="C48" s="694"/>
      <c r="D48" s="695" t="s">
        <v>541</v>
      </c>
      <c r="E48" s="772">
        <f>'Variable Management'!B138</f>
        <v>2.9031451960025416</v>
      </c>
      <c r="F48" s="782" t="s">
        <v>922</v>
      </c>
      <c r="G48" s="611"/>
      <c r="H48" s="127"/>
      <c r="I48" s="110"/>
      <c r="J48" s="83"/>
      <c r="K48" s="83"/>
      <c r="L48" s="83"/>
      <c r="M48" s="83"/>
      <c r="N48" s="83"/>
      <c r="O48" s="83"/>
      <c r="P48" s="106"/>
      <c r="Q48" s="484"/>
    </row>
    <row r="49" spans="1:34" ht="15.75" customHeight="1" x14ac:dyDescent="0.2">
      <c r="A49" s="583"/>
      <c r="B49" s="127"/>
      <c r="C49" s="134"/>
      <c r="D49" s="152" t="s">
        <v>814</v>
      </c>
      <c r="E49" s="776">
        <v>0.68</v>
      </c>
      <c r="F49" s="700" t="s">
        <v>214</v>
      </c>
      <c r="G49" s="699"/>
      <c r="H49" s="127"/>
      <c r="I49" s="110"/>
      <c r="J49" s="83"/>
      <c r="K49" s="83"/>
      <c r="L49" s="83"/>
      <c r="M49" s="83"/>
      <c r="N49" s="83"/>
      <c r="O49" s="83"/>
      <c r="P49" s="106"/>
      <c r="Q49" s="484"/>
    </row>
    <row r="50" spans="1:34" ht="19.5" thickBot="1" x14ac:dyDescent="0.35">
      <c r="A50" s="182" t="s">
        <v>945</v>
      </c>
      <c r="B50" s="131"/>
      <c r="C50" s="127"/>
      <c r="D50" s="124"/>
      <c r="E50" s="127"/>
      <c r="F50" s="127"/>
      <c r="G50" s="127"/>
      <c r="H50" s="136"/>
      <c r="I50" s="112"/>
      <c r="J50" s="112"/>
      <c r="K50" s="112"/>
      <c r="L50" s="112"/>
      <c r="M50" s="83"/>
      <c r="N50" s="83"/>
      <c r="O50" s="83"/>
      <c r="P50" s="106"/>
      <c r="Q50" s="484"/>
    </row>
    <row r="51" spans="1:34" ht="13.9" customHeight="1" x14ac:dyDescent="0.2">
      <c r="A51" s="261"/>
      <c r="B51" s="262"/>
      <c r="C51" s="262"/>
      <c r="D51" s="269"/>
      <c r="E51" s="269"/>
      <c r="F51" s="264"/>
      <c r="G51" s="127"/>
      <c r="H51" s="134"/>
      <c r="I51" s="112"/>
      <c r="J51" s="112"/>
      <c r="K51" s="112"/>
      <c r="L51" s="112"/>
      <c r="M51" s="83"/>
      <c r="N51" s="83"/>
      <c r="O51" s="83"/>
      <c r="P51" s="106"/>
      <c r="Q51" s="484"/>
    </row>
    <row r="52" spans="1:34" ht="13.9" customHeight="1" x14ac:dyDescent="0.2">
      <c r="A52" s="254"/>
      <c r="B52" s="253"/>
      <c r="C52" s="253"/>
      <c r="D52" s="112"/>
      <c r="E52" s="112"/>
      <c r="F52" s="267"/>
      <c r="G52" s="127"/>
      <c r="H52" s="134"/>
      <c r="I52" s="112"/>
      <c r="J52" s="112"/>
      <c r="K52" s="112"/>
      <c r="L52" s="112"/>
      <c r="M52" s="83"/>
      <c r="N52" s="83"/>
      <c r="O52" s="83"/>
      <c r="P52" s="106"/>
      <c r="Q52" s="484"/>
    </row>
    <row r="53" spans="1:34" ht="13.9" customHeight="1" x14ac:dyDescent="0.2">
      <c r="A53" s="254"/>
      <c r="B53" s="253"/>
      <c r="C53" s="270"/>
      <c r="D53" s="271" t="s">
        <v>924</v>
      </c>
      <c r="E53" s="266">
        <v>22</v>
      </c>
      <c r="F53" s="267" t="s">
        <v>0</v>
      </c>
      <c r="G53" s="127"/>
      <c r="H53" s="134"/>
      <c r="I53" s="112"/>
      <c r="J53" s="112"/>
      <c r="K53" s="112"/>
      <c r="L53" s="112"/>
      <c r="M53" s="83"/>
      <c r="N53" s="83"/>
      <c r="O53" s="83"/>
      <c r="P53" s="106"/>
      <c r="Q53" s="484"/>
    </row>
    <row r="54" spans="1:34" ht="13.9" customHeight="1" x14ac:dyDescent="0.2">
      <c r="A54" s="254"/>
      <c r="B54" s="253"/>
      <c r="C54" s="253"/>
      <c r="D54" s="271" t="s">
        <v>925</v>
      </c>
      <c r="E54" s="266">
        <v>20</v>
      </c>
      <c r="F54" s="267" t="s">
        <v>0</v>
      </c>
      <c r="G54" s="127"/>
      <c r="H54" s="134"/>
      <c r="I54" s="112"/>
      <c r="J54" s="112"/>
      <c r="K54" s="112"/>
      <c r="L54" s="112"/>
      <c r="M54" s="83"/>
      <c r="N54" s="83"/>
      <c r="O54" s="83"/>
      <c r="P54" s="106"/>
      <c r="Q54" s="484"/>
    </row>
    <row r="55" spans="1:34" ht="15.75" customHeight="1" x14ac:dyDescent="0.3">
      <c r="A55" s="254"/>
      <c r="B55" s="253"/>
      <c r="C55" s="253"/>
      <c r="D55" s="607" t="s">
        <v>892</v>
      </c>
      <c r="E55" s="255">
        <f>IF(UVLO_TYPE=1,'Variable Management'!B188,0)</f>
        <v>200</v>
      </c>
      <c r="F55" s="257" t="s">
        <v>50</v>
      </c>
      <c r="G55" s="127"/>
      <c r="H55" s="127"/>
      <c r="I55" s="81"/>
      <c r="J55" s="122"/>
      <c r="K55" s="83"/>
      <c r="L55" s="112"/>
      <c r="M55" s="83"/>
      <c r="N55" s="83"/>
      <c r="O55" s="83"/>
      <c r="P55" s="106"/>
      <c r="Q55" s="484"/>
    </row>
    <row r="56" spans="1:34" ht="13.9" customHeight="1" x14ac:dyDescent="0.3">
      <c r="A56" s="254"/>
      <c r="B56" s="253"/>
      <c r="C56" s="253"/>
      <c r="D56" s="607" t="s">
        <v>893</v>
      </c>
      <c r="E56" s="511">
        <f>IF(UVLO_TYPE=1,'Variable Management'!B189,"DNP")</f>
        <v>9.5299999999999994</v>
      </c>
      <c r="F56" s="257" t="s">
        <v>50</v>
      </c>
      <c r="G56" s="127"/>
      <c r="H56" s="127"/>
      <c r="I56" s="81"/>
      <c r="J56" s="122"/>
      <c r="K56" s="83"/>
      <c r="L56" s="112"/>
      <c r="M56" s="83"/>
      <c r="N56" s="83"/>
      <c r="O56" s="83"/>
      <c r="P56" s="106"/>
      <c r="Q56" s="484"/>
    </row>
    <row r="57" spans="1:34" ht="15.75" customHeight="1" x14ac:dyDescent="0.3">
      <c r="A57" s="254"/>
      <c r="B57" s="253"/>
      <c r="C57" s="270"/>
      <c r="D57" s="607" t="s">
        <v>858</v>
      </c>
      <c r="E57" s="44" t="str">
        <f>IF(DITHER=1,"41.2","29.4")</f>
        <v>41.2</v>
      </c>
      <c r="F57" s="257" t="s">
        <v>50</v>
      </c>
      <c r="G57" s="127"/>
      <c r="H57" s="127"/>
      <c r="I57" s="81"/>
      <c r="J57" s="122"/>
      <c r="K57" s="83"/>
      <c r="L57" s="112"/>
      <c r="M57" s="83"/>
      <c r="N57" s="83"/>
      <c r="O57" s="83"/>
      <c r="P57" s="106"/>
      <c r="Q57" s="484"/>
    </row>
    <row r="58" spans="1:34" ht="15" customHeight="1" thickBot="1" x14ac:dyDescent="0.25">
      <c r="A58" s="273"/>
      <c r="B58" s="274"/>
      <c r="C58" s="274"/>
      <c r="D58" s="558" t="str">
        <f>IF(DEMB=1, "* Tie PFM to GND", "* Tie PFM to VDDA")</f>
        <v>* Tie PFM to GND</v>
      </c>
      <c r="E58" s="552"/>
      <c r="F58" s="275"/>
      <c r="G58" s="127"/>
      <c r="H58" s="127"/>
      <c r="I58" s="81"/>
      <c r="J58" s="122"/>
      <c r="K58" s="83"/>
      <c r="L58" s="112"/>
      <c r="M58" s="83"/>
      <c r="N58" s="83"/>
      <c r="O58" s="83"/>
      <c r="P58" s="106"/>
      <c r="Q58" s="484"/>
    </row>
    <row r="59" spans="1:34" ht="14.1" customHeight="1" x14ac:dyDescent="0.2">
      <c r="A59" s="126"/>
      <c r="B59" s="127"/>
      <c r="C59" s="127"/>
      <c r="D59" s="124"/>
      <c r="E59" s="137"/>
      <c r="F59" s="127"/>
      <c r="G59" s="127"/>
      <c r="H59" s="127"/>
      <c r="I59" s="81"/>
      <c r="J59" s="122"/>
      <c r="K59" s="83"/>
      <c r="L59" s="112"/>
      <c r="M59" s="83"/>
      <c r="N59" s="83"/>
      <c r="O59" s="83"/>
      <c r="P59" s="106"/>
      <c r="Q59" s="484"/>
    </row>
    <row r="60" spans="1:34" ht="19.5" customHeight="1" thickBot="1" x14ac:dyDescent="0.25">
      <c r="A60" s="182" t="s">
        <v>230</v>
      </c>
      <c r="B60" s="139"/>
      <c r="C60" s="132"/>
      <c r="D60" s="537"/>
      <c r="E60" s="133"/>
      <c r="F60" s="132"/>
      <c r="G60" s="127"/>
      <c r="H60" s="127"/>
      <c r="I60" s="83"/>
      <c r="J60" s="83"/>
      <c r="K60" s="83"/>
      <c r="L60" s="83"/>
      <c r="M60" s="83"/>
      <c r="N60" s="83"/>
      <c r="O60" s="83"/>
      <c r="P60" s="106"/>
      <c r="Q60" s="483"/>
      <c r="R60" s="54"/>
      <c r="S60" s="54"/>
      <c r="V60" s="54"/>
      <c r="W60" s="54"/>
      <c r="X60" s="54"/>
      <c r="AA60" s="54"/>
      <c r="AB60" s="54"/>
      <c r="AC60" s="54"/>
      <c r="AF60" s="54"/>
      <c r="AG60" s="54"/>
      <c r="AH60" s="54"/>
    </row>
    <row r="61" spans="1:34" ht="15" customHeight="1" x14ac:dyDescent="0.2">
      <c r="A61" s="261"/>
      <c r="B61" s="262"/>
      <c r="C61" s="263"/>
      <c r="D61" s="263" t="s">
        <v>738</v>
      </c>
      <c r="E61" s="356">
        <f>Fp_dominant</f>
        <v>788.38347997702385</v>
      </c>
      <c r="F61" s="276" t="s">
        <v>9</v>
      </c>
      <c r="G61" s="582"/>
      <c r="H61" s="134"/>
      <c r="I61" s="602"/>
      <c r="J61" s="601"/>
      <c r="K61" s="83"/>
      <c r="L61" s="83"/>
      <c r="M61" s="83"/>
      <c r="N61" s="83"/>
      <c r="O61" s="83"/>
      <c r="P61" s="106"/>
      <c r="Q61" s="483"/>
      <c r="R61" s="54"/>
      <c r="S61" s="54"/>
      <c r="V61" s="54"/>
      <c r="W61" s="54"/>
      <c r="X61" s="54"/>
      <c r="AA61" s="54"/>
      <c r="AB61" s="54"/>
      <c r="AC61" s="54"/>
      <c r="AF61" s="54"/>
      <c r="AG61" s="54"/>
      <c r="AH61" s="54"/>
    </row>
    <row r="62" spans="1:34" ht="15" customHeight="1" x14ac:dyDescent="0.2">
      <c r="A62" s="254"/>
      <c r="B62" s="253"/>
      <c r="C62" s="255"/>
      <c r="D62" s="255" t="s">
        <v>739</v>
      </c>
      <c r="E62" s="258">
        <f>Fesr/1000</f>
        <v>795.77471636878192</v>
      </c>
      <c r="F62" s="257" t="s">
        <v>2</v>
      </c>
      <c r="G62" s="134"/>
      <c r="H62" s="134"/>
      <c r="I62" s="602"/>
      <c r="J62" s="601"/>
      <c r="K62" s="83"/>
      <c r="L62" s="83"/>
      <c r="M62" s="83"/>
      <c r="N62" s="83"/>
      <c r="O62" s="83"/>
      <c r="P62" s="106"/>
      <c r="Q62" s="483"/>
      <c r="R62" s="54"/>
      <c r="S62" s="54"/>
      <c r="V62" s="54"/>
      <c r="W62" s="54"/>
      <c r="X62" s="54"/>
      <c r="AA62" s="54"/>
      <c r="AB62" s="54"/>
      <c r="AC62" s="54"/>
      <c r="AF62" s="54"/>
      <c r="AG62" s="54"/>
      <c r="AH62" s="54"/>
    </row>
    <row r="63" spans="1:34" ht="15" customHeight="1" x14ac:dyDescent="0.2">
      <c r="A63" s="254"/>
      <c r="B63" s="253"/>
      <c r="C63" s="255"/>
      <c r="D63" s="271" t="s">
        <v>395</v>
      </c>
      <c r="E63" s="277">
        <v>40</v>
      </c>
      <c r="F63" s="278" t="str">
        <f>"     kHz "</f>
        <v xml:space="preserve">     kHz </v>
      </c>
      <c r="G63" s="134"/>
      <c r="H63" s="134"/>
      <c r="I63" s="634"/>
      <c r="J63" s="604"/>
      <c r="K63" s="83"/>
      <c r="L63" s="83"/>
      <c r="M63" s="83"/>
      <c r="N63" s="83"/>
      <c r="O63" s="83"/>
      <c r="P63" s="106"/>
      <c r="Q63" s="483"/>
      <c r="R63" s="54"/>
      <c r="S63" s="54"/>
      <c r="V63" s="54"/>
      <c r="W63" s="54"/>
      <c r="X63" s="54"/>
      <c r="AA63" s="54"/>
      <c r="AB63" s="54"/>
      <c r="AC63" s="54"/>
      <c r="AF63" s="54"/>
      <c r="AG63" s="54"/>
      <c r="AH63" s="54"/>
    </row>
    <row r="64" spans="1:34" ht="15" customHeight="1" x14ac:dyDescent="0.2">
      <c r="A64" s="254"/>
      <c r="B64" s="253"/>
      <c r="C64" s="255"/>
      <c r="D64" s="255" t="s">
        <v>830</v>
      </c>
      <c r="E64" s="784">
        <f>Fp1_u</f>
        <v>0.75342856523137813</v>
      </c>
      <c r="F64" s="257" t="s">
        <v>9</v>
      </c>
      <c r="G64" s="134"/>
      <c r="H64" s="134"/>
      <c r="I64" s="603"/>
      <c r="J64" s="601"/>
      <c r="K64" s="83"/>
      <c r="L64" s="83"/>
      <c r="M64" s="83"/>
      <c r="N64" s="83"/>
      <c r="O64" s="83"/>
      <c r="P64" s="106"/>
      <c r="Q64" s="483"/>
      <c r="R64" s="54"/>
      <c r="S64" s="54"/>
      <c r="V64" s="54"/>
      <c r="W64" s="54"/>
      <c r="X64" s="54"/>
      <c r="AA64" s="54"/>
      <c r="AB64" s="54"/>
      <c r="AC64" s="54"/>
      <c r="AF64" s="54"/>
      <c r="AG64" s="54"/>
      <c r="AH64" s="54"/>
    </row>
    <row r="65" spans="1:34" ht="15" customHeight="1" x14ac:dyDescent="0.2">
      <c r="A65" s="254"/>
      <c r="B65" s="253"/>
      <c r="C65" s="255"/>
      <c r="D65" s="271" t="str">
        <f>CHOOSE(VOUT_setting, "Upper Feedback Resistor","","","")</f>
        <v/>
      </c>
      <c r="E65" s="279">
        <v>78.7</v>
      </c>
      <c r="F65" s="267" t="s">
        <v>50</v>
      </c>
      <c r="G65" s="134"/>
      <c r="H65" s="134"/>
      <c r="I65" s="635"/>
      <c r="J65" s="590"/>
      <c r="K65" s="83"/>
      <c r="L65" s="83"/>
      <c r="M65" s="83"/>
      <c r="N65" s="83"/>
      <c r="O65" s="83"/>
      <c r="P65" s="106"/>
      <c r="Q65" s="483"/>
      <c r="R65" s="54"/>
      <c r="S65" s="54"/>
      <c r="V65" s="54"/>
      <c r="W65" s="54"/>
      <c r="X65" s="54"/>
      <c r="AA65" s="54"/>
      <c r="AB65" s="54"/>
      <c r="AC65" s="54"/>
      <c r="AF65" s="54"/>
      <c r="AG65" s="54"/>
      <c r="AH65" s="54"/>
    </row>
    <row r="66" spans="1:34" ht="15" customHeight="1" x14ac:dyDescent="0.2">
      <c r="A66" s="572"/>
      <c r="B66" s="253"/>
      <c r="C66" s="255"/>
      <c r="D66" s="255" t="str">
        <f>CHOOSE(VOUT_setting, "Lower Feedback Resistor", "* Connect "&amp;'Variable Management'!D419&amp;" from FB to VDDA","* Tie FB to VDDA","* Connect "&amp;'Variable Management'!D419&amp;" from FB to VDDA")</f>
        <v>* Connect 48.7kΩ from FB to VDDA</v>
      </c>
      <c r="E66" s="255">
        <f>IF(Vout=Vref,"OPEN",Rfb2_u/1000)</f>
        <v>177</v>
      </c>
      <c r="F66" s="257" t="str">
        <f>IF(Vout=Vref,"","kΩ")</f>
        <v>kΩ</v>
      </c>
      <c r="G66" s="582"/>
      <c r="H66" s="134"/>
      <c r="I66" s="605"/>
      <c r="J66" s="601"/>
      <c r="K66" s="83"/>
      <c r="L66" s="83"/>
      <c r="M66" s="83"/>
      <c r="N66" s="83"/>
      <c r="O66" s="83"/>
      <c r="P66" s="106"/>
      <c r="Q66" s="483"/>
      <c r="R66" s="54"/>
      <c r="S66" s="54"/>
      <c r="V66" s="54"/>
      <c r="W66" s="54"/>
      <c r="X66" s="54"/>
      <c r="AA66" s="54"/>
      <c r="AB66" s="54"/>
      <c r="AC66" s="54"/>
      <c r="AF66" s="54"/>
      <c r="AG66" s="54"/>
      <c r="AH66" s="54"/>
    </row>
    <row r="67" spans="1:34" ht="15" customHeight="1" thickBot="1" x14ac:dyDescent="0.25">
      <c r="A67" s="273"/>
      <c r="B67" s="274"/>
      <c r="C67" s="272"/>
      <c r="D67" s="272" t="str">
        <f>CHOOSE(VOUT_setting, "Actual Output Voltage Setpoint","","","")</f>
        <v/>
      </c>
      <c r="E67" s="783">
        <f>0.8/E66*(E65+E66)</f>
        <v>1.1557062146892656</v>
      </c>
      <c r="F67" s="275" t="s">
        <v>0</v>
      </c>
      <c r="G67" s="134"/>
      <c r="H67" s="134"/>
      <c r="I67" s="605"/>
      <c r="J67" s="601"/>
      <c r="K67" s="83"/>
      <c r="L67" s="83"/>
      <c r="M67" s="83"/>
      <c r="N67" s="83"/>
      <c r="O67" s="83"/>
      <c r="P67" s="106"/>
      <c r="Q67" s="483"/>
      <c r="R67" s="54"/>
      <c r="S67" s="54"/>
      <c r="V67" s="54"/>
      <c r="W67" s="54"/>
      <c r="X67" s="54"/>
      <c r="AA67" s="54"/>
      <c r="AB67" s="54"/>
      <c r="AC67" s="54"/>
      <c r="AF67" s="54"/>
      <c r="AG67" s="54"/>
      <c r="AH67" s="54"/>
    </row>
    <row r="68" spans="1:34" ht="13.5" customHeight="1" x14ac:dyDescent="0.2">
      <c r="A68" s="185"/>
      <c r="B68" s="532"/>
      <c r="C68" s="145"/>
      <c r="D68" s="134"/>
      <c r="E68" s="134"/>
      <c r="F68" s="134"/>
      <c r="G68" s="144"/>
      <c r="H68" s="143"/>
      <c r="I68" s="83"/>
      <c r="J68" s="83"/>
      <c r="K68" s="83"/>
      <c r="L68" s="83"/>
      <c r="M68" s="83"/>
      <c r="N68" s="83"/>
      <c r="O68" s="83"/>
      <c r="P68" s="106"/>
      <c r="Q68" s="483"/>
      <c r="R68" s="54"/>
      <c r="S68" s="54"/>
      <c r="V68" s="54"/>
      <c r="W68" s="54"/>
      <c r="X68" s="54"/>
      <c r="AA68" s="54"/>
      <c r="AB68" s="54"/>
      <c r="AC68" s="54"/>
      <c r="AF68" s="54"/>
      <c r="AG68" s="54"/>
      <c r="AH68" s="54"/>
    </row>
    <row r="69" spans="1:34" ht="15.75" customHeight="1" x14ac:dyDescent="0.25">
      <c r="A69" s="461" t="s">
        <v>225</v>
      </c>
      <c r="B69" s="146"/>
      <c r="C69" s="124"/>
      <c r="D69" s="140"/>
      <c r="E69" s="141"/>
      <c r="F69" s="142"/>
      <c r="G69" s="147"/>
      <c r="H69" s="127"/>
      <c r="I69" s="83"/>
      <c r="J69" s="83"/>
      <c r="K69" s="83"/>
      <c r="L69" s="83"/>
      <c r="M69" s="83"/>
      <c r="N69" s="83"/>
      <c r="O69" s="83"/>
      <c r="P69" s="106"/>
      <c r="Q69" s="483"/>
      <c r="R69" s="188"/>
      <c r="S69" s="188"/>
      <c r="T69" s="189"/>
      <c r="U69" s="189"/>
      <c r="V69" s="188"/>
      <c r="W69" s="188"/>
      <c r="X69" s="188"/>
      <c r="Y69" s="189"/>
      <c r="Z69" s="189"/>
      <c r="AA69" s="188"/>
      <c r="AB69" s="188"/>
      <c r="AC69" s="188"/>
      <c r="AD69" s="189"/>
      <c r="AE69" s="189"/>
      <c r="AF69" s="54"/>
      <c r="AG69" s="54"/>
      <c r="AH69" s="54"/>
    </row>
    <row r="70" spans="1:34" s="200" customFormat="1" ht="13.5" customHeight="1" thickBot="1" x14ac:dyDescent="0.25">
      <c r="A70" s="205"/>
      <c r="B70" s="206" t="s">
        <v>231</v>
      </c>
      <c r="C70" s="207" t="s">
        <v>224</v>
      </c>
      <c r="D70" s="575" t="str">
        <f>C70</f>
        <v>Std Values</v>
      </c>
      <c r="E70" s="537"/>
      <c r="F70" s="785" t="s">
        <v>226</v>
      </c>
      <c r="G70" s="785"/>
      <c r="H70" s="785"/>
      <c r="I70" s="195"/>
      <c r="J70" s="195"/>
      <c r="K70" s="195"/>
      <c r="L70" s="195"/>
      <c r="M70" s="195"/>
      <c r="N70" s="195"/>
      <c r="O70" s="195"/>
      <c r="P70" s="196"/>
      <c r="Q70" s="485"/>
      <c r="R70" s="197"/>
      <c r="S70" s="197"/>
      <c r="T70" s="198"/>
      <c r="U70" s="198"/>
      <c r="V70" s="197"/>
      <c r="W70" s="197"/>
      <c r="X70" s="197"/>
      <c r="Y70" s="198"/>
      <c r="Z70" s="198"/>
      <c r="AA70" s="197"/>
      <c r="AB70" s="197"/>
      <c r="AC70" s="197"/>
      <c r="AD70" s="198"/>
      <c r="AE70" s="198"/>
      <c r="AF70" s="199"/>
      <c r="AG70" s="199"/>
      <c r="AH70" s="199"/>
    </row>
    <row r="71" spans="1:34" ht="15.75" x14ac:dyDescent="0.3">
      <c r="A71" s="170" t="s">
        <v>643</v>
      </c>
      <c r="B71" s="180">
        <f>Rcea1/1000</f>
        <v>12.411840966876641</v>
      </c>
      <c r="C71" s="166">
        <f>'Standard Value Calculator'!S32</f>
        <v>12.4</v>
      </c>
      <c r="D71" s="167">
        <f>C71</f>
        <v>12.4</v>
      </c>
      <c r="E71" s="168" t="s">
        <v>50</v>
      </c>
      <c r="F71" s="778">
        <f>Fp1_u</f>
        <v>0.75342856523137813</v>
      </c>
      <c r="G71" s="418" t="s">
        <v>647</v>
      </c>
      <c r="H71" s="134"/>
      <c r="I71" s="478"/>
      <c r="J71" s="127"/>
      <c r="K71" s="83"/>
      <c r="L71" s="83"/>
      <c r="M71" s="83"/>
      <c r="N71" s="83"/>
      <c r="O71" s="83"/>
      <c r="P71" s="106"/>
      <c r="Q71" s="483"/>
      <c r="R71" s="188"/>
      <c r="S71" s="188"/>
      <c r="T71" s="189"/>
      <c r="U71" s="189"/>
      <c r="V71" s="188"/>
      <c r="W71" s="188"/>
      <c r="X71" s="188"/>
      <c r="Y71" s="189"/>
      <c r="Z71" s="189"/>
      <c r="AA71" s="188"/>
      <c r="AB71" s="188"/>
      <c r="AC71" s="188"/>
      <c r="AD71" s="189"/>
      <c r="AE71" s="189"/>
      <c r="AF71" s="54"/>
      <c r="AG71" s="54"/>
      <c r="AH71" s="54"/>
    </row>
    <row r="72" spans="1:34" ht="15.75" x14ac:dyDescent="0.3">
      <c r="A72" s="171" t="s">
        <v>227</v>
      </c>
      <c r="B72" s="470">
        <f>Cc1ea*1000000000</f>
        <v>3.2057078337228866</v>
      </c>
      <c r="C72" s="143">
        <f>'Standard Value Calculator'!S33</f>
        <v>3.3000000000000003</v>
      </c>
      <c r="D72" s="148">
        <f>C72</f>
        <v>3.3000000000000003</v>
      </c>
      <c r="E72" s="169" t="s">
        <v>141</v>
      </c>
      <c r="F72" s="419">
        <f>Fz1_u/1000</f>
        <v>3.8894169910497642</v>
      </c>
      <c r="G72" s="420" t="s">
        <v>495</v>
      </c>
      <c r="H72" s="134"/>
      <c r="I72" s="478"/>
      <c r="J72" s="127"/>
      <c r="K72" s="83"/>
      <c r="L72" s="83"/>
      <c r="M72" s="83"/>
      <c r="N72" s="83"/>
      <c r="O72" s="83"/>
      <c r="P72" s="106"/>
      <c r="Q72" s="483"/>
      <c r="R72" s="188"/>
      <c r="S72" s="188"/>
      <c r="T72" s="189"/>
      <c r="U72" s="189"/>
      <c r="V72" s="188"/>
      <c r="W72" s="188"/>
      <c r="X72" s="188"/>
      <c r="Y72" s="189"/>
      <c r="Z72" s="189"/>
      <c r="AA72" s="188"/>
      <c r="AB72" s="188"/>
      <c r="AC72" s="188"/>
      <c r="AD72" s="189"/>
      <c r="AE72" s="189"/>
      <c r="AF72" s="54"/>
      <c r="AG72" s="54"/>
      <c r="AH72" s="54"/>
    </row>
    <row r="73" spans="1:34" ht="16.5" thickBot="1" x14ac:dyDescent="0.35">
      <c r="A73" s="357" t="s">
        <v>228</v>
      </c>
      <c r="B73" s="181">
        <f>IF(Cc2ea&lt;0, "N/A", Cc2ea*1000000000000)</f>
        <v>43.597430962257839</v>
      </c>
      <c r="C73" s="177">
        <f>'Standard Value Calculator'!S34</f>
        <v>47</v>
      </c>
      <c r="D73" s="178">
        <f>C73</f>
        <v>47</v>
      </c>
      <c r="E73" s="179" t="s">
        <v>30</v>
      </c>
      <c r="F73" s="423">
        <f>Fp2_u/1000</f>
        <v>162.81764683526691</v>
      </c>
      <c r="G73" s="421" t="s">
        <v>496</v>
      </c>
      <c r="H73" s="134"/>
      <c r="I73" s="83"/>
      <c r="J73" s="83"/>
      <c r="K73" s="83"/>
      <c r="L73" s="83"/>
      <c r="M73" s="83"/>
      <c r="N73" s="83"/>
      <c r="O73" s="83"/>
      <c r="P73" s="106"/>
      <c r="Q73" s="483"/>
      <c r="R73" s="188"/>
      <c r="S73" s="188"/>
      <c r="T73" s="189"/>
      <c r="U73" s="189"/>
      <c r="V73" s="188"/>
      <c r="W73" s="188"/>
      <c r="X73" s="188"/>
      <c r="Y73" s="189"/>
      <c r="Z73" s="189"/>
      <c r="AA73" s="188"/>
      <c r="AB73" s="188"/>
      <c r="AC73" s="188"/>
      <c r="AD73" s="189"/>
      <c r="AE73" s="189"/>
      <c r="AF73" s="54"/>
      <c r="AG73" s="54"/>
      <c r="AH73" s="54"/>
    </row>
    <row r="74" spans="1:34" x14ac:dyDescent="0.2">
      <c r="A74" s="170"/>
      <c r="B74" s="180"/>
      <c r="C74" s="636"/>
      <c r="D74" s="642"/>
      <c r="E74" s="637"/>
      <c r="F74" s="638"/>
      <c r="G74" s="639"/>
      <c r="H74" s="134"/>
      <c r="I74" s="83"/>
      <c r="J74" s="83"/>
      <c r="K74" s="83"/>
      <c r="L74" s="83"/>
      <c r="M74" s="123"/>
      <c r="N74" s="780"/>
      <c r="O74" s="132"/>
      <c r="P74" s="106"/>
      <c r="Q74" s="483"/>
      <c r="R74" s="188"/>
      <c r="S74" s="188"/>
      <c r="T74" s="189"/>
      <c r="U74" s="189"/>
      <c r="V74" s="188"/>
      <c r="W74" s="188"/>
      <c r="X74" s="188"/>
      <c r="Y74" s="189"/>
      <c r="Z74" s="189"/>
      <c r="AA74" s="188"/>
      <c r="AB74" s="188"/>
      <c r="AC74" s="188"/>
      <c r="AD74" s="189"/>
      <c r="AE74" s="189"/>
      <c r="AF74" s="54"/>
      <c r="AG74" s="54"/>
      <c r="AH74" s="54"/>
    </row>
    <row r="75" spans="1:34" ht="13.5" thickBot="1" x14ac:dyDescent="0.25">
      <c r="A75" s="126"/>
      <c r="B75" s="124"/>
      <c r="C75" s="640"/>
      <c r="D75" s="641"/>
      <c r="E75" s="641"/>
      <c r="F75" s="641"/>
      <c r="G75" s="641"/>
      <c r="H75" s="127"/>
      <c r="I75" s="83"/>
      <c r="J75" s="83"/>
      <c r="K75" s="83"/>
      <c r="L75" s="83"/>
      <c r="M75" s="83"/>
      <c r="N75" s="83"/>
      <c r="O75" s="83"/>
      <c r="P75" s="106"/>
      <c r="Q75" s="483"/>
      <c r="R75" s="188"/>
      <c r="S75" s="188"/>
      <c r="T75" s="189"/>
      <c r="U75" s="189"/>
      <c r="V75" s="188"/>
      <c r="W75" s="188"/>
      <c r="X75" s="188"/>
      <c r="Y75" s="189"/>
      <c r="Z75" s="189"/>
      <c r="AA75" s="188"/>
      <c r="AB75" s="188"/>
      <c r="AC75" s="188"/>
      <c r="AD75" s="189"/>
      <c r="AE75" s="189"/>
      <c r="AF75" s="54"/>
      <c r="AG75" s="54"/>
      <c r="AH75" s="54"/>
    </row>
    <row r="76" spans="1:34" s="86" customFormat="1" ht="18.75" thickBot="1" x14ac:dyDescent="0.3">
      <c r="A76" s="186" t="s">
        <v>229</v>
      </c>
      <c r="B76" s="138"/>
      <c r="C76" s="149"/>
      <c r="D76" s="149"/>
      <c r="E76" s="149"/>
      <c r="F76" s="149"/>
      <c r="G76" s="149"/>
      <c r="H76" s="149"/>
      <c r="I76" s="84"/>
      <c r="J76" s="84"/>
      <c r="K76" s="84"/>
      <c r="L76" s="84"/>
      <c r="M76" s="84"/>
      <c r="N76" s="84"/>
      <c r="O76" s="84"/>
      <c r="P76" s="85"/>
      <c r="Q76" s="486"/>
      <c r="R76" s="190"/>
      <c r="S76" s="190"/>
      <c r="T76" s="191"/>
      <c r="U76" s="191"/>
      <c r="V76" s="190"/>
      <c r="W76" s="190"/>
      <c r="X76" s="190"/>
      <c r="Y76" s="191"/>
      <c r="Z76" s="191"/>
      <c r="AA76" s="190"/>
      <c r="AB76" s="190"/>
      <c r="AC76" s="190"/>
      <c r="AD76" s="191"/>
      <c r="AE76" s="191"/>
      <c r="AF76" s="55"/>
      <c r="AG76" s="55"/>
      <c r="AH76" s="55"/>
    </row>
    <row r="77" spans="1:34" x14ac:dyDescent="0.2">
      <c r="A77" s="184"/>
      <c r="B77" s="134"/>
      <c r="C77" s="127"/>
      <c r="D77" s="127"/>
      <c r="E77" s="127"/>
      <c r="F77" s="127"/>
      <c r="G77" s="127"/>
      <c r="H77" s="127"/>
      <c r="I77" s="83"/>
      <c r="J77" s="83"/>
      <c r="K77" s="83"/>
      <c r="L77" s="83"/>
      <c r="M77" s="83"/>
      <c r="N77" s="83"/>
      <c r="O77" s="83"/>
      <c r="P77" s="106"/>
      <c r="Q77" s="483"/>
      <c r="R77" s="188"/>
      <c r="S77" s="188"/>
      <c r="T77" s="189"/>
      <c r="U77" s="189"/>
      <c r="V77" s="188"/>
      <c r="W77" s="188"/>
      <c r="X77" s="188"/>
      <c r="Y77" s="189"/>
      <c r="Z77" s="189"/>
      <c r="AA77" s="188"/>
      <c r="AB77" s="188"/>
      <c r="AC77" s="188"/>
      <c r="AD77" s="189"/>
      <c r="AE77" s="189"/>
      <c r="AF77" s="54"/>
      <c r="AG77" s="54"/>
      <c r="AH77" s="54"/>
    </row>
    <row r="78" spans="1:34" ht="19.5" thickBot="1" x14ac:dyDescent="0.35">
      <c r="A78" s="150" t="s">
        <v>190</v>
      </c>
      <c r="B78" s="131"/>
      <c r="C78" s="127"/>
      <c r="D78" s="127"/>
      <c r="E78" s="127"/>
      <c r="F78" s="127"/>
      <c r="G78" s="127"/>
      <c r="H78" s="127"/>
      <c r="I78" s="83"/>
      <c r="J78" s="83"/>
      <c r="K78" s="83"/>
      <c r="L78" s="83"/>
      <c r="M78" s="83"/>
      <c r="N78" s="83"/>
      <c r="O78" s="83"/>
      <c r="P78" s="106"/>
      <c r="Q78" s="483"/>
      <c r="R78" s="188"/>
      <c r="S78" s="188"/>
      <c r="T78" s="189"/>
      <c r="U78" s="189"/>
      <c r="V78" s="188"/>
      <c r="W78" s="188"/>
      <c r="X78" s="188"/>
      <c r="Y78" s="189"/>
      <c r="Z78" s="189"/>
      <c r="AA78" s="188"/>
      <c r="AB78" s="188"/>
      <c r="AC78" s="188"/>
      <c r="AD78" s="189"/>
      <c r="AE78" s="189"/>
      <c r="AF78" s="54"/>
      <c r="AG78" s="54"/>
      <c r="AH78" s="54"/>
    </row>
    <row r="79" spans="1:34" ht="18" customHeight="1" x14ac:dyDescent="0.25">
      <c r="A79" s="172"/>
      <c r="B79" s="173"/>
      <c r="C79" s="542"/>
      <c r="D79" s="542"/>
      <c r="E79" s="542"/>
      <c r="F79" s="201" t="s">
        <v>737</v>
      </c>
      <c r="G79" s="579" t="s">
        <v>683</v>
      </c>
      <c r="H79" s="588"/>
      <c r="I79" s="600"/>
      <c r="J79" s="83"/>
      <c r="K79" s="83"/>
      <c r="L79" s="83"/>
      <c r="M79" s="83"/>
      <c r="N79" s="83"/>
      <c r="O79" s="83"/>
      <c r="P79" s="106"/>
      <c r="Q79" s="483"/>
      <c r="R79" s="188"/>
      <c r="S79" s="120"/>
      <c r="T79" s="120"/>
      <c r="U79" s="189"/>
      <c r="V79" s="188"/>
      <c r="W79" s="188"/>
      <c r="X79" s="188"/>
      <c r="Y79" s="189"/>
      <c r="Z79" s="189"/>
      <c r="AA79" s="188"/>
      <c r="AB79" s="188"/>
      <c r="AC79" s="188"/>
      <c r="AD79" s="189"/>
      <c r="AE79" s="189"/>
      <c r="AF79" s="54"/>
      <c r="AG79" s="54"/>
      <c r="AH79" s="54"/>
    </row>
    <row r="80" spans="1:34" ht="14.25" customHeight="1" x14ac:dyDescent="0.2">
      <c r="A80" s="576"/>
      <c r="B80" s="132"/>
      <c r="C80" s="577"/>
      <c r="D80" s="578"/>
      <c r="E80" s="777" t="s">
        <v>944</v>
      </c>
      <c r="F80" s="127"/>
      <c r="G80" s="162"/>
      <c r="H80" s="662"/>
      <c r="I80" s="134"/>
      <c r="J80" s="83"/>
      <c r="K80" s="83"/>
      <c r="L80" s="83"/>
      <c r="M80" s="83"/>
      <c r="N80" s="83"/>
      <c r="O80" s="83"/>
      <c r="P80" s="106"/>
      <c r="Q80" s="483"/>
      <c r="R80" s="188"/>
      <c r="S80" s="120"/>
      <c r="T80" s="120"/>
      <c r="U80" s="189"/>
      <c r="V80" s="188"/>
      <c r="W80" s="188"/>
      <c r="X80" s="188"/>
      <c r="Y80" s="189"/>
      <c r="Z80" s="189"/>
      <c r="AA80" s="188"/>
      <c r="AB80" s="188"/>
      <c r="AC80" s="188"/>
      <c r="AD80" s="189"/>
      <c r="AE80" s="189"/>
      <c r="AF80" s="54"/>
      <c r="AG80" s="54"/>
      <c r="AH80" s="54"/>
    </row>
    <row r="81" spans="1:34" ht="14.65" customHeight="1" x14ac:dyDescent="0.2">
      <c r="A81" s="468"/>
      <c r="B81" s="112"/>
      <c r="C81" s="112"/>
      <c r="D81" s="112"/>
      <c r="E81" s="469" t="s">
        <v>676</v>
      </c>
      <c r="F81" s="789" t="s">
        <v>528</v>
      </c>
      <c r="G81" s="790"/>
      <c r="H81" s="599"/>
      <c r="I81" s="601"/>
      <c r="J81" s="83"/>
      <c r="K81" s="83"/>
      <c r="L81" s="83"/>
      <c r="M81" s="83"/>
      <c r="N81" s="83"/>
      <c r="O81" s="83"/>
      <c r="P81" s="106"/>
      <c r="Q81" s="483"/>
      <c r="R81" s="188"/>
      <c r="S81" s="120"/>
      <c r="T81" s="120"/>
      <c r="U81" s="189"/>
      <c r="V81" s="188"/>
      <c r="W81" s="188"/>
      <c r="X81" s="188"/>
      <c r="Y81" s="189"/>
      <c r="Z81" s="189"/>
      <c r="AA81" s="188"/>
      <c r="AB81" s="188"/>
      <c r="AC81" s="188"/>
      <c r="AD81" s="189"/>
      <c r="AE81" s="189"/>
      <c r="AF81" s="54"/>
      <c r="AG81" s="54"/>
      <c r="AH81" s="54"/>
    </row>
    <row r="82" spans="1:34" ht="14.65" customHeight="1" x14ac:dyDescent="0.25">
      <c r="A82" s="126"/>
      <c r="B82" s="127"/>
      <c r="C82" s="132"/>
      <c r="D82" s="123" t="s">
        <v>264</v>
      </c>
      <c r="E82" s="250">
        <v>12</v>
      </c>
      <c r="F82" s="128">
        <v>4.0999999999999996</v>
      </c>
      <c r="G82" s="162" t="s">
        <v>49</v>
      </c>
      <c r="H82" s="581"/>
      <c r="I82" s="134"/>
      <c r="J82" s="83"/>
      <c r="K82" s="83"/>
      <c r="L82" s="83"/>
      <c r="M82" s="83"/>
      <c r="N82" s="83"/>
      <c r="O82" s="83"/>
      <c r="P82" s="106"/>
      <c r="Q82" s="483"/>
      <c r="R82" s="188"/>
      <c r="S82" s="120"/>
      <c r="T82" s="120"/>
      <c r="U82" s="189"/>
      <c r="V82" s="188"/>
      <c r="W82" s="188"/>
      <c r="X82" s="188"/>
      <c r="Y82" s="189"/>
      <c r="Z82" s="189"/>
      <c r="AA82" s="188"/>
      <c r="AB82" s="188"/>
      <c r="AC82" s="188"/>
      <c r="AD82" s="189"/>
      <c r="AE82" s="189"/>
      <c r="AF82" s="54"/>
      <c r="AG82" s="54"/>
      <c r="AH82" s="54"/>
    </row>
    <row r="83" spans="1:34" ht="14.65" customHeight="1" x14ac:dyDescent="0.25">
      <c r="A83" s="126"/>
      <c r="B83" s="127"/>
      <c r="C83" s="132"/>
      <c r="D83" s="123" t="s">
        <v>265</v>
      </c>
      <c r="E83" s="128">
        <v>8</v>
      </c>
      <c r="F83" s="128">
        <v>25</v>
      </c>
      <c r="G83" s="162" t="s">
        <v>65</v>
      </c>
      <c r="H83" s="581"/>
      <c r="I83" s="134"/>
      <c r="J83" s="83"/>
      <c r="K83" s="83"/>
      <c r="L83" s="83"/>
      <c r="M83" s="83"/>
      <c r="N83" s="83"/>
      <c r="O83" s="83"/>
      <c r="P83" s="106"/>
      <c r="Q83" s="483"/>
      <c r="R83" s="188"/>
      <c r="S83" s="120"/>
      <c r="T83" s="120"/>
      <c r="U83" s="189"/>
      <c r="V83" s="188"/>
      <c r="W83" s="188"/>
      <c r="X83" s="188"/>
      <c r="Y83" s="189"/>
      <c r="Z83" s="189"/>
      <c r="AA83" s="188"/>
      <c r="AB83" s="188"/>
      <c r="AC83" s="188"/>
      <c r="AD83" s="189"/>
      <c r="AE83" s="189"/>
      <c r="AF83" s="54"/>
      <c r="AG83" s="54"/>
      <c r="AH83" s="54"/>
    </row>
    <row r="84" spans="1:34" ht="14.65" customHeight="1" x14ac:dyDescent="0.25">
      <c r="A84" s="126"/>
      <c r="B84" s="127"/>
      <c r="C84" s="132"/>
      <c r="D84" s="123" t="s">
        <v>266</v>
      </c>
      <c r="E84" s="128">
        <v>2.9</v>
      </c>
      <c r="F84" s="128">
        <v>9</v>
      </c>
      <c r="G84" s="162" t="s">
        <v>65</v>
      </c>
      <c r="H84" s="581"/>
      <c r="I84" s="134"/>
      <c r="J84" s="83"/>
      <c r="K84" s="83"/>
      <c r="L84" s="83"/>
      <c r="M84" s="83"/>
      <c r="N84" s="83"/>
      <c r="O84" s="83"/>
      <c r="P84" s="106"/>
      <c r="Q84" s="483"/>
      <c r="R84" s="188"/>
      <c r="S84" s="120"/>
      <c r="T84" s="120"/>
      <c r="U84" s="189"/>
      <c r="V84" s="188"/>
      <c r="W84" s="188"/>
      <c r="X84" s="188"/>
      <c r="Y84" s="189"/>
      <c r="Z84" s="189"/>
      <c r="AA84" s="188"/>
      <c r="AB84" s="188"/>
      <c r="AC84" s="188"/>
      <c r="AD84" s="189"/>
      <c r="AE84" s="189"/>
      <c r="AF84" s="54"/>
      <c r="AG84" s="54"/>
      <c r="AH84" s="54"/>
    </row>
    <row r="85" spans="1:34" ht="14.65" customHeight="1" x14ac:dyDescent="0.25">
      <c r="A85" s="126"/>
      <c r="B85" s="127"/>
      <c r="C85" s="132"/>
      <c r="D85" s="123" t="s">
        <v>267</v>
      </c>
      <c r="E85" s="128">
        <v>3.1</v>
      </c>
      <c r="F85" s="128">
        <v>8.6999999999999993</v>
      </c>
      <c r="G85" s="162" t="s">
        <v>65</v>
      </c>
      <c r="H85" s="581"/>
      <c r="I85" s="134"/>
      <c r="J85" s="83"/>
      <c r="K85" s="83"/>
      <c r="L85" s="83"/>
      <c r="M85" s="83"/>
      <c r="N85" s="83"/>
      <c r="O85" s="83"/>
      <c r="P85" s="106"/>
      <c r="Q85" s="483"/>
      <c r="R85" s="188"/>
      <c r="S85" s="120"/>
      <c r="T85" s="120"/>
      <c r="U85" s="189"/>
      <c r="V85" s="188"/>
      <c r="W85" s="188"/>
      <c r="X85" s="188"/>
      <c r="Y85" s="189"/>
      <c r="Z85" s="189"/>
      <c r="AA85" s="188"/>
      <c r="AB85" s="188"/>
      <c r="AC85" s="188"/>
      <c r="AD85" s="189"/>
      <c r="AE85" s="189"/>
      <c r="AF85" s="54"/>
      <c r="AG85" s="54"/>
      <c r="AH85" s="54"/>
    </row>
    <row r="86" spans="1:34" ht="14.65" customHeight="1" x14ac:dyDescent="0.25">
      <c r="A86" s="468"/>
      <c r="B86" s="112"/>
      <c r="C86" s="112"/>
      <c r="D86" s="123" t="s">
        <v>714</v>
      </c>
      <c r="E86" s="581"/>
      <c r="F86" s="128">
        <v>30</v>
      </c>
      <c r="G86" s="162" t="s">
        <v>65</v>
      </c>
      <c r="H86" s="581"/>
      <c r="I86" s="134"/>
      <c r="J86" s="83"/>
      <c r="K86" s="83"/>
      <c r="L86" s="83"/>
      <c r="M86" s="83"/>
      <c r="N86" s="83"/>
      <c r="O86" s="83"/>
      <c r="P86" s="106"/>
      <c r="Q86" s="483"/>
      <c r="R86" s="188"/>
      <c r="S86" s="120"/>
      <c r="T86" s="120"/>
      <c r="U86" s="189"/>
      <c r="V86" s="188"/>
      <c r="W86" s="188"/>
      <c r="X86" s="188"/>
      <c r="Y86" s="189"/>
      <c r="Z86" s="189"/>
      <c r="AA86" s="188"/>
      <c r="AB86" s="188"/>
      <c r="AC86" s="188"/>
      <c r="AD86" s="189"/>
      <c r="AE86" s="189"/>
      <c r="AF86" s="54"/>
      <c r="AG86" s="54"/>
      <c r="AH86" s="54"/>
    </row>
    <row r="87" spans="1:34" ht="14.65" customHeight="1" x14ac:dyDescent="0.25">
      <c r="A87" s="468"/>
      <c r="B87" s="112"/>
      <c r="C87" s="112"/>
      <c r="D87" s="123" t="s">
        <v>713</v>
      </c>
      <c r="E87" s="128">
        <v>116</v>
      </c>
      <c r="F87" s="128">
        <v>366</v>
      </c>
      <c r="G87" s="162" t="s">
        <v>30</v>
      </c>
      <c r="H87" s="581"/>
      <c r="I87" s="134"/>
      <c r="J87" s="83"/>
      <c r="K87" s="83"/>
      <c r="L87" s="83"/>
      <c r="M87" s="83"/>
      <c r="N87" s="83"/>
      <c r="O87" s="83"/>
      <c r="P87" s="106"/>
      <c r="Q87" s="483"/>
      <c r="R87" s="188"/>
      <c r="S87" s="120"/>
      <c r="T87" s="120"/>
      <c r="U87" s="189"/>
      <c r="V87" s="188"/>
      <c r="W87" s="188"/>
      <c r="X87" s="188"/>
      <c r="Y87" s="189"/>
      <c r="Z87" s="189"/>
      <c r="AA87" s="188"/>
      <c r="AB87" s="188"/>
      <c r="AC87" s="188"/>
      <c r="AD87" s="189"/>
      <c r="AE87" s="189"/>
      <c r="AF87" s="54"/>
      <c r="AG87" s="54"/>
      <c r="AH87" s="54"/>
    </row>
    <row r="88" spans="1:34" ht="14.65" customHeight="1" x14ac:dyDescent="0.25">
      <c r="A88" s="126"/>
      <c r="B88" s="127"/>
      <c r="C88" s="132"/>
      <c r="D88" s="123" t="s">
        <v>268</v>
      </c>
      <c r="E88" s="128">
        <v>1.2</v>
      </c>
      <c r="F88" s="128">
        <v>1.2</v>
      </c>
      <c r="G88" s="162" t="s">
        <v>138</v>
      </c>
      <c r="H88" s="581"/>
      <c r="I88" s="134"/>
      <c r="J88" s="83"/>
      <c r="K88" s="83"/>
      <c r="L88" s="83"/>
      <c r="M88" s="83"/>
      <c r="N88" s="83"/>
      <c r="O88" s="83"/>
      <c r="P88" s="106"/>
      <c r="Q88" s="483"/>
      <c r="R88" s="188"/>
      <c r="S88" s="120"/>
      <c r="T88" s="120"/>
      <c r="U88" s="189"/>
      <c r="V88" s="188"/>
      <c r="W88" s="188"/>
      <c r="X88" s="188"/>
      <c r="Y88" s="189"/>
      <c r="Z88" s="189"/>
      <c r="AA88" s="188"/>
      <c r="AB88" s="188"/>
      <c r="AC88" s="188"/>
      <c r="AD88" s="189"/>
      <c r="AE88" s="189"/>
      <c r="AF88" s="54"/>
      <c r="AG88" s="54"/>
      <c r="AH88" s="54"/>
    </row>
    <row r="89" spans="1:34" ht="14.65" customHeight="1" x14ac:dyDescent="0.25">
      <c r="A89" s="126"/>
      <c r="B89" s="127"/>
      <c r="C89" s="132"/>
      <c r="D89" s="123" t="s">
        <v>269</v>
      </c>
      <c r="E89" s="128">
        <v>55</v>
      </c>
      <c r="F89" s="128">
        <v>178</v>
      </c>
      <c r="G89" s="162" t="s">
        <v>66</v>
      </c>
      <c r="H89" s="581"/>
      <c r="I89" s="134"/>
      <c r="J89" s="83"/>
      <c r="K89" s="83"/>
      <c r="L89" s="83"/>
      <c r="M89" s="83"/>
      <c r="N89" s="83"/>
      <c r="O89" s="83"/>
      <c r="P89" s="106"/>
      <c r="Q89" s="483"/>
      <c r="R89" s="188"/>
      <c r="S89" s="120"/>
      <c r="T89" s="120"/>
      <c r="U89" s="189"/>
      <c r="V89" s="188"/>
      <c r="W89" s="188"/>
      <c r="X89" s="188"/>
      <c r="Y89" s="189"/>
      <c r="Z89" s="189"/>
      <c r="AA89" s="188"/>
      <c r="AB89" s="188"/>
      <c r="AC89" s="188"/>
      <c r="AD89" s="189"/>
      <c r="AE89" s="189"/>
      <c r="AF89" s="54"/>
      <c r="AG89" s="54"/>
      <c r="AH89" s="54"/>
    </row>
    <row r="90" spans="1:34" ht="14.65" customHeight="1" x14ac:dyDescent="0.25">
      <c r="A90" s="126"/>
      <c r="B90" s="127"/>
      <c r="C90" s="132"/>
      <c r="D90" s="123" t="s">
        <v>526</v>
      </c>
      <c r="E90" s="128">
        <v>3.1</v>
      </c>
      <c r="F90" s="128">
        <v>3</v>
      </c>
      <c r="G90" s="162" t="s">
        <v>0</v>
      </c>
      <c r="H90" s="581"/>
      <c r="I90" s="134"/>
      <c r="J90" s="83"/>
      <c r="K90" s="83"/>
      <c r="L90" s="83"/>
      <c r="M90" s="83"/>
      <c r="N90" s="83"/>
      <c r="O90" s="83"/>
      <c r="P90" s="106"/>
      <c r="Q90" s="483"/>
      <c r="R90" s="188"/>
      <c r="S90" s="120"/>
      <c r="T90" s="120"/>
      <c r="U90" s="189"/>
      <c r="V90" s="188"/>
      <c r="W90" s="188"/>
      <c r="X90" s="188"/>
      <c r="Y90" s="189"/>
      <c r="Z90" s="189"/>
      <c r="AA90" s="188"/>
      <c r="AB90" s="188"/>
      <c r="AC90" s="188"/>
      <c r="AD90" s="189"/>
      <c r="AE90" s="189"/>
      <c r="AF90" s="54"/>
      <c r="AG90" s="54"/>
      <c r="AH90" s="54"/>
    </row>
    <row r="91" spans="1:34" ht="14.65" customHeight="1" x14ac:dyDescent="0.25">
      <c r="A91" s="126"/>
      <c r="B91" s="127"/>
      <c r="C91" s="132"/>
      <c r="D91" s="123" t="s">
        <v>523</v>
      </c>
      <c r="E91" s="128">
        <v>0.7</v>
      </c>
      <c r="F91" s="128">
        <v>0.7</v>
      </c>
      <c r="G91" s="162" t="s">
        <v>0</v>
      </c>
      <c r="H91" s="581"/>
      <c r="I91" s="134"/>
      <c r="J91" s="83"/>
      <c r="K91" s="83"/>
      <c r="L91" s="83"/>
      <c r="M91" s="83"/>
      <c r="N91" s="83"/>
      <c r="O91" s="83"/>
      <c r="P91" s="106"/>
      <c r="Q91" s="483"/>
      <c r="R91" s="188"/>
      <c r="S91" s="120"/>
      <c r="T91" s="120"/>
      <c r="U91" s="189"/>
      <c r="V91" s="188"/>
      <c r="W91" s="188"/>
      <c r="X91" s="188"/>
      <c r="Y91" s="189"/>
      <c r="Z91" s="189"/>
      <c r="AA91" s="188"/>
      <c r="AB91" s="188"/>
      <c r="AC91" s="188"/>
      <c r="AD91" s="189"/>
      <c r="AE91" s="189"/>
      <c r="AF91" s="54"/>
      <c r="AG91" s="54"/>
      <c r="AH91" s="54"/>
    </row>
    <row r="92" spans="1:34" ht="14.25" customHeight="1" x14ac:dyDescent="0.25">
      <c r="A92" s="126"/>
      <c r="B92" s="127"/>
      <c r="C92" s="127"/>
      <c r="D92" s="123" t="s">
        <v>525</v>
      </c>
      <c r="E92" s="2"/>
      <c r="F92" s="128">
        <v>59</v>
      </c>
      <c r="G92" s="162" t="s">
        <v>65</v>
      </c>
      <c r="H92" s="588"/>
      <c r="I92" s="134"/>
      <c r="J92" s="83"/>
      <c r="K92" s="83"/>
      <c r="L92" s="83"/>
      <c r="M92" s="83"/>
      <c r="N92" s="83"/>
      <c r="O92" s="83"/>
      <c r="P92" s="106"/>
      <c r="Q92" s="483"/>
      <c r="R92" s="188"/>
      <c r="S92" s="120"/>
      <c r="T92" s="120"/>
      <c r="U92" s="189"/>
      <c r="V92" s="188"/>
      <c r="W92" s="188"/>
      <c r="X92" s="188"/>
      <c r="Y92" s="189"/>
      <c r="Z92" s="189"/>
      <c r="AA92" s="188"/>
      <c r="AB92" s="188"/>
      <c r="AC92" s="188"/>
      <c r="AD92" s="189"/>
      <c r="AE92" s="189"/>
      <c r="AF92" s="54"/>
      <c r="AG92" s="54"/>
      <c r="AH92" s="54"/>
    </row>
    <row r="93" spans="1:34" ht="14.65" customHeight="1" thickBot="1" x14ac:dyDescent="0.3">
      <c r="A93" s="192"/>
      <c r="B93" s="174"/>
      <c r="C93" s="193"/>
      <c r="D93" s="175" t="s">
        <v>270</v>
      </c>
      <c r="E93" s="246">
        <v>42</v>
      </c>
      <c r="F93" s="246">
        <v>40.700000000000003</v>
      </c>
      <c r="G93" s="176" t="s">
        <v>202</v>
      </c>
      <c r="H93" s="632"/>
      <c r="I93" s="134"/>
      <c r="J93" s="83"/>
      <c r="K93" s="83"/>
      <c r="L93" s="83"/>
      <c r="M93" s="83"/>
      <c r="N93" s="83"/>
      <c r="O93" s="83"/>
      <c r="P93" s="106"/>
      <c r="Q93" s="483"/>
      <c r="R93" s="188"/>
      <c r="S93" s="120"/>
      <c r="T93" s="120"/>
      <c r="U93" s="189"/>
      <c r="V93" s="188"/>
      <c r="W93" s="188"/>
      <c r="X93" s="188"/>
      <c r="Y93" s="189"/>
      <c r="Z93" s="189"/>
      <c r="AA93" s="188"/>
      <c r="AB93" s="188"/>
      <c r="AC93" s="188"/>
      <c r="AD93" s="189"/>
      <c r="AE93" s="189"/>
      <c r="AF93" s="54"/>
      <c r="AG93" s="54"/>
      <c r="AH93" s="54"/>
    </row>
    <row r="94" spans="1:34" ht="14.65" customHeight="1" thickBot="1" x14ac:dyDescent="0.25">
      <c r="A94" s="126"/>
      <c r="B94" s="127"/>
      <c r="C94" s="132"/>
      <c r="D94" s="123"/>
      <c r="E94" s="134"/>
      <c r="F94" s="194"/>
      <c r="G94" s="127"/>
      <c r="H94" s="127"/>
      <c r="I94" s="83"/>
      <c r="J94" s="83"/>
      <c r="K94" s="83"/>
      <c r="L94" s="83"/>
      <c r="M94" s="83"/>
      <c r="N94" s="83"/>
      <c r="O94" s="83"/>
      <c r="P94" s="106"/>
      <c r="Q94" s="483"/>
      <c r="R94" s="188"/>
      <c r="S94" s="120"/>
      <c r="T94" s="120"/>
      <c r="U94" s="189"/>
      <c r="V94" s="188"/>
      <c r="W94" s="188"/>
      <c r="X94" s="188"/>
      <c r="Y94" s="189"/>
      <c r="Z94" s="189"/>
      <c r="AA94" s="188"/>
      <c r="AB94" s="188"/>
      <c r="AC94" s="188"/>
      <c r="AD94" s="189"/>
      <c r="AE94" s="189"/>
      <c r="AF94" s="54"/>
      <c r="AG94" s="54"/>
      <c r="AH94" s="54"/>
    </row>
    <row r="95" spans="1:34" ht="14.65" customHeight="1" x14ac:dyDescent="0.2">
      <c r="A95" s="571" t="s">
        <v>494</v>
      </c>
      <c r="B95" s="458"/>
      <c r="C95" s="459"/>
      <c r="D95" s="471"/>
      <c r="E95" s="564"/>
      <c r="F95" s="565"/>
      <c r="G95" s="460"/>
      <c r="H95" s="127"/>
      <c r="I95" s="83"/>
      <c r="J95" s="83"/>
      <c r="K95" s="83"/>
      <c r="L95" s="83"/>
      <c r="M95" s="83"/>
      <c r="N95" s="83"/>
      <c r="O95" s="83"/>
      <c r="P95" s="106"/>
      <c r="Q95" s="483"/>
      <c r="R95" s="188"/>
      <c r="S95" s="120"/>
      <c r="T95" s="120"/>
      <c r="U95" s="189"/>
      <c r="V95" s="188"/>
      <c r="W95" s="188"/>
      <c r="X95" s="188"/>
      <c r="Y95" s="189"/>
      <c r="Z95" s="189"/>
      <c r="AA95" s="188"/>
      <c r="AB95" s="188"/>
      <c r="AC95" s="188"/>
      <c r="AD95" s="189"/>
      <c r="AE95" s="189"/>
      <c r="AF95" s="54"/>
      <c r="AG95" s="54"/>
      <c r="AH95" s="54"/>
    </row>
    <row r="96" spans="1:34" ht="14.65" customHeight="1" x14ac:dyDescent="0.25">
      <c r="A96" s="126"/>
      <c r="B96" s="127"/>
      <c r="C96" s="127"/>
      <c r="D96" s="123" t="s">
        <v>527</v>
      </c>
      <c r="E96" s="112"/>
      <c r="F96" s="247">
        <v>0</v>
      </c>
      <c r="G96" s="162" t="s">
        <v>0</v>
      </c>
      <c r="H96" s="127"/>
      <c r="I96" s="83"/>
      <c r="J96" s="83"/>
      <c r="K96" s="83"/>
      <c r="L96" s="83"/>
      <c r="M96" s="83"/>
      <c r="N96" s="83"/>
      <c r="O96" s="83"/>
      <c r="P96" s="106"/>
      <c r="Q96" s="483"/>
      <c r="R96" s="188"/>
      <c r="S96" s="120"/>
      <c r="T96" s="120"/>
      <c r="U96" s="189"/>
      <c r="V96" s="188"/>
      <c r="W96" s="188"/>
      <c r="X96" s="188"/>
      <c r="Y96" s="189"/>
      <c r="Z96" s="189"/>
      <c r="AA96" s="188"/>
      <c r="AB96" s="188"/>
      <c r="AC96" s="188"/>
      <c r="AD96" s="189"/>
      <c r="AE96" s="189"/>
      <c r="AF96" s="54"/>
      <c r="AG96" s="54"/>
      <c r="AH96" s="54"/>
    </row>
    <row r="97" spans="1:34" ht="14.65" customHeight="1" thickBot="1" x14ac:dyDescent="0.3">
      <c r="A97" s="192"/>
      <c r="B97" s="174"/>
      <c r="C97" s="174"/>
      <c r="D97" s="175" t="s">
        <v>524</v>
      </c>
      <c r="E97" s="543"/>
      <c r="F97" s="248">
        <v>0</v>
      </c>
      <c r="G97" s="176" t="s">
        <v>65</v>
      </c>
      <c r="H97" s="127"/>
      <c r="I97" s="83"/>
      <c r="J97" s="83"/>
      <c r="K97" s="83"/>
      <c r="L97" s="83"/>
      <c r="M97" s="83"/>
      <c r="N97" s="83"/>
      <c r="O97" s="83"/>
      <c r="P97" s="106"/>
      <c r="Q97" s="483"/>
      <c r="R97" s="188"/>
      <c r="S97" s="120"/>
      <c r="T97" s="120"/>
      <c r="U97" s="189"/>
      <c r="V97" s="188"/>
      <c r="W97" s="188"/>
      <c r="X97" s="188"/>
      <c r="Y97" s="189"/>
      <c r="Z97" s="189"/>
      <c r="AA97" s="188"/>
      <c r="AB97" s="188"/>
      <c r="AC97" s="188"/>
      <c r="AD97" s="189"/>
      <c r="AE97" s="189"/>
      <c r="AF97" s="54"/>
      <c r="AG97" s="54"/>
      <c r="AH97" s="54"/>
    </row>
    <row r="98" spans="1:34" ht="14.65" customHeight="1" x14ac:dyDescent="0.2">
      <c r="A98" s="184"/>
      <c r="B98" s="134"/>
      <c r="C98" s="134"/>
      <c r="D98" s="580"/>
      <c r="E98" s="112"/>
      <c r="F98" s="112"/>
      <c r="G98" s="112"/>
      <c r="H98" s="127"/>
      <c r="I98" s="83"/>
      <c r="J98" s="83"/>
      <c r="K98" s="83"/>
      <c r="L98" s="83"/>
      <c r="M98" s="83"/>
      <c r="N98" s="83"/>
      <c r="O98" s="83"/>
      <c r="P98" s="106"/>
      <c r="Q98" s="483"/>
      <c r="R98" s="188"/>
      <c r="S98" s="120"/>
      <c r="T98" s="120"/>
      <c r="U98" s="189"/>
      <c r="V98" s="188"/>
      <c r="W98" s="188"/>
      <c r="X98" s="188"/>
      <c r="Y98" s="189"/>
      <c r="Z98" s="189"/>
      <c r="AA98" s="188"/>
      <c r="AB98" s="188"/>
      <c r="AC98" s="188"/>
      <c r="AD98" s="189"/>
      <c r="AE98" s="189"/>
      <c r="AF98" s="54"/>
      <c r="AG98" s="54"/>
      <c r="AH98" s="54"/>
    </row>
    <row r="99" spans="1:34" ht="19.5" customHeight="1" x14ac:dyDescent="0.2">
      <c r="A99" s="184"/>
      <c r="B99" s="134"/>
      <c r="C99" s="581"/>
      <c r="D99" s="580"/>
      <c r="E99" s="112"/>
      <c r="F99" s="112"/>
      <c r="G99" s="112"/>
      <c r="H99" s="127"/>
      <c r="I99" s="83"/>
      <c r="J99" s="83"/>
      <c r="K99" s="83"/>
      <c r="L99" s="83"/>
      <c r="M99" s="83"/>
      <c r="N99" s="83"/>
      <c r="O99" s="83"/>
      <c r="P99" s="106"/>
      <c r="Q99" s="483"/>
      <c r="R99" s="188"/>
      <c r="S99" s="120"/>
      <c r="T99" s="120"/>
      <c r="U99" s="189"/>
      <c r="V99" s="188"/>
      <c r="W99" s="188"/>
      <c r="X99" s="188"/>
      <c r="Y99" s="189"/>
      <c r="Z99" s="189"/>
      <c r="AA99" s="188"/>
      <c r="AB99" s="188"/>
      <c r="AC99" s="188"/>
      <c r="AD99" s="189"/>
      <c r="AE99" s="189"/>
      <c r="AF99" s="54"/>
      <c r="AG99" s="54"/>
      <c r="AH99" s="54"/>
    </row>
    <row r="100" spans="1:34" ht="15" customHeight="1" x14ac:dyDescent="0.2">
      <c r="A100" s="184"/>
      <c r="B100" s="134"/>
      <c r="C100" s="581"/>
      <c r="D100" s="580"/>
      <c r="E100" s="112"/>
      <c r="F100" s="112"/>
      <c r="G100" s="112"/>
      <c r="H100" s="127"/>
      <c r="I100" s="83"/>
      <c r="J100" s="83"/>
      <c r="K100" s="83"/>
      <c r="L100" s="83"/>
      <c r="M100" s="83"/>
      <c r="N100" s="83"/>
      <c r="O100" s="83"/>
      <c r="P100" s="106"/>
      <c r="Q100" s="483"/>
      <c r="R100" s="54"/>
      <c r="S100" s="6"/>
      <c r="T100" s="6"/>
      <c r="V100" s="54"/>
      <c r="W100" s="54"/>
      <c r="X100" s="54"/>
      <c r="AA100" s="54"/>
      <c r="AB100" s="54"/>
      <c r="AC100" s="54"/>
      <c r="AF100" s="54"/>
      <c r="AG100" s="54"/>
      <c r="AH100" s="54"/>
    </row>
    <row r="101" spans="1:34" ht="19.5" customHeight="1" thickBot="1" x14ac:dyDescent="0.3">
      <c r="A101" s="150" t="s">
        <v>701</v>
      </c>
      <c r="B101" s="134"/>
      <c r="C101" s="581"/>
      <c r="D101" s="580"/>
      <c r="E101" s="112"/>
      <c r="F101" s="112"/>
      <c r="G101" s="112"/>
      <c r="H101" s="127"/>
      <c r="I101" s="83"/>
      <c r="J101" s="83"/>
      <c r="K101" s="83"/>
      <c r="L101" s="83"/>
      <c r="M101" s="83"/>
      <c r="N101" s="83"/>
      <c r="O101" s="83"/>
      <c r="P101" s="106"/>
      <c r="Q101" s="483"/>
      <c r="R101" s="54"/>
      <c r="S101" s="54"/>
      <c r="V101" s="54"/>
      <c r="W101" s="54"/>
      <c r="X101" s="54"/>
      <c r="AA101" s="54"/>
      <c r="AB101" s="54"/>
      <c r="AC101" s="54"/>
      <c r="AF101" s="54"/>
      <c r="AG101" s="54"/>
      <c r="AH101" s="54"/>
    </row>
    <row r="102" spans="1:34" ht="15.75" customHeight="1" x14ac:dyDescent="0.2">
      <c r="A102" s="183"/>
      <c r="B102" s="153"/>
      <c r="C102" s="154"/>
      <c r="D102" s="154" t="s">
        <v>712</v>
      </c>
      <c r="E102" s="541">
        <f>'Variable Management'!B362</f>
        <v>5.6099999999999997E-2</v>
      </c>
      <c r="F102" s="161" t="s">
        <v>116</v>
      </c>
      <c r="G102" s="112"/>
      <c r="H102" s="127"/>
      <c r="I102" s="83"/>
      <c r="J102" s="83"/>
      <c r="K102" s="83"/>
      <c r="L102" s="83"/>
      <c r="M102" s="83"/>
      <c r="N102" s="83"/>
      <c r="O102" s="83"/>
      <c r="P102" s="106"/>
      <c r="Q102" s="483"/>
      <c r="R102" s="54"/>
      <c r="S102" s="54"/>
      <c r="V102" s="54"/>
      <c r="W102" s="54"/>
      <c r="X102" s="54"/>
      <c r="AA102" s="54"/>
      <c r="AB102" s="54"/>
      <c r="AC102" s="54"/>
      <c r="AF102" s="54"/>
      <c r="AG102" s="54"/>
      <c r="AH102" s="54"/>
    </row>
    <row r="103" spans="1:34" ht="15.75" customHeight="1" x14ac:dyDescent="0.2">
      <c r="A103" s="583"/>
      <c r="B103" s="127"/>
      <c r="C103" s="127"/>
      <c r="D103" s="255" t="s">
        <v>702</v>
      </c>
      <c r="E103" s="256">
        <f>'Variable Management'!B364</f>
        <v>26.91301</v>
      </c>
      <c r="F103" s="257" t="s">
        <v>223</v>
      </c>
      <c r="G103" s="112"/>
      <c r="H103" s="127"/>
      <c r="I103" s="83"/>
      <c r="J103" s="83"/>
      <c r="K103" s="83"/>
      <c r="L103" s="83"/>
      <c r="M103" s="83"/>
      <c r="N103" s="83"/>
      <c r="O103" s="83"/>
      <c r="P103" s="106"/>
      <c r="Q103" s="483"/>
      <c r="R103" s="54"/>
      <c r="S103" s="54"/>
      <c r="V103" s="54"/>
      <c r="W103" s="54"/>
      <c r="X103" s="54"/>
      <c r="AA103" s="54"/>
      <c r="AB103" s="54"/>
      <c r="AC103" s="54"/>
      <c r="AF103" s="54"/>
      <c r="AG103" s="54"/>
      <c r="AH103" s="54"/>
    </row>
    <row r="104" spans="1:34" ht="14.25" customHeight="1" thickBot="1" x14ac:dyDescent="0.25">
      <c r="A104" s="643"/>
      <c r="B104" s="644"/>
      <c r="C104" s="644"/>
      <c r="D104" s="645"/>
      <c r="E104" s="645" t="str">
        <f>CHOOSE(Ext_VCC, "", "* Tie VCCX to PGND")</f>
        <v/>
      </c>
      <c r="F104" s="646"/>
      <c r="G104" s="112"/>
      <c r="H104" s="127"/>
      <c r="I104" s="83"/>
      <c r="J104" s="83"/>
      <c r="K104" s="83"/>
      <c r="L104" s="83"/>
      <c r="M104" s="83"/>
      <c r="N104" s="83"/>
      <c r="O104" s="83"/>
      <c r="P104" s="106"/>
      <c r="Q104" s="483"/>
      <c r="R104" s="54"/>
      <c r="S104" s="54"/>
      <c r="V104" s="54"/>
      <c r="W104" s="54"/>
      <c r="X104" s="54"/>
      <c r="AA104" s="54"/>
      <c r="AB104" s="54"/>
      <c r="AC104" s="54"/>
      <c r="AF104" s="54"/>
      <c r="AG104" s="54"/>
      <c r="AH104" s="54"/>
    </row>
    <row r="105" spans="1:34" ht="14.65" customHeight="1" x14ac:dyDescent="0.2">
      <c r="A105" s="583"/>
      <c r="B105" s="127"/>
      <c r="C105" s="127"/>
      <c r="D105" s="123"/>
      <c r="E105" s="2"/>
      <c r="F105" s="127"/>
      <c r="G105" s="127"/>
      <c r="H105" s="127"/>
      <c r="I105" s="87"/>
      <c r="J105" s="83"/>
      <c r="K105" s="83"/>
      <c r="L105" s="83"/>
      <c r="M105" s="83"/>
      <c r="N105" s="83"/>
      <c r="O105" s="83"/>
      <c r="P105" s="106"/>
      <c r="Q105" s="483"/>
      <c r="R105" s="54"/>
      <c r="S105" s="54"/>
      <c r="V105" s="54"/>
      <c r="W105" s="54"/>
      <c r="X105" s="54"/>
      <c r="AA105" s="54"/>
      <c r="AB105" s="54"/>
      <c r="AC105" s="54"/>
      <c r="AF105" s="54"/>
      <c r="AG105" s="54"/>
      <c r="AH105" s="54"/>
    </row>
    <row r="106" spans="1:34" ht="13.5" thickBot="1" x14ac:dyDescent="0.25">
      <c r="A106" s="158"/>
      <c r="B106" s="159"/>
      <c r="C106" s="159"/>
      <c r="D106" s="159"/>
      <c r="E106" s="202"/>
      <c r="F106" s="159"/>
      <c r="G106" s="159"/>
      <c r="H106" s="159"/>
      <c r="I106" s="203"/>
      <c r="J106" s="203"/>
      <c r="K106" s="203"/>
      <c r="L106" s="203"/>
      <c r="M106" s="203"/>
      <c r="N106" s="203"/>
      <c r="O106" s="203"/>
      <c r="P106" s="204"/>
      <c r="Q106" s="483"/>
      <c r="R106" s="54"/>
      <c r="S106" s="54"/>
      <c r="V106" s="54"/>
      <c r="W106" s="54"/>
      <c r="X106" s="54"/>
      <c r="AA106" s="54"/>
      <c r="AB106" s="54"/>
      <c r="AC106" s="54"/>
      <c r="AF106" s="54"/>
      <c r="AG106" s="54"/>
      <c r="AH106" s="54"/>
    </row>
    <row r="107" spans="1:34" x14ac:dyDescent="0.2">
      <c r="A107" s="480"/>
      <c r="B107" s="481"/>
      <c r="C107" s="482"/>
      <c r="D107" s="482"/>
      <c r="E107" s="482"/>
      <c r="F107" s="482"/>
      <c r="G107" s="482"/>
      <c r="H107" s="482"/>
      <c r="I107" s="482"/>
      <c r="J107" s="482"/>
      <c r="K107" s="482"/>
      <c r="L107" s="482"/>
      <c r="M107" s="482"/>
      <c r="N107" s="482"/>
      <c r="O107" s="482"/>
      <c r="P107" s="482"/>
      <c r="Q107" s="483"/>
      <c r="R107" s="54"/>
      <c r="S107" s="54"/>
      <c r="V107" s="54"/>
      <c r="W107" s="54"/>
      <c r="X107" s="54"/>
      <c r="AA107" s="54"/>
      <c r="AB107" s="54"/>
      <c r="AC107" s="54"/>
      <c r="AF107" s="54"/>
      <c r="AG107" s="54"/>
      <c r="AH107" s="54"/>
    </row>
    <row r="108" spans="1:34" x14ac:dyDescent="0.2">
      <c r="A108" s="79"/>
      <c r="Q108" s="54"/>
      <c r="R108" s="54"/>
      <c r="S108" s="54"/>
      <c r="V108" s="54"/>
      <c r="W108" s="54"/>
      <c r="X108" s="54"/>
      <c r="AA108" s="54"/>
      <c r="AB108" s="54"/>
      <c r="AC108" s="54"/>
      <c r="AF108" s="54"/>
      <c r="AG108" s="54"/>
      <c r="AH108" s="54"/>
    </row>
    <row r="109" spans="1:34" x14ac:dyDescent="0.2">
      <c r="Q109" s="54"/>
      <c r="R109" s="54"/>
      <c r="S109" s="54"/>
      <c r="V109" s="54"/>
      <c r="W109" s="54"/>
      <c r="X109" s="54"/>
      <c r="AA109" s="54"/>
      <c r="AB109" s="54"/>
      <c r="AC109" s="54"/>
      <c r="AF109" s="54"/>
      <c r="AG109" s="54"/>
      <c r="AH109" s="54"/>
    </row>
    <row r="110" spans="1:34" x14ac:dyDescent="0.2">
      <c r="Q110" s="54"/>
      <c r="R110" s="54"/>
      <c r="S110" s="54"/>
      <c r="V110" s="54"/>
      <c r="W110" s="54"/>
      <c r="X110" s="54"/>
      <c r="AA110" s="54"/>
      <c r="AB110" s="54"/>
      <c r="AC110" s="54"/>
      <c r="AF110" s="54"/>
      <c r="AG110" s="54"/>
      <c r="AH110" s="54"/>
    </row>
    <row r="111" spans="1:34" x14ac:dyDescent="0.2">
      <c r="Q111" s="54"/>
      <c r="R111" s="54"/>
      <c r="S111" s="54"/>
      <c r="V111" s="54"/>
      <c r="W111" s="54"/>
      <c r="X111" s="54"/>
      <c r="AA111" s="54"/>
      <c r="AB111" s="54"/>
      <c r="AC111" s="54"/>
      <c r="AF111" s="54"/>
      <c r="AG111" s="54"/>
      <c r="AH111" s="54"/>
    </row>
    <row r="112" spans="1:34" x14ac:dyDescent="0.2">
      <c r="Q112" s="54"/>
      <c r="R112" s="54"/>
      <c r="S112" s="54"/>
      <c r="V112" s="54"/>
      <c r="W112" s="54"/>
      <c r="X112" s="54"/>
      <c r="AA112" s="54"/>
      <c r="AB112" s="54"/>
      <c r="AC112" s="54"/>
      <c r="AF112" s="54"/>
      <c r="AG112" s="54"/>
      <c r="AH112" s="54"/>
    </row>
    <row r="113" spans="17:34" x14ac:dyDescent="0.2">
      <c r="Q113" s="54"/>
      <c r="R113" s="54"/>
      <c r="S113" s="54"/>
      <c r="V113" s="54"/>
      <c r="W113" s="54"/>
      <c r="X113" s="54"/>
      <c r="AA113" s="54"/>
      <c r="AB113" s="54"/>
      <c r="AC113" s="54"/>
      <c r="AF113" s="54"/>
      <c r="AG113" s="54"/>
      <c r="AH113" s="54"/>
    </row>
    <row r="114" spans="17:34" x14ac:dyDescent="0.2">
      <c r="Q114" s="54"/>
      <c r="R114" s="54"/>
      <c r="S114" s="54"/>
      <c r="V114" s="54"/>
      <c r="W114" s="54"/>
      <c r="X114" s="54"/>
      <c r="AA114" s="54"/>
      <c r="AB114" s="54"/>
      <c r="AC114" s="54"/>
      <c r="AF114" s="54"/>
      <c r="AG114" s="54"/>
      <c r="AH114" s="54"/>
    </row>
    <row r="115" spans="17:34" x14ac:dyDescent="0.2">
      <c r="Q115" s="54"/>
      <c r="R115" s="54"/>
      <c r="S115" s="54"/>
      <c r="V115" s="54"/>
      <c r="W115" s="54"/>
      <c r="X115" s="54"/>
      <c r="AA115" s="54"/>
      <c r="AB115" s="54"/>
      <c r="AC115" s="54"/>
      <c r="AF115" s="54"/>
      <c r="AG115" s="54"/>
      <c r="AH115" s="54"/>
    </row>
    <row r="116" spans="17:34" x14ac:dyDescent="0.2">
      <c r="Q116" s="54"/>
      <c r="R116" s="54"/>
      <c r="S116" s="54"/>
      <c r="V116" s="54"/>
      <c r="W116" s="54"/>
      <c r="X116" s="54"/>
      <c r="AA116" s="54"/>
      <c r="AB116" s="54"/>
      <c r="AC116" s="54"/>
      <c r="AF116" s="54"/>
      <c r="AG116" s="54"/>
      <c r="AH116" s="54"/>
    </row>
    <row r="117" spans="17:34" x14ac:dyDescent="0.2">
      <c r="Q117" s="54"/>
      <c r="R117" s="54"/>
      <c r="S117" s="54"/>
      <c r="V117" s="54"/>
      <c r="W117" s="54"/>
      <c r="X117" s="54"/>
      <c r="AA117" s="54"/>
      <c r="AB117" s="54"/>
      <c r="AC117" s="54"/>
      <c r="AF117" s="54"/>
      <c r="AG117" s="54"/>
      <c r="AH117" s="54"/>
    </row>
    <row r="118" spans="17:34" x14ac:dyDescent="0.2">
      <c r="Q118" s="54"/>
      <c r="R118" s="54"/>
      <c r="S118" s="54"/>
      <c r="V118" s="54"/>
      <c r="W118" s="54"/>
      <c r="X118" s="54"/>
      <c r="AA118" s="54"/>
      <c r="AB118" s="54"/>
      <c r="AC118" s="54"/>
      <c r="AF118" s="54"/>
      <c r="AG118" s="54"/>
      <c r="AH118" s="54"/>
    </row>
    <row r="119" spans="17:34" x14ac:dyDescent="0.2">
      <c r="Q119" s="54"/>
      <c r="R119" s="54"/>
      <c r="S119" s="54"/>
      <c r="V119" s="54"/>
      <c r="W119" s="54"/>
      <c r="X119" s="54"/>
      <c r="AA119" s="54"/>
      <c r="AB119" s="54"/>
      <c r="AC119" s="54"/>
      <c r="AF119" s="54"/>
      <c r="AG119" s="54"/>
      <c r="AH119" s="54"/>
    </row>
    <row r="120" spans="17:34" x14ac:dyDescent="0.2">
      <c r="Q120" s="54"/>
      <c r="R120" s="54"/>
      <c r="S120" s="54"/>
      <c r="V120" s="54"/>
      <c r="W120" s="54"/>
      <c r="X120" s="54"/>
      <c r="AA120" s="54"/>
      <c r="AB120" s="54"/>
      <c r="AC120" s="54"/>
      <c r="AF120" s="54"/>
      <c r="AG120" s="54"/>
      <c r="AH120" s="54"/>
    </row>
    <row r="121" spans="17:34" x14ac:dyDescent="0.2">
      <c r="Q121" s="54"/>
      <c r="R121" s="54"/>
      <c r="S121" s="54"/>
      <c r="V121" s="54"/>
      <c r="W121" s="54"/>
      <c r="X121" s="54"/>
      <c r="AA121" s="54"/>
      <c r="AB121" s="54"/>
      <c r="AC121" s="54"/>
      <c r="AF121" s="54"/>
      <c r="AG121" s="54"/>
      <c r="AH121" s="54"/>
    </row>
    <row r="122" spans="17:34" x14ac:dyDescent="0.2">
      <c r="Q122" s="54"/>
      <c r="R122" s="54"/>
      <c r="S122" s="54"/>
      <c r="V122" s="54"/>
      <c r="W122" s="54"/>
      <c r="X122" s="54"/>
      <c r="AA122" s="54"/>
      <c r="AB122" s="54"/>
      <c r="AC122" s="54"/>
      <c r="AF122" s="54"/>
      <c r="AG122" s="54"/>
      <c r="AH122" s="54"/>
    </row>
    <row r="123" spans="17:34" x14ac:dyDescent="0.2">
      <c r="Q123" s="54"/>
      <c r="R123" s="54"/>
      <c r="S123" s="54"/>
      <c r="V123" s="54"/>
      <c r="W123" s="54"/>
      <c r="X123" s="54"/>
      <c r="AA123" s="54"/>
      <c r="AB123" s="54"/>
      <c r="AC123" s="54"/>
      <c r="AF123" s="54"/>
      <c r="AG123" s="54"/>
      <c r="AH123" s="54"/>
    </row>
    <row r="124" spans="17:34" x14ac:dyDescent="0.2">
      <c r="Q124" s="54"/>
      <c r="R124" s="54"/>
      <c r="S124" s="54"/>
      <c r="V124" s="54"/>
      <c r="W124" s="54"/>
      <c r="X124" s="54"/>
      <c r="AA124" s="54"/>
      <c r="AB124" s="54"/>
      <c r="AC124" s="54"/>
      <c r="AF124" s="54"/>
      <c r="AG124" s="54"/>
      <c r="AH124" s="54"/>
    </row>
    <row r="125" spans="17:34" x14ac:dyDescent="0.2">
      <c r="Q125" s="54"/>
      <c r="R125" s="54"/>
      <c r="S125" s="54"/>
      <c r="V125" s="54"/>
      <c r="W125" s="54"/>
      <c r="X125" s="54"/>
      <c r="AA125" s="54"/>
      <c r="AB125" s="54"/>
      <c r="AC125" s="54"/>
      <c r="AF125" s="54"/>
      <c r="AG125" s="54"/>
      <c r="AH125" s="54"/>
    </row>
    <row r="126" spans="17:34" x14ac:dyDescent="0.2">
      <c r="Q126" s="54"/>
      <c r="R126" s="54"/>
      <c r="S126" s="54"/>
      <c r="V126" s="54"/>
      <c r="W126" s="54"/>
      <c r="X126" s="54"/>
      <c r="AA126" s="54"/>
      <c r="AB126" s="54"/>
      <c r="AC126" s="54"/>
      <c r="AF126" s="54"/>
      <c r="AG126" s="54"/>
      <c r="AH126" s="54"/>
    </row>
    <row r="127" spans="17:34" x14ac:dyDescent="0.2">
      <c r="Q127" s="54"/>
      <c r="R127" s="54"/>
      <c r="S127" s="54"/>
      <c r="V127" s="54"/>
      <c r="W127" s="54"/>
      <c r="X127" s="54"/>
      <c r="AA127" s="54"/>
      <c r="AB127" s="54"/>
      <c r="AC127" s="54"/>
      <c r="AF127" s="54"/>
      <c r="AG127" s="54"/>
      <c r="AH127" s="54"/>
    </row>
    <row r="128" spans="17:34" x14ac:dyDescent="0.2">
      <c r="Q128" s="54"/>
      <c r="R128" s="54"/>
      <c r="S128" s="54"/>
      <c r="V128" s="54"/>
      <c r="W128" s="54"/>
      <c r="X128" s="54"/>
      <c r="AA128" s="54"/>
      <c r="AB128" s="54"/>
      <c r="AC128" s="54"/>
      <c r="AF128" s="54"/>
      <c r="AG128" s="54"/>
      <c r="AH128" s="54"/>
    </row>
    <row r="129" spans="17:34" x14ac:dyDescent="0.2">
      <c r="Q129" s="54"/>
      <c r="R129" s="54"/>
      <c r="S129" s="54"/>
      <c r="V129" s="54"/>
      <c r="W129" s="54"/>
      <c r="X129" s="54"/>
      <c r="AA129" s="54"/>
      <c r="AB129" s="54"/>
      <c r="AC129" s="54"/>
      <c r="AF129" s="54"/>
      <c r="AG129" s="54"/>
      <c r="AH129" s="54"/>
    </row>
    <row r="130" spans="17:34" x14ac:dyDescent="0.2">
      <c r="Q130" s="54"/>
      <c r="R130" s="54"/>
      <c r="S130" s="54"/>
      <c r="V130" s="54"/>
      <c r="W130" s="54"/>
      <c r="X130" s="54"/>
      <c r="AA130" s="54"/>
      <c r="AB130" s="54"/>
      <c r="AC130" s="54"/>
      <c r="AF130" s="54"/>
      <c r="AG130" s="54"/>
      <c r="AH130" s="54"/>
    </row>
    <row r="131" spans="17:34" x14ac:dyDescent="0.2">
      <c r="Q131" s="54"/>
      <c r="R131" s="54"/>
      <c r="S131" s="54"/>
      <c r="V131" s="54"/>
      <c r="W131" s="54"/>
      <c r="X131" s="54"/>
      <c r="AA131" s="54"/>
      <c r="AB131" s="54"/>
      <c r="AC131" s="54"/>
      <c r="AF131" s="54"/>
      <c r="AG131" s="54"/>
      <c r="AH131" s="54"/>
    </row>
    <row r="132" spans="17:34" x14ac:dyDescent="0.2">
      <c r="Q132" s="54"/>
      <c r="R132" s="54"/>
      <c r="S132" s="54"/>
      <c r="V132" s="54"/>
      <c r="W132" s="54"/>
      <c r="X132" s="54"/>
      <c r="AA132" s="54"/>
      <c r="AB132" s="54"/>
      <c r="AC132" s="54"/>
      <c r="AF132" s="54"/>
      <c r="AG132" s="54"/>
      <c r="AH132" s="54"/>
    </row>
    <row r="133" spans="17:34" x14ac:dyDescent="0.2">
      <c r="Q133" s="54"/>
      <c r="R133" s="54"/>
      <c r="S133" s="54"/>
      <c r="V133" s="54"/>
      <c r="W133" s="54"/>
      <c r="X133" s="54"/>
      <c r="AA133" s="54"/>
      <c r="AB133" s="54"/>
      <c r="AC133" s="54"/>
      <c r="AF133" s="54"/>
      <c r="AG133" s="54"/>
      <c r="AH133" s="54"/>
    </row>
    <row r="134" spans="17:34" x14ac:dyDescent="0.2">
      <c r="Q134" s="54"/>
      <c r="R134" s="54"/>
      <c r="S134" s="54"/>
      <c r="V134" s="54"/>
      <c r="W134" s="54"/>
      <c r="X134" s="54"/>
      <c r="AA134" s="54"/>
      <c r="AB134" s="54"/>
      <c r="AC134" s="54"/>
      <c r="AF134" s="54"/>
      <c r="AG134" s="54"/>
      <c r="AH134" s="54"/>
    </row>
    <row r="135" spans="17:34" x14ac:dyDescent="0.2">
      <c r="Q135" s="54"/>
      <c r="R135" s="54"/>
      <c r="S135" s="54"/>
      <c r="V135" s="54"/>
      <c r="W135" s="54"/>
      <c r="X135" s="54"/>
      <c r="AA135" s="54"/>
      <c r="AB135" s="54"/>
      <c r="AC135" s="54"/>
      <c r="AF135" s="54"/>
      <c r="AG135" s="54"/>
      <c r="AH135" s="54"/>
    </row>
    <row r="136" spans="17:34" x14ac:dyDescent="0.2">
      <c r="Q136" s="54"/>
      <c r="R136" s="54"/>
      <c r="S136" s="54"/>
      <c r="V136" s="54"/>
      <c r="W136" s="54"/>
      <c r="X136" s="54"/>
      <c r="AA136" s="54"/>
      <c r="AB136" s="54"/>
      <c r="AC136" s="54"/>
      <c r="AF136" s="54"/>
      <c r="AG136" s="54"/>
      <c r="AH136" s="54"/>
    </row>
    <row r="137" spans="17:34" x14ac:dyDescent="0.2">
      <c r="Q137" s="54"/>
      <c r="R137" s="54"/>
      <c r="S137" s="54"/>
      <c r="V137" s="54"/>
      <c r="W137" s="54"/>
      <c r="X137" s="54"/>
      <c r="AA137" s="54"/>
      <c r="AB137" s="54"/>
      <c r="AC137" s="54"/>
      <c r="AF137" s="54"/>
      <c r="AG137" s="54"/>
      <c r="AH137" s="54"/>
    </row>
    <row r="138" spans="17:34" x14ac:dyDescent="0.2">
      <c r="Q138" s="54"/>
      <c r="R138" s="54"/>
      <c r="S138" s="54"/>
      <c r="V138" s="54"/>
      <c r="W138" s="54"/>
      <c r="X138" s="54"/>
      <c r="AA138" s="54"/>
      <c r="AB138" s="54"/>
      <c r="AC138" s="54"/>
      <c r="AF138" s="54"/>
      <c r="AG138" s="54"/>
      <c r="AH138" s="54"/>
    </row>
    <row r="139" spans="17:34" x14ac:dyDescent="0.2">
      <c r="Q139" s="54"/>
      <c r="R139" s="54"/>
      <c r="S139" s="54"/>
      <c r="V139" s="54"/>
      <c r="W139" s="54"/>
      <c r="X139" s="54"/>
      <c r="AA139" s="54"/>
      <c r="AB139" s="54"/>
      <c r="AC139" s="54"/>
      <c r="AF139" s="54"/>
      <c r="AG139" s="54"/>
      <c r="AH139" s="54"/>
    </row>
    <row r="140" spans="17:34" x14ac:dyDescent="0.2">
      <c r="Q140" s="54"/>
      <c r="R140" s="54"/>
      <c r="S140" s="54"/>
      <c r="V140" s="54"/>
      <c r="W140" s="54"/>
      <c r="X140" s="54"/>
      <c r="AA140" s="54"/>
      <c r="AB140" s="54"/>
      <c r="AC140" s="54"/>
      <c r="AF140" s="54"/>
      <c r="AG140" s="54"/>
      <c r="AH140" s="54"/>
    </row>
    <row r="141" spans="17:34" x14ac:dyDescent="0.2">
      <c r="Q141" s="54"/>
      <c r="R141" s="54"/>
      <c r="S141" s="54"/>
      <c r="V141" s="54"/>
      <c r="W141" s="54"/>
      <c r="X141" s="54"/>
      <c r="AA141" s="54"/>
      <c r="AB141" s="54"/>
      <c r="AC141" s="54"/>
      <c r="AF141" s="54"/>
      <c r="AG141" s="54"/>
      <c r="AH141" s="54"/>
    </row>
    <row r="142" spans="17:34" x14ac:dyDescent="0.2">
      <c r="Q142" s="54"/>
      <c r="R142" s="54"/>
      <c r="S142" s="54"/>
      <c r="V142" s="54"/>
      <c r="W142" s="54"/>
      <c r="X142" s="54"/>
      <c r="AA142" s="54"/>
      <c r="AB142" s="54"/>
      <c r="AC142" s="54"/>
      <c r="AF142" s="54"/>
      <c r="AG142" s="54"/>
      <c r="AH142" s="54"/>
    </row>
    <row r="143" spans="17:34" x14ac:dyDescent="0.2">
      <c r="Q143" s="54"/>
      <c r="R143" s="54"/>
      <c r="S143" s="54"/>
      <c r="V143" s="54"/>
      <c r="W143" s="54"/>
      <c r="X143" s="54"/>
      <c r="AA143" s="54"/>
      <c r="AB143" s="54"/>
      <c r="AC143" s="54"/>
      <c r="AF143" s="54"/>
      <c r="AG143" s="54"/>
      <c r="AH143" s="54"/>
    </row>
    <row r="144" spans="17:34" x14ac:dyDescent="0.2">
      <c r="Q144" s="54"/>
      <c r="R144" s="54"/>
      <c r="S144" s="54"/>
      <c r="V144" s="54"/>
      <c r="W144" s="54"/>
      <c r="X144" s="54"/>
      <c r="AA144" s="54"/>
      <c r="AB144" s="54"/>
      <c r="AC144" s="54"/>
      <c r="AF144" s="54"/>
      <c r="AG144" s="54"/>
      <c r="AH144" s="54"/>
    </row>
    <row r="145" spans="17:34" x14ac:dyDescent="0.2">
      <c r="Q145" s="54"/>
      <c r="R145" s="54"/>
      <c r="S145" s="54"/>
      <c r="V145" s="54"/>
      <c r="W145" s="54"/>
      <c r="X145" s="54"/>
      <c r="AA145" s="54"/>
      <c r="AB145" s="54"/>
      <c r="AC145" s="54"/>
      <c r="AF145" s="54"/>
      <c r="AG145" s="54"/>
      <c r="AH145" s="54"/>
    </row>
    <row r="146" spans="17:34" x14ac:dyDescent="0.2">
      <c r="Q146" s="54"/>
      <c r="R146" s="54"/>
      <c r="S146" s="54"/>
      <c r="V146" s="54"/>
      <c r="W146" s="54"/>
      <c r="X146" s="54"/>
      <c r="AA146" s="54"/>
      <c r="AB146" s="54"/>
      <c r="AC146" s="54"/>
      <c r="AF146" s="54"/>
      <c r="AG146" s="54"/>
      <c r="AH146" s="54"/>
    </row>
    <row r="147" spans="17:34" x14ac:dyDescent="0.2">
      <c r="Q147" s="54"/>
      <c r="R147" s="54"/>
      <c r="S147" s="54"/>
      <c r="V147" s="54"/>
      <c r="W147" s="54"/>
      <c r="X147" s="54"/>
      <c r="AA147" s="54"/>
      <c r="AB147" s="54"/>
      <c r="AC147" s="54"/>
      <c r="AF147" s="54"/>
      <c r="AG147" s="54"/>
      <c r="AH147" s="54"/>
    </row>
    <row r="148" spans="17:34" x14ac:dyDescent="0.2">
      <c r="Q148" s="54"/>
      <c r="R148" s="54"/>
      <c r="S148" s="54"/>
      <c r="V148" s="54"/>
      <c r="W148" s="54"/>
      <c r="X148" s="54"/>
      <c r="AA148" s="54"/>
      <c r="AB148" s="54"/>
      <c r="AC148" s="54"/>
      <c r="AF148" s="54"/>
      <c r="AG148" s="54"/>
      <c r="AH148" s="54"/>
    </row>
    <row r="149" spans="17:34" x14ac:dyDescent="0.2">
      <c r="Q149" s="54"/>
      <c r="R149" s="54"/>
      <c r="S149" s="54"/>
      <c r="V149" s="54"/>
      <c r="W149" s="54"/>
      <c r="X149" s="54"/>
      <c r="AA149" s="54"/>
      <c r="AB149" s="54"/>
      <c r="AC149" s="54"/>
      <c r="AF149" s="54"/>
      <c r="AG149" s="54"/>
      <c r="AH149" s="54"/>
    </row>
    <row r="150" spans="17:34" x14ac:dyDescent="0.2">
      <c r="Q150" s="54"/>
      <c r="R150" s="54"/>
      <c r="S150" s="54"/>
      <c r="V150" s="54"/>
      <c r="W150" s="54"/>
      <c r="X150" s="54"/>
      <c r="AA150" s="54"/>
      <c r="AB150" s="54"/>
      <c r="AC150" s="54"/>
      <c r="AF150" s="54"/>
      <c r="AG150" s="54"/>
      <c r="AH150" s="54"/>
    </row>
    <row r="151" spans="17:34" x14ac:dyDescent="0.2">
      <c r="Q151" s="54"/>
      <c r="R151" s="54"/>
      <c r="S151" s="54"/>
      <c r="V151" s="54"/>
      <c r="W151" s="54"/>
      <c r="X151" s="54"/>
      <c r="AA151" s="54"/>
      <c r="AB151" s="54"/>
      <c r="AC151" s="54"/>
      <c r="AF151" s="54"/>
      <c r="AG151" s="54"/>
      <c r="AH151" s="54"/>
    </row>
    <row r="152" spans="17:34" x14ac:dyDescent="0.2">
      <c r="Q152" s="54"/>
      <c r="R152" s="54"/>
      <c r="S152" s="54"/>
      <c r="V152" s="54"/>
      <c r="W152" s="54"/>
      <c r="X152" s="54"/>
      <c r="AA152" s="54"/>
      <c r="AB152" s="54"/>
      <c r="AC152" s="54"/>
      <c r="AF152" s="54"/>
      <c r="AG152" s="54"/>
      <c r="AH152" s="54"/>
    </row>
    <row r="153" spans="17:34" x14ac:dyDescent="0.2">
      <c r="Q153" s="54"/>
      <c r="R153" s="54"/>
      <c r="S153" s="54"/>
      <c r="V153" s="54"/>
      <c r="W153" s="54"/>
      <c r="X153" s="54"/>
      <c r="AA153" s="54"/>
      <c r="AB153" s="54"/>
      <c r="AC153" s="54"/>
      <c r="AF153" s="54"/>
      <c r="AG153" s="54"/>
      <c r="AH153" s="54"/>
    </row>
    <row r="154" spans="17:34" x14ac:dyDescent="0.2">
      <c r="Q154" s="54"/>
      <c r="R154" s="54"/>
      <c r="S154" s="54"/>
      <c r="V154" s="54"/>
      <c r="W154" s="54"/>
      <c r="X154" s="54"/>
      <c r="AA154" s="54"/>
      <c r="AB154" s="54"/>
      <c r="AC154" s="54"/>
      <c r="AF154" s="54"/>
      <c r="AG154" s="54"/>
      <c r="AH154" s="54"/>
    </row>
    <row r="155" spans="17:34" x14ac:dyDescent="0.2">
      <c r="Q155" s="54"/>
      <c r="R155" s="54"/>
      <c r="S155" s="54"/>
      <c r="V155" s="54"/>
      <c r="W155" s="54"/>
      <c r="X155" s="54"/>
      <c r="AA155" s="54"/>
      <c r="AB155" s="54"/>
      <c r="AC155" s="54"/>
      <c r="AF155" s="54"/>
      <c r="AG155" s="54"/>
      <c r="AH155" s="54"/>
    </row>
    <row r="156" spans="17:34" x14ac:dyDescent="0.2">
      <c r="Q156" s="54"/>
      <c r="R156" s="54"/>
      <c r="S156" s="54"/>
      <c r="V156" s="54"/>
      <c r="W156" s="54"/>
      <c r="X156" s="54"/>
      <c r="AA156" s="54"/>
      <c r="AB156" s="54"/>
      <c r="AC156" s="54"/>
      <c r="AF156" s="54"/>
      <c r="AG156" s="54"/>
      <c r="AH156" s="54"/>
    </row>
    <row r="157" spans="17:34" x14ac:dyDescent="0.2">
      <c r="Q157" s="54"/>
      <c r="R157" s="54"/>
      <c r="S157" s="54"/>
      <c r="V157" s="54"/>
      <c r="W157" s="54"/>
      <c r="X157" s="54"/>
      <c r="AA157" s="54"/>
      <c r="AB157" s="54"/>
      <c r="AC157" s="54"/>
      <c r="AF157" s="54"/>
      <c r="AG157" s="54"/>
      <c r="AH157" s="54"/>
    </row>
    <row r="158" spans="17:34" x14ac:dyDescent="0.2">
      <c r="Q158" s="54"/>
      <c r="R158" s="54"/>
      <c r="S158" s="54"/>
      <c r="V158" s="54"/>
      <c r="W158" s="54"/>
      <c r="X158" s="54"/>
      <c r="AA158" s="54"/>
      <c r="AB158" s="54"/>
      <c r="AC158" s="54"/>
      <c r="AF158" s="54"/>
      <c r="AG158" s="54"/>
      <c r="AH158" s="54"/>
    </row>
    <row r="159" spans="17:34" x14ac:dyDescent="0.2">
      <c r="Q159" s="54"/>
      <c r="R159" s="54"/>
      <c r="S159" s="54"/>
      <c r="V159" s="54"/>
      <c r="W159" s="54"/>
      <c r="X159" s="54"/>
      <c r="AA159" s="54"/>
      <c r="AB159" s="54"/>
      <c r="AC159" s="54"/>
      <c r="AF159" s="54"/>
      <c r="AG159" s="54"/>
      <c r="AH159" s="54"/>
    </row>
    <row r="160" spans="17:34" x14ac:dyDescent="0.2">
      <c r="Q160" s="54"/>
      <c r="R160" s="54"/>
      <c r="S160" s="54"/>
      <c r="V160" s="54"/>
      <c r="W160" s="54"/>
      <c r="X160" s="54"/>
      <c r="AA160" s="54"/>
      <c r="AB160" s="54"/>
      <c r="AC160" s="54"/>
      <c r="AF160" s="54"/>
      <c r="AG160" s="54"/>
      <c r="AH160" s="54"/>
    </row>
    <row r="161" spans="17:34" x14ac:dyDescent="0.2">
      <c r="Q161" s="54"/>
      <c r="R161" s="54"/>
      <c r="S161" s="54"/>
      <c r="V161" s="54"/>
      <c r="W161" s="54"/>
      <c r="X161" s="54"/>
      <c r="AA161" s="54"/>
      <c r="AB161" s="54"/>
      <c r="AC161" s="54"/>
      <c r="AF161" s="54"/>
      <c r="AG161" s="54"/>
      <c r="AH161" s="54"/>
    </row>
    <row r="162" spans="17:34" x14ac:dyDescent="0.2">
      <c r="Q162" s="54"/>
      <c r="R162" s="54"/>
      <c r="S162" s="54"/>
      <c r="V162" s="54"/>
      <c r="W162" s="54"/>
      <c r="X162" s="54"/>
      <c r="AA162" s="54"/>
      <c r="AB162" s="54"/>
      <c r="AC162" s="54"/>
      <c r="AF162" s="54"/>
      <c r="AG162" s="54"/>
      <c r="AH162" s="54"/>
    </row>
    <row r="163" spans="17:34" x14ac:dyDescent="0.2">
      <c r="Q163" s="54"/>
      <c r="R163" s="54"/>
      <c r="S163" s="54"/>
      <c r="V163" s="54"/>
      <c r="W163" s="54"/>
      <c r="X163" s="54"/>
      <c r="AA163" s="54"/>
      <c r="AB163" s="54"/>
      <c r="AC163" s="54"/>
      <c r="AF163" s="54"/>
      <c r="AG163" s="54"/>
      <c r="AH163" s="54"/>
    </row>
    <row r="164" spans="17:34" x14ac:dyDescent="0.2">
      <c r="Q164" s="54"/>
      <c r="R164" s="54"/>
      <c r="S164" s="54"/>
      <c r="V164" s="54"/>
      <c r="W164" s="54"/>
      <c r="X164" s="54"/>
      <c r="AA164" s="54"/>
      <c r="AB164" s="54"/>
      <c r="AC164" s="54"/>
      <c r="AF164" s="54"/>
      <c r="AG164" s="54"/>
      <c r="AH164" s="54"/>
    </row>
    <row r="165" spans="17:34" x14ac:dyDescent="0.2">
      <c r="Q165" s="54"/>
      <c r="R165" s="54"/>
      <c r="S165" s="54"/>
      <c r="V165" s="54"/>
      <c r="W165" s="54"/>
      <c r="X165" s="54"/>
      <c r="AA165" s="54"/>
      <c r="AB165" s="54"/>
      <c r="AC165" s="54"/>
      <c r="AF165" s="54"/>
      <c r="AG165" s="54"/>
      <c r="AH165" s="54"/>
    </row>
    <row r="166" spans="17:34" x14ac:dyDescent="0.2">
      <c r="Q166" s="54"/>
      <c r="R166" s="54"/>
      <c r="S166" s="54"/>
      <c r="V166" s="54"/>
      <c r="W166" s="54"/>
      <c r="X166" s="54"/>
      <c r="AA166" s="54"/>
      <c r="AB166" s="54"/>
      <c r="AC166" s="54"/>
      <c r="AF166" s="54"/>
      <c r="AG166" s="54"/>
      <c r="AH166" s="54"/>
    </row>
    <row r="167" spans="17:34" x14ac:dyDescent="0.2">
      <c r="Q167" s="54"/>
      <c r="R167" s="54"/>
      <c r="S167" s="54"/>
      <c r="V167" s="54"/>
      <c r="W167" s="54"/>
      <c r="X167" s="54"/>
      <c r="AA167" s="54"/>
      <c r="AB167" s="54"/>
      <c r="AC167" s="54"/>
      <c r="AF167" s="54"/>
      <c r="AG167" s="54"/>
      <c r="AH167" s="54"/>
    </row>
    <row r="168" spans="17:34" x14ac:dyDescent="0.2">
      <c r="Q168" s="54"/>
      <c r="R168" s="54"/>
      <c r="S168" s="54"/>
      <c r="V168" s="54"/>
      <c r="W168" s="54"/>
      <c r="X168" s="54"/>
      <c r="AA168" s="54"/>
      <c r="AB168" s="54"/>
      <c r="AC168" s="54"/>
      <c r="AF168" s="54"/>
      <c r="AG168" s="54"/>
      <c r="AH168" s="54"/>
    </row>
    <row r="169" spans="17:34" x14ac:dyDescent="0.2">
      <c r="Q169" s="54"/>
      <c r="R169" s="54"/>
      <c r="S169" s="54"/>
      <c r="V169" s="54"/>
      <c r="W169" s="54"/>
      <c r="X169" s="54"/>
      <c r="AA169" s="54"/>
      <c r="AB169" s="54"/>
      <c r="AC169" s="54"/>
      <c r="AF169" s="54"/>
      <c r="AG169" s="54"/>
      <c r="AH169" s="54"/>
    </row>
    <row r="170" spans="17:34" x14ac:dyDescent="0.2">
      <c r="Q170" s="54"/>
      <c r="R170" s="54"/>
      <c r="S170" s="54"/>
      <c r="V170" s="54"/>
      <c r="W170" s="54"/>
      <c r="X170" s="54"/>
      <c r="AA170" s="54"/>
      <c r="AB170" s="54"/>
      <c r="AC170" s="54"/>
      <c r="AF170" s="54"/>
      <c r="AG170" s="54"/>
      <c r="AH170" s="54"/>
    </row>
    <row r="171" spans="17:34" x14ac:dyDescent="0.2">
      <c r="Q171" s="54"/>
      <c r="R171" s="54"/>
      <c r="S171" s="54"/>
      <c r="V171" s="54"/>
      <c r="W171" s="54"/>
      <c r="X171" s="54"/>
      <c r="AA171" s="54"/>
      <c r="AB171" s="54"/>
      <c r="AC171" s="54"/>
      <c r="AF171" s="54"/>
      <c r="AG171" s="54"/>
      <c r="AH171" s="54"/>
    </row>
    <row r="172" spans="17:34" x14ac:dyDescent="0.2">
      <c r="Q172" s="54"/>
      <c r="R172" s="54"/>
      <c r="S172" s="54"/>
      <c r="V172" s="54"/>
      <c r="W172" s="54"/>
      <c r="X172" s="54"/>
      <c r="AA172" s="54"/>
      <c r="AB172" s="54"/>
      <c r="AC172" s="54"/>
      <c r="AF172" s="54"/>
      <c r="AG172" s="54"/>
      <c r="AH172" s="54"/>
    </row>
    <row r="173" spans="17:34" x14ac:dyDescent="0.2">
      <c r="Q173" s="54"/>
      <c r="R173" s="54"/>
      <c r="S173" s="54"/>
      <c r="V173" s="54"/>
      <c r="W173" s="54"/>
      <c r="X173" s="54"/>
      <c r="AA173" s="54"/>
      <c r="AB173" s="54"/>
      <c r="AC173" s="54"/>
      <c r="AF173" s="54"/>
      <c r="AG173" s="54"/>
      <c r="AH173" s="54"/>
    </row>
    <row r="174" spans="17:34" x14ac:dyDescent="0.2">
      <c r="Q174" s="54"/>
      <c r="R174" s="54"/>
      <c r="S174" s="54"/>
      <c r="V174" s="54"/>
      <c r="W174" s="54"/>
      <c r="X174" s="54"/>
      <c r="AA174" s="54"/>
      <c r="AB174" s="54"/>
      <c r="AC174" s="54"/>
      <c r="AF174" s="54"/>
      <c r="AG174" s="54"/>
      <c r="AH174" s="54"/>
    </row>
    <row r="175" spans="17:34" x14ac:dyDescent="0.2">
      <c r="Q175" s="54"/>
      <c r="R175" s="54"/>
      <c r="S175" s="54"/>
      <c r="V175" s="54"/>
      <c r="W175" s="54"/>
      <c r="X175" s="54"/>
      <c r="AA175" s="54"/>
      <c r="AB175" s="54"/>
      <c r="AC175" s="54"/>
      <c r="AF175" s="54"/>
      <c r="AG175" s="54"/>
      <c r="AH175" s="54"/>
    </row>
    <row r="176" spans="17:34" x14ac:dyDescent="0.2">
      <c r="Q176" s="54"/>
      <c r="R176" s="54"/>
      <c r="S176" s="54"/>
      <c r="V176" s="54"/>
      <c r="W176" s="54"/>
      <c r="X176" s="54"/>
      <c r="AA176" s="54"/>
      <c r="AB176" s="54"/>
      <c r="AC176" s="54"/>
      <c r="AF176" s="54"/>
      <c r="AG176" s="54"/>
      <c r="AH176" s="54"/>
    </row>
    <row r="177" spans="17:34" x14ac:dyDescent="0.2">
      <c r="Q177" s="54"/>
      <c r="R177" s="54"/>
      <c r="S177" s="54"/>
      <c r="V177" s="54"/>
      <c r="W177" s="54"/>
      <c r="X177" s="54"/>
      <c r="AA177" s="54"/>
      <c r="AB177" s="54"/>
      <c r="AC177" s="54"/>
      <c r="AF177" s="54"/>
      <c r="AG177" s="54"/>
      <c r="AH177" s="54"/>
    </row>
    <row r="178" spans="17:34" x14ac:dyDescent="0.2">
      <c r="Q178" s="54"/>
      <c r="R178" s="54"/>
      <c r="S178" s="54"/>
      <c r="V178" s="54"/>
      <c r="W178" s="54"/>
      <c r="X178" s="54"/>
      <c r="AA178" s="54"/>
      <c r="AB178" s="54"/>
      <c r="AC178" s="54"/>
      <c r="AF178" s="54"/>
      <c r="AG178" s="54"/>
      <c r="AH178" s="54"/>
    </row>
    <row r="179" spans="17:34" x14ac:dyDescent="0.2">
      <c r="Q179" s="54"/>
      <c r="R179" s="54"/>
      <c r="S179" s="54"/>
      <c r="V179" s="54"/>
      <c r="W179" s="54"/>
      <c r="X179" s="54"/>
      <c r="AA179" s="54"/>
      <c r="AB179" s="54"/>
      <c r="AC179" s="54"/>
      <c r="AF179" s="54"/>
      <c r="AG179" s="54"/>
      <c r="AH179" s="54"/>
    </row>
    <row r="180" spans="17:34" x14ac:dyDescent="0.2">
      <c r="Q180" s="54"/>
      <c r="R180" s="54"/>
      <c r="S180" s="54"/>
      <c r="V180" s="54"/>
      <c r="W180" s="54"/>
      <c r="X180" s="54"/>
      <c r="AA180" s="54"/>
      <c r="AB180" s="54"/>
      <c r="AC180" s="54"/>
      <c r="AF180" s="54"/>
      <c r="AG180" s="54"/>
      <c r="AH180" s="54"/>
    </row>
    <row r="181" spans="17:34" x14ac:dyDescent="0.2">
      <c r="Q181" s="54"/>
      <c r="R181" s="54"/>
      <c r="S181" s="54"/>
      <c r="V181" s="54"/>
      <c r="W181" s="54"/>
      <c r="X181" s="54"/>
      <c r="AA181" s="54"/>
      <c r="AB181" s="54"/>
      <c r="AC181" s="54"/>
      <c r="AF181" s="54"/>
      <c r="AG181" s="54"/>
      <c r="AH181" s="54"/>
    </row>
    <row r="182" spans="17:34" x14ac:dyDescent="0.2">
      <c r="Q182" s="54"/>
      <c r="R182" s="54"/>
      <c r="S182" s="54"/>
      <c r="V182" s="54"/>
      <c r="W182" s="54"/>
      <c r="X182" s="54"/>
      <c r="AA182" s="54"/>
      <c r="AB182" s="54"/>
      <c r="AC182" s="54"/>
      <c r="AF182" s="54"/>
      <c r="AG182" s="54"/>
      <c r="AH182" s="54"/>
    </row>
    <row r="183" spans="17:34" x14ac:dyDescent="0.2">
      <c r="Q183" s="54"/>
      <c r="R183" s="54"/>
      <c r="S183" s="54"/>
      <c r="V183" s="54"/>
      <c r="W183" s="54"/>
      <c r="X183" s="54"/>
      <c r="AA183" s="54"/>
      <c r="AB183" s="54"/>
      <c r="AC183" s="54"/>
      <c r="AF183" s="54"/>
      <c r="AG183" s="54"/>
      <c r="AH183" s="54"/>
    </row>
    <row r="184" spans="17:34" x14ac:dyDescent="0.2">
      <c r="Q184" s="54"/>
      <c r="R184" s="54"/>
      <c r="S184" s="54"/>
      <c r="V184" s="54"/>
      <c r="W184" s="54"/>
      <c r="X184" s="54"/>
      <c r="AA184" s="54"/>
      <c r="AB184" s="54"/>
      <c r="AC184" s="54"/>
      <c r="AF184" s="54"/>
      <c r="AG184" s="54"/>
      <c r="AH184" s="54"/>
    </row>
    <row r="185" spans="17:34" x14ac:dyDescent="0.2">
      <c r="Q185" s="54"/>
      <c r="R185" s="54"/>
      <c r="S185" s="54"/>
      <c r="V185" s="54"/>
      <c r="W185" s="54"/>
      <c r="X185" s="54"/>
      <c r="AA185" s="54"/>
      <c r="AB185" s="54"/>
      <c r="AC185" s="54"/>
      <c r="AF185" s="54"/>
      <c r="AG185" s="54"/>
      <c r="AH185" s="54"/>
    </row>
    <row r="186" spans="17:34" x14ac:dyDescent="0.2">
      <c r="Q186" s="54"/>
      <c r="R186" s="54"/>
      <c r="S186" s="54"/>
      <c r="V186" s="54"/>
      <c r="W186" s="54"/>
      <c r="X186" s="54"/>
      <c r="AA186" s="54"/>
      <c r="AB186" s="54"/>
      <c r="AC186" s="54"/>
      <c r="AF186" s="54"/>
      <c r="AG186" s="54"/>
      <c r="AH186" s="54"/>
    </row>
    <row r="187" spans="17:34" x14ac:dyDescent="0.2">
      <c r="Q187" s="54"/>
      <c r="R187" s="54"/>
      <c r="S187" s="54"/>
      <c r="V187" s="54"/>
      <c r="W187" s="54"/>
      <c r="X187" s="54"/>
      <c r="AA187" s="54"/>
      <c r="AB187" s="54"/>
      <c r="AC187" s="54"/>
      <c r="AF187" s="54"/>
      <c r="AG187" s="54"/>
      <c r="AH187" s="54"/>
    </row>
    <row r="188" spans="17:34" x14ac:dyDescent="0.2">
      <c r="Q188" s="54"/>
      <c r="R188" s="54"/>
      <c r="S188" s="54"/>
      <c r="V188" s="54"/>
      <c r="W188" s="54"/>
      <c r="X188" s="54"/>
      <c r="AA188" s="54"/>
      <c r="AB188" s="54"/>
      <c r="AC188" s="54"/>
      <c r="AF188" s="54"/>
      <c r="AG188" s="54"/>
      <c r="AH188" s="54"/>
    </row>
    <row r="189" spans="17:34" x14ac:dyDescent="0.2">
      <c r="Q189" s="54"/>
      <c r="R189" s="54"/>
      <c r="S189" s="54"/>
      <c r="V189" s="54"/>
      <c r="W189" s="54"/>
      <c r="X189" s="54"/>
      <c r="AA189" s="54"/>
      <c r="AB189" s="54"/>
      <c r="AC189" s="54"/>
      <c r="AF189" s="54"/>
      <c r="AG189" s="54"/>
      <c r="AH189" s="54"/>
    </row>
    <row r="190" spans="17:34" x14ac:dyDescent="0.2">
      <c r="Q190" s="54"/>
      <c r="R190" s="54"/>
      <c r="S190" s="54"/>
      <c r="V190" s="54"/>
      <c r="W190" s="54"/>
      <c r="X190" s="54"/>
      <c r="AA190" s="54"/>
      <c r="AB190" s="54"/>
      <c r="AC190" s="54"/>
      <c r="AF190" s="54"/>
      <c r="AG190" s="54"/>
      <c r="AH190" s="54"/>
    </row>
    <row r="191" spans="17:34" x14ac:dyDescent="0.2">
      <c r="Q191" s="54"/>
      <c r="R191" s="54"/>
      <c r="S191" s="54"/>
      <c r="V191" s="54"/>
      <c r="W191" s="54"/>
      <c r="X191" s="54"/>
      <c r="AA191" s="54"/>
      <c r="AB191" s="54"/>
      <c r="AC191" s="54"/>
      <c r="AF191" s="54"/>
      <c r="AG191" s="54"/>
      <c r="AH191" s="54"/>
    </row>
    <row r="192" spans="17:34" x14ac:dyDescent="0.2">
      <c r="Q192" s="54"/>
      <c r="R192" s="54"/>
      <c r="S192" s="54"/>
      <c r="V192" s="54"/>
      <c r="W192" s="54"/>
      <c r="X192" s="54"/>
      <c r="AA192" s="54"/>
      <c r="AB192" s="54"/>
      <c r="AC192" s="54"/>
      <c r="AF192" s="54"/>
      <c r="AG192" s="54"/>
      <c r="AH192" s="54"/>
    </row>
    <row r="193" spans="17:34" x14ac:dyDescent="0.2">
      <c r="Q193" s="54"/>
      <c r="R193" s="54"/>
      <c r="S193" s="54"/>
      <c r="V193" s="54"/>
      <c r="W193" s="54"/>
      <c r="X193" s="54"/>
      <c r="AA193" s="54"/>
      <c r="AB193" s="54"/>
      <c r="AC193" s="54"/>
      <c r="AF193" s="54"/>
      <c r="AG193" s="54"/>
      <c r="AH193" s="54"/>
    </row>
    <row r="194" spans="17:34" x14ac:dyDescent="0.2">
      <c r="Q194" s="54"/>
      <c r="R194" s="54"/>
      <c r="S194" s="54"/>
      <c r="V194" s="54"/>
      <c r="W194" s="54"/>
      <c r="X194" s="54"/>
      <c r="AA194" s="54"/>
      <c r="AB194" s="54"/>
      <c r="AC194" s="54"/>
      <c r="AF194" s="54"/>
      <c r="AG194" s="54"/>
      <c r="AH194" s="54"/>
    </row>
    <row r="195" spans="17:34" x14ac:dyDescent="0.2">
      <c r="Q195" s="54"/>
      <c r="R195" s="54"/>
      <c r="S195" s="54"/>
      <c r="V195" s="54"/>
      <c r="W195" s="54"/>
      <c r="X195" s="54"/>
      <c r="AA195" s="54"/>
      <c r="AB195" s="54"/>
      <c r="AC195" s="54"/>
      <c r="AF195" s="54"/>
      <c r="AG195" s="54"/>
      <c r="AH195" s="54"/>
    </row>
    <row r="196" spans="17:34" x14ac:dyDescent="0.2">
      <c r="Q196" s="54"/>
      <c r="R196" s="54"/>
      <c r="S196" s="54"/>
      <c r="V196" s="54"/>
      <c r="W196" s="54"/>
      <c r="X196" s="54"/>
      <c r="AA196" s="54"/>
      <c r="AB196" s="54"/>
      <c r="AC196" s="54"/>
      <c r="AF196" s="54"/>
      <c r="AG196" s="54"/>
      <c r="AH196" s="54"/>
    </row>
    <row r="197" spans="17:34" x14ac:dyDescent="0.2">
      <c r="Q197" s="54"/>
      <c r="R197" s="54"/>
      <c r="S197" s="54"/>
      <c r="V197" s="54"/>
      <c r="W197" s="54"/>
      <c r="X197" s="54"/>
      <c r="AA197" s="54"/>
      <c r="AB197" s="54"/>
      <c r="AC197" s="54"/>
      <c r="AF197" s="54"/>
      <c r="AG197" s="54"/>
      <c r="AH197" s="54"/>
    </row>
    <row r="198" spans="17:34" x14ac:dyDescent="0.2">
      <c r="Q198" s="54"/>
      <c r="R198" s="54"/>
      <c r="S198" s="54"/>
      <c r="V198" s="54"/>
      <c r="W198" s="54"/>
      <c r="X198" s="54"/>
      <c r="AA198" s="54"/>
      <c r="AB198" s="54"/>
      <c r="AC198" s="54"/>
      <c r="AF198" s="54"/>
      <c r="AG198" s="54"/>
      <c r="AH198" s="54"/>
    </row>
    <row r="199" spans="17:34" x14ac:dyDescent="0.2">
      <c r="Q199" s="54"/>
      <c r="R199" s="54"/>
      <c r="S199" s="54"/>
      <c r="V199" s="54"/>
      <c r="W199" s="54"/>
      <c r="X199" s="54"/>
      <c r="AA199" s="54"/>
      <c r="AB199" s="54"/>
      <c r="AC199" s="54"/>
      <c r="AF199" s="54"/>
      <c r="AG199" s="54"/>
      <c r="AH199" s="54"/>
    </row>
    <row r="200" spans="17:34" x14ac:dyDescent="0.2">
      <c r="Q200" s="54"/>
      <c r="R200" s="54"/>
      <c r="S200" s="54"/>
      <c r="V200" s="54"/>
      <c r="W200" s="54"/>
      <c r="X200" s="54"/>
      <c r="AA200" s="54"/>
      <c r="AB200" s="54"/>
      <c r="AC200" s="54"/>
      <c r="AF200" s="54"/>
      <c r="AG200" s="54"/>
      <c r="AH200" s="54"/>
    </row>
    <row r="201" spans="17:34" x14ac:dyDescent="0.2">
      <c r="Q201" s="54"/>
      <c r="R201" s="54"/>
      <c r="S201" s="54"/>
      <c r="V201" s="54"/>
      <c r="W201" s="54"/>
      <c r="X201" s="54"/>
      <c r="AA201" s="54"/>
      <c r="AB201" s="54"/>
      <c r="AC201" s="54"/>
      <c r="AF201" s="54"/>
      <c r="AG201" s="54"/>
      <c r="AH201" s="54"/>
    </row>
    <row r="202" spans="17:34" x14ac:dyDescent="0.2">
      <c r="Q202" s="54"/>
      <c r="R202" s="54"/>
      <c r="S202" s="54"/>
      <c r="V202" s="54"/>
      <c r="W202" s="54"/>
      <c r="X202" s="54"/>
      <c r="AA202" s="54"/>
      <c r="AB202" s="54"/>
      <c r="AC202" s="54"/>
      <c r="AF202" s="54"/>
      <c r="AG202" s="54"/>
      <c r="AH202" s="54"/>
    </row>
    <row r="203" spans="17:34" x14ac:dyDescent="0.2">
      <c r="Q203" s="54"/>
      <c r="R203" s="54"/>
      <c r="S203" s="54"/>
      <c r="V203" s="54"/>
      <c r="W203" s="54"/>
      <c r="X203" s="54"/>
      <c r="AA203" s="54"/>
      <c r="AB203" s="54"/>
      <c r="AC203" s="54"/>
      <c r="AF203" s="54"/>
      <c r="AG203" s="54"/>
      <c r="AH203" s="54"/>
    </row>
    <row r="204" spans="17:34" x14ac:dyDescent="0.2">
      <c r="Q204" s="54"/>
      <c r="R204" s="54"/>
      <c r="S204" s="54"/>
      <c r="V204" s="54"/>
      <c r="W204" s="54"/>
      <c r="X204" s="54"/>
      <c r="AA204" s="54"/>
      <c r="AB204" s="54"/>
      <c r="AC204" s="54"/>
      <c r="AF204" s="54"/>
      <c r="AG204" s="54"/>
      <c r="AH204" s="54"/>
    </row>
    <row r="205" spans="17:34" x14ac:dyDescent="0.2">
      <c r="Q205" s="54"/>
      <c r="R205" s="54"/>
      <c r="S205" s="54"/>
      <c r="V205" s="54"/>
      <c r="W205" s="54"/>
      <c r="X205" s="54"/>
      <c r="AA205" s="54"/>
      <c r="AB205" s="54"/>
      <c r="AC205" s="54"/>
      <c r="AF205" s="54"/>
      <c r="AG205" s="54"/>
      <c r="AH205" s="54"/>
    </row>
    <row r="206" spans="17:34" x14ac:dyDescent="0.2">
      <c r="Q206" s="54"/>
      <c r="R206" s="54"/>
      <c r="S206" s="54"/>
      <c r="V206" s="54"/>
      <c r="W206" s="54"/>
      <c r="X206" s="54"/>
      <c r="AA206" s="54"/>
      <c r="AB206" s="54"/>
      <c r="AC206" s="54"/>
      <c r="AF206" s="54"/>
      <c r="AG206" s="54"/>
      <c r="AH206" s="54"/>
    </row>
    <row r="207" spans="17:34" x14ac:dyDescent="0.2">
      <c r="Q207" s="54"/>
      <c r="R207" s="54"/>
      <c r="S207" s="54"/>
      <c r="V207" s="54"/>
      <c r="W207" s="54"/>
      <c r="X207" s="54"/>
      <c r="AA207" s="54"/>
      <c r="AB207" s="54"/>
      <c r="AC207" s="54"/>
      <c r="AF207" s="54"/>
      <c r="AG207" s="54"/>
      <c r="AH207" s="54"/>
    </row>
    <row r="208" spans="17:34" x14ac:dyDescent="0.2">
      <c r="Q208" s="54"/>
      <c r="R208" s="54"/>
      <c r="S208" s="54"/>
      <c r="V208" s="54"/>
      <c r="W208" s="54"/>
      <c r="X208" s="54"/>
      <c r="AA208" s="54"/>
      <c r="AB208" s="54"/>
      <c r="AC208" s="54"/>
      <c r="AF208" s="54"/>
      <c r="AG208" s="54"/>
      <c r="AH208" s="54"/>
    </row>
    <row r="209" spans="17:34" x14ac:dyDescent="0.2">
      <c r="Q209" s="54"/>
      <c r="R209" s="54"/>
      <c r="S209" s="54"/>
      <c r="V209" s="54"/>
      <c r="W209" s="54"/>
      <c r="X209" s="54"/>
      <c r="AA209" s="54"/>
      <c r="AB209" s="54"/>
      <c r="AC209" s="54"/>
      <c r="AF209" s="54"/>
      <c r="AG209" s="54"/>
      <c r="AH209" s="54"/>
    </row>
    <row r="210" spans="17:34" x14ac:dyDescent="0.2">
      <c r="Q210" s="54"/>
      <c r="R210" s="54"/>
      <c r="S210" s="54"/>
      <c r="V210" s="54"/>
      <c r="W210" s="54"/>
      <c r="X210" s="54"/>
      <c r="AA210" s="54"/>
      <c r="AB210" s="54"/>
      <c r="AC210" s="54"/>
      <c r="AF210" s="54"/>
      <c r="AG210" s="54"/>
      <c r="AH210" s="54"/>
    </row>
    <row r="211" spans="17:34" x14ac:dyDescent="0.2">
      <c r="Q211" s="54"/>
      <c r="R211" s="54"/>
      <c r="S211" s="54"/>
      <c r="V211" s="54"/>
      <c r="W211" s="54"/>
      <c r="X211" s="54"/>
      <c r="AA211" s="54"/>
      <c r="AB211" s="54"/>
      <c r="AC211" s="54"/>
      <c r="AF211" s="54"/>
      <c r="AG211" s="54"/>
      <c r="AH211" s="54"/>
    </row>
    <row r="212" spans="17:34" x14ac:dyDescent="0.2">
      <c r="Q212" s="54"/>
      <c r="R212" s="54"/>
      <c r="S212" s="54"/>
      <c r="V212" s="54"/>
      <c r="W212" s="54"/>
      <c r="X212" s="54"/>
      <c r="AA212" s="54"/>
      <c r="AB212" s="54"/>
      <c r="AC212" s="54"/>
      <c r="AF212" s="54"/>
      <c r="AG212" s="54"/>
      <c r="AH212" s="54"/>
    </row>
    <row r="213" spans="17:34" x14ac:dyDescent="0.2">
      <c r="Q213" s="54"/>
      <c r="R213" s="54"/>
      <c r="S213" s="54"/>
      <c r="V213" s="54"/>
      <c r="W213" s="54"/>
      <c r="X213" s="54"/>
      <c r="AA213" s="54"/>
      <c r="AB213" s="54"/>
      <c r="AC213" s="54"/>
      <c r="AF213" s="54"/>
      <c r="AG213" s="54"/>
      <c r="AH213" s="54"/>
    </row>
    <row r="214" spans="17:34" x14ac:dyDescent="0.2">
      <c r="Q214" s="54"/>
      <c r="R214" s="54"/>
      <c r="S214" s="54"/>
      <c r="V214" s="54"/>
      <c r="W214" s="54"/>
      <c r="X214" s="54"/>
      <c r="AA214" s="54"/>
      <c r="AB214" s="54"/>
      <c r="AC214" s="54"/>
      <c r="AF214" s="54"/>
      <c r="AG214" s="54"/>
      <c r="AH214" s="54"/>
    </row>
    <row r="215" spans="17:34" x14ac:dyDescent="0.2">
      <c r="Q215" s="54"/>
      <c r="R215" s="54"/>
      <c r="S215" s="54"/>
      <c r="V215" s="54"/>
      <c r="W215" s="54"/>
      <c r="X215" s="54"/>
      <c r="AA215" s="54"/>
      <c r="AB215" s="54"/>
      <c r="AC215" s="54"/>
      <c r="AF215" s="54"/>
      <c r="AG215" s="54"/>
      <c r="AH215" s="54"/>
    </row>
    <row r="216" spans="17:34" x14ac:dyDescent="0.2">
      <c r="Q216" s="54"/>
      <c r="R216" s="54"/>
      <c r="S216" s="54"/>
      <c r="V216" s="54"/>
      <c r="W216" s="54"/>
      <c r="X216" s="54"/>
      <c r="AA216" s="54"/>
      <c r="AB216" s="54"/>
      <c r="AC216" s="54"/>
      <c r="AF216" s="54"/>
      <c r="AG216" s="54"/>
      <c r="AH216" s="54"/>
    </row>
    <row r="217" spans="17:34" x14ac:dyDescent="0.2">
      <c r="Q217" s="54"/>
      <c r="R217" s="54"/>
      <c r="S217" s="54"/>
      <c r="V217" s="54"/>
      <c r="W217" s="54"/>
      <c r="X217" s="54"/>
      <c r="AA217" s="54"/>
      <c r="AB217" s="54"/>
      <c r="AC217" s="54"/>
      <c r="AF217" s="54"/>
      <c r="AG217" s="54"/>
      <c r="AH217" s="54"/>
    </row>
    <row r="218" spans="17:34" x14ac:dyDescent="0.2">
      <c r="Q218" s="54"/>
      <c r="R218" s="54"/>
      <c r="S218" s="54"/>
      <c r="V218" s="54"/>
      <c r="W218" s="54"/>
      <c r="X218" s="54"/>
      <c r="AA218" s="54"/>
      <c r="AB218" s="54"/>
      <c r="AC218" s="54"/>
      <c r="AF218" s="54"/>
      <c r="AG218" s="54"/>
      <c r="AH218" s="54"/>
    </row>
    <row r="219" spans="17:34" x14ac:dyDescent="0.2">
      <c r="Q219" s="54"/>
      <c r="R219" s="54"/>
      <c r="S219" s="54"/>
      <c r="V219" s="54"/>
      <c r="W219" s="54"/>
      <c r="X219" s="54"/>
      <c r="AA219" s="54"/>
      <c r="AB219" s="54"/>
      <c r="AC219" s="54"/>
      <c r="AF219" s="54"/>
      <c r="AG219" s="54"/>
      <c r="AH219" s="54"/>
    </row>
    <row r="220" spans="17:34" x14ac:dyDescent="0.2">
      <c r="Q220" s="54"/>
      <c r="R220" s="54"/>
      <c r="S220" s="54"/>
      <c r="V220" s="54"/>
      <c r="W220" s="54"/>
      <c r="X220" s="54"/>
      <c r="AA220" s="54"/>
      <c r="AB220" s="54"/>
      <c r="AC220" s="54"/>
      <c r="AF220" s="54"/>
      <c r="AG220" s="54"/>
      <c r="AH220" s="54"/>
    </row>
    <row r="221" spans="17:34" x14ac:dyDescent="0.2">
      <c r="Q221" s="54"/>
      <c r="R221" s="54"/>
      <c r="S221" s="54"/>
      <c r="V221" s="54"/>
      <c r="W221" s="54"/>
      <c r="X221" s="54"/>
      <c r="AA221" s="54"/>
      <c r="AB221" s="54"/>
      <c r="AC221" s="54"/>
      <c r="AF221" s="54"/>
      <c r="AG221" s="54"/>
      <c r="AH221" s="54"/>
    </row>
    <row r="222" spans="17:34" x14ac:dyDescent="0.2">
      <c r="Q222" s="54"/>
      <c r="R222" s="54"/>
      <c r="S222" s="54"/>
      <c r="V222" s="54"/>
      <c r="W222" s="54"/>
      <c r="X222" s="54"/>
      <c r="AA222" s="54"/>
      <c r="AB222" s="54"/>
      <c r="AC222" s="54"/>
      <c r="AF222" s="54"/>
      <c r="AG222" s="54"/>
      <c r="AH222" s="54"/>
    </row>
    <row r="223" spans="17:34" x14ac:dyDescent="0.2">
      <c r="Q223" s="54"/>
      <c r="R223" s="54"/>
      <c r="S223" s="54"/>
      <c r="V223" s="54"/>
      <c r="W223" s="54"/>
      <c r="X223" s="54"/>
      <c r="AA223" s="54"/>
      <c r="AB223" s="54"/>
      <c r="AC223" s="54"/>
      <c r="AF223" s="54"/>
      <c r="AG223" s="54"/>
      <c r="AH223" s="54"/>
    </row>
    <row r="224" spans="17:34" x14ac:dyDescent="0.2">
      <c r="Q224" s="54"/>
      <c r="R224" s="54"/>
      <c r="S224" s="54"/>
      <c r="V224" s="54"/>
      <c r="W224" s="54"/>
      <c r="X224" s="54"/>
      <c r="AA224" s="54"/>
      <c r="AB224" s="54"/>
      <c r="AC224" s="54"/>
      <c r="AF224" s="54"/>
      <c r="AG224" s="54"/>
      <c r="AH224" s="54"/>
    </row>
    <row r="225" spans="17:34" x14ac:dyDescent="0.2">
      <c r="Q225" s="54"/>
      <c r="R225" s="54"/>
      <c r="S225" s="54"/>
      <c r="V225" s="54"/>
      <c r="W225" s="54"/>
      <c r="X225" s="54"/>
      <c r="AA225" s="54"/>
      <c r="AB225" s="54"/>
      <c r="AC225" s="54"/>
      <c r="AF225" s="54"/>
      <c r="AG225" s="54"/>
      <c r="AH225" s="54"/>
    </row>
    <row r="226" spans="17:34" x14ac:dyDescent="0.2">
      <c r="Q226" s="54"/>
      <c r="R226" s="54"/>
      <c r="S226" s="54"/>
      <c r="V226" s="54"/>
      <c r="W226" s="54"/>
      <c r="X226" s="54"/>
      <c r="AA226" s="54"/>
      <c r="AB226" s="54"/>
      <c r="AC226" s="54"/>
      <c r="AF226" s="54"/>
      <c r="AG226" s="54"/>
      <c r="AH226" s="54"/>
    </row>
    <row r="227" spans="17:34" x14ac:dyDescent="0.2">
      <c r="Q227" s="54"/>
      <c r="R227" s="54"/>
      <c r="S227" s="54"/>
      <c r="V227" s="54"/>
      <c r="W227" s="54"/>
      <c r="X227" s="54"/>
      <c r="AA227" s="54"/>
      <c r="AB227" s="54"/>
      <c r="AC227" s="54"/>
      <c r="AF227" s="54"/>
      <c r="AG227" s="54"/>
      <c r="AH227" s="54"/>
    </row>
    <row r="228" spans="17:34" x14ac:dyDescent="0.2">
      <c r="Q228" s="54"/>
      <c r="R228" s="54"/>
      <c r="S228" s="54"/>
      <c r="V228" s="54"/>
      <c r="W228" s="54"/>
      <c r="X228" s="54"/>
      <c r="AA228" s="54"/>
      <c r="AB228" s="54"/>
      <c r="AC228" s="54"/>
      <c r="AF228" s="54"/>
      <c r="AG228" s="54"/>
      <c r="AH228" s="54"/>
    </row>
    <row r="229" spans="17:34" x14ac:dyDescent="0.2">
      <c r="Q229" s="54"/>
      <c r="R229" s="54"/>
      <c r="S229" s="54"/>
      <c r="V229" s="54"/>
      <c r="W229" s="54"/>
      <c r="X229" s="54"/>
      <c r="AA229" s="54"/>
      <c r="AB229" s="54"/>
      <c r="AC229" s="54"/>
      <c r="AF229" s="54"/>
      <c r="AG229" s="54"/>
      <c r="AH229" s="54"/>
    </row>
    <row r="230" spans="17:34" x14ac:dyDescent="0.2">
      <c r="Q230" s="54"/>
      <c r="R230" s="54"/>
      <c r="S230" s="54"/>
      <c r="V230" s="54"/>
      <c r="W230" s="54"/>
      <c r="X230" s="54"/>
      <c r="AA230" s="54"/>
      <c r="AB230" s="54"/>
      <c r="AC230" s="54"/>
      <c r="AF230" s="54"/>
      <c r="AG230" s="54"/>
      <c r="AH230" s="54"/>
    </row>
    <row r="231" spans="17:34" x14ac:dyDescent="0.2">
      <c r="Q231" s="54"/>
      <c r="R231" s="54"/>
      <c r="S231" s="54"/>
      <c r="V231" s="54"/>
      <c r="W231" s="54"/>
      <c r="X231" s="54"/>
      <c r="AA231" s="54"/>
      <c r="AB231" s="54"/>
      <c r="AC231" s="54"/>
      <c r="AF231" s="54"/>
      <c r="AG231" s="54"/>
      <c r="AH231" s="54"/>
    </row>
    <row r="232" spans="17:34" x14ac:dyDescent="0.2">
      <c r="Q232" s="54"/>
      <c r="R232" s="54"/>
      <c r="S232" s="54"/>
      <c r="V232" s="54"/>
      <c r="W232" s="54"/>
      <c r="X232" s="54"/>
      <c r="AA232" s="54"/>
      <c r="AB232" s="54"/>
      <c r="AC232" s="54"/>
      <c r="AF232" s="54"/>
      <c r="AG232" s="54"/>
      <c r="AH232" s="54"/>
    </row>
    <row r="233" spans="17:34" x14ac:dyDescent="0.2">
      <c r="Q233" s="54"/>
      <c r="R233" s="54"/>
      <c r="S233" s="54"/>
      <c r="V233" s="54"/>
      <c r="W233" s="54"/>
      <c r="X233" s="54"/>
      <c r="AA233" s="54"/>
      <c r="AB233" s="54"/>
      <c r="AC233" s="54"/>
      <c r="AF233" s="54"/>
      <c r="AG233" s="54"/>
      <c r="AH233" s="54"/>
    </row>
    <row r="234" spans="17:34" x14ac:dyDescent="0.2">
      <c r="Q234" s="54"/>
      <c r="R234" s="54"/>
      <c r="S234" s="54"/>
      <c r="V234" s="54"/>
      <c r="W234" s="54"/>
      <c r="X234" s="54"/>
      <c r="AA234" s="54"/>
      <c r="AB234" s="54"/>
      <c r="AC234" s="54"/>
      <c r="AF234" s="54"/>
      <c r="AG234" s="54"/>
      <c r="AH234" s="54"/>
    </row>
    <row r="235" spans="17:34" x14ac:dyDescent="0.2">
      <c r="Q235" s="54"/>
      <c r="R235" s="54"/>
      <c r="S235" s="54"/>
      <c r="V235" s="54"/>
      <c r="W235" s="54"/>
      <c r="X235" s="54"/>
      <c r="AA235" s="54"/>
      <c r="AB235" s="54"/>
      <c r="AC235" s="54"/>
      <c r="AF235" s="54"/>
      <c r="AG235" s="54"/>
      <c r="AH235" s="54"/>
    </row>
    <row r="236" spans="17:34" x14ac:dyDescent="0.2">
      <c r="Q236" s="54"/>
      <c r="R236" s="54"/>
      <c r="S236" s="54"/>
      <c r="V236" s="54"/>
      <c r="W236" s="54"/>
      <c r="X236" s="54"/>
      <c r="AA236" s="54"/>
      <c r="AB236" s="54"/>
      <c r="AC236" s="54"/>
      <c r="AF236" s="54"/>
      <c r="AG236" s="54"/>
      <c r="AH236" s="54"/>
    </row>
    <row r="237" spans="17:34" x14ac:dyDescent="0.2">
      <c r="Q237" s="54"/>
      <c r="R237" s="54"/>
      <c r="S237" s="54"/>
      <c r="V237" s="54"/>
      <c r="W237" s="54"/>
      <c r="X237" s="54"/>
      <c r="AA237" s="54"/>
      <c r="AB237" s="54"/>
      <c r="AC237" s="54"/>
      <c r="AF237" s="54"/>
      <c r="AG237" s="54"/>
      <c r="AH237" s="54"/>
    </row>
    <row r="238" spans="17:34" x14ac:dyDescent="0.2">
      <c r="Q238" s="54"/>
      <c r="R238" s="54"/>
      <c r="S238" s="54"/>
      <c r="V238" s="54"/>
      <c r="W238" s="54"/>
      <c r="X238" s="54"/>
      <c r="AA238" s="54"/>
      <c r="AB238" s="54"/>
      <c r="AC238" s="54"/>
      <c r="AF238" s="54"/>
      <c r="AG238" s="54"/>
      <c r="AH238" s="54"/>
    </row>
    <row r="239" spans="17:34" x14ac:dyDescent="0.2">
      <c r="Q239" s="54"/>
      <c r="R239" s="54"/>
      <c r="S239" s="54"/>
      <c r="V239" s="54"/>
      <c r="W239" s="54"/>
      <c r="X239" s="54"/>
      <c r="AA239" s="54"/>
      <c r="AB239" s="54"/>
      <c r="AC239" s="54"/>
      <c r="AF239" s="54"/>
      <c r="AG239" s="54"/>
      <c r="AH239" s="54"/>
    </row>
    <row r="240" spans="17:34" x14ac:dyDescent="0.2">
      <c r="Q240" s="54"/>
      <c r="R240" s="54"/>
      <c r="S240" s="54"/>
      <c r="V240" s="54"/>
      <c r="W240" s="54"/>
      <c r="X240" s="54"/>
      <c r="AA240" s="54"/>
      <c r="AB240" s="54"/>
      <c r="AC240" s="54"/>
      <c r="AF240" s="54"/>
      <c r="AG240" s="54"/>
      <c r="AH240" s="54"/>
    </row>
    <row r="241" spans="17:34" x14ac:dyDescent="0.2">
      <c r="Q241" s="54"/>
      <c r="R241" s="54"/>
      <c r="S241" s="54"/>
      <c r="V241" s="54"/>
      <c r="W241" s="54"/>
      <c r="X241" s="54"/>
      <c r="AA241" s="54"/>
      <c r="AB241" s="54"/>
      <c r="AC241" s="54"/>
      <c r="AF241" s="54"/>
      <c r="AG241" s="54"/>
      <c r="AH241" s="54"/>
    </row>
    <row r="242" spans="17:34" x14ac:dyDescent="0.2">
      <c r="Q242" s="54"/>
      <c r="R242" s="54"/>
      <c r="S242" s="54"/>
      <c r="V242" s="54"/>
      <c r="W242" s="54"/>
      <c r="X242" s="54"/>
      <c r="AA242" s="54"/>
      <c r="AB242" s="54"/>
      <c r="AC242" s="54"/>
      <c r="AF242" s="54"/>
      <c r="AG242" s="54"/>
      <c r="AH242" s="54"/>
    </row>
    <row r="243" spans="17:34" x14ac:dyDescent="0.2">
      <c r="Q243" s="54"/>
      <c r="R243" s="54"/>
      <c r="S243" s="54"/>
      <c r="V243" s="54"/>
      <c r="W243" s="54"/>
      <c r="X243" s="54"/>
      <c r="AA243" s="54"/>
      <c r="AB243" s="54"/>
      <c r="AC243" s="54"/>
      <c r="AF243" s="54"/>
      <c r="AG243" s="54"/>
      <c r="AH243" s="54"/>
    </row>
    <row r="244" spans="17:34" x14ac:dyDescent="0.2">
      <c r="Q244" s="54"/>
      <c r="R244" s="54"/>
      <c r="S244" s="54"/>
      <c r="V244" s="54"/>
      <c r="W244" s="54"/>
      <c r="X244" s="54"/>
      <c r="AA244" s="54"/>
      <c r="AB244" s="54"/>
      <c r="AC244" s="54"/>
      <c r="AF244" s="54"/>
      <c r="AG244" s="54"/>
      <c r="AH244" s="54"/>
    </row>
    <row r="245" spans="17:34" x14ac:dyDescent="0.2">
      <c r="Q245" s="54"/>
      <c r="R245" s="54"/>
      <c r="S245" s="54"/>
      <c r="V245" s="54"/>
      <c r="W245" s="54"/>
      <c r="X245" s="54"/>
      <c r="AA245" s="54"/>
      <c r="AB245" s="54"/>
      <c r="AC245" s="54"/>
      <c r="AF245" s="54"/>
      <c r="AG245" s="54"/>
      <c r="AH245" s="54"/>
    </row>
    <row r="246" spans="17:34" x14ac:dyDescent="0.2">
      <c r="Q246" s="54"/>
      <c r="R246" s="54"/>
      <c r="S246" s="54"/>
      <c r="V246" s="54"/>
      <c r="W246" s="54"/>
      <c r="X246" s="54"/>
      <c r="AA246" s="54"/>
      <c r="AB246" s="54"/>
      <c r="AC246" s="54"/>
      <c r="AF246" s="54"/>
      <c r="AG246" s="54"/>
      <c r="AH246" s="54"/>
    </row>
    <row r="247" spans="17:34" x14ac:dyDescent="0.2">
      <c r="Q247" s="54"/>
      <c r="R247" s="54"/>
      <c r="S247" s="54"/>
      <c r="V247" s="54"/>
      <c r="W247" s="54"/>
      <c r="X247" s="54"/>
      <c r="AA247" s="54"/>
      <c r="AB247" s="54"/>
      <c r="AC247" s="54"/>
      <c r="AF247" s="54"/>
      <c r="AG247" s="54"/>
      <c r="AH247" s="54"/>
    </row>
    <row r="248" spans="17:34" x14ac:dyDescent="0.2">
      <c r="Q248" s="54"/>
      <c r="R248" s="54"/>
      <c r="S248" s="54"/>
      <c r="V248" s="54"/>
      <c r="W248" s="54"/>
      <c r="X248" s="54"/>
      <c r="AA248" s="54"/>
      <c r="AB248" s="54"/>
      <c r="AC248" s="54"/>
      <c r="AF248" s="54"/>
      <c r="AG248" s="54"/>
      <c r="AH248" s="54"/>
    </row>
    <row r="249" spans="17:34" x14ac:dyDescent="0.2">
      <c r="Q249" s="54"/>
      <c r="R249" s="54"/>
      <c r="S249" s="54"/>
      <c r="V249" s="54"/>
      <c r="W249" s="54"/>
      <c r="X249" s="54"/>
      <c r="AA249" s="54"/>
      <c r="AB249" s="54"/>
      <c r="AC249" s="54"/>
      <c r="AF249" s="54"/>
      <c r="AG249" s="54"/>
      <c r="AH249" s="54"/>
    </row>
    <row r="250" spans="17:34" x14ac:dyDescent="0.2">
      <c r="Q250" s="54"/>
      <c r="R250" s="54"/>
      <c r="S250" s="54"/>
      <c r="V250" s="54"/>
      <c r="W250" s="54"/>
      <c r="X250" s="54"/>
      <c r="AA250" s="54"/>
      <c r="AB250" s="54"/>
      <c r="AC250" s="54"/>
      <c r="AF250" s="54"/>
      <c r="AG250" s="54"/>
      <c r="AH250" s="54"/>
    </row>
    <row r="251" spans="17:34" x14ac:dyDescent="0.2">
      <c r="Q251" s="54"/>
      <c r="R251" s="54"/>
      <c r="S251" s="54"/>
      <c r="V251" s="54"/>
      <c r="W251" s="54"/>
      <c r="X251" s="54"/>
      <c r="AA251" s="54"/>
      <c r="AB251" s="54"/>
      <c r="AC251" s="54"/>
      <c r="AF251" s="54"/>
      <c r="AG251" s="54"/>
      <c r="AH251" s="54"/>
    </row>
    <row r="252" spans="17:34" x14ac:dyDescent="0.2">
      <c r="Q252" s="54"/>
      <c r="R252" s="54"/>
      <c r="S252" s="54"/>
      <c r="V252" s="54"/>
      <c r="W252" s="54"/>
      <c r="X252" s="54"/>
      <c r="AA252" s="54"/>
      <c r="AB252" s="54"/>
      <c r="AC252" s="54"/>
      <c r="AF252" s="54"/>
      <c r="AG252" s="54"/>
      <c r="AH252" s="54"/>
    </row>
    <row r="253" spans="17:34" x14ac:dyDescent="0.2">
      <c r="Q253" s="54"/>
      <c r="R253" s="54"/>
      <c r="S253" s="54"/>
      <c r="V253" s="54"/>
      <c r="W253" s="54"/>
      <c r="X253" s="54"/>
      <c r="AA253" s="54"/>
      <c r="AB253" s="54"/>
      <c r="AC253" s="54"/>
      <c r="AF253" s="54"/>
      <c r="AG253" s="54"/>
      <c r="AH253" s="54"/>
    </row>
    <row r="254" spans="17:34" x14ac:dyDescent="0.2">
      <c r="Q254" s="54"/>
      <c r="R254" s="54"/>
      <c r="S254" s="54"/>
      <c r="V254" s="54"/>
      <c r="W254" s="54"/>
      <c r="X254" s="54"/>
      <c r="AA254" s="54"/>
      <c r="AB254" s="54"/>
      <c r="AC254" s="54"/>
      <c r="AF254" s="54"/>
      <c r="AG254" s="54"/>
      <c r="AH254" s="54"/>
    </row>
    <row r="255" spans="17:34" x14ac:dyDescent="0.2">
      <c r="Q255" s="54"/>
      <c r="R255" s="54"/>
      <c r="S255" s="54"/>
      <c r="V255" s="54"/>
      <c r="W255" s="54"/>
      <c r="X255" s="54"/>
      <c r="AA255" s="54"/>
      <c r="AB255" s="54"/>
      <c r="AC255" s="54"/>
      <c r="AF255" s="54"/>
      <c r="AG255" s="54"/>
      <c r="AH255" s="54"/>
    </row>
    <row r="256" spans="17:34" x14ac:dyDescent="0.2">
      <c r="Q256" s="54"/>
      <c r="R256" s="54"/>
      <c r="S256" s="54"/>
      <c r="V256" s="54"/>
      <c r="W256" s="54"/>
      <c r="X256" s="54"/>
      <c r="AA256" s="54"/>
      <c r="AB256" s="54"/>
      <c r="AC256" s="54"/>
      <c r="AF256" s="54"/>
      <c r="AG256" s="54"/>
      <c r="AH256" s="54"/>
    </row>
    <row r="257" spans="17:34" x14ac:dyDescent="0.2">
      <c r="Q257" s="54"/>
      <c r="R257" s="54"/>
      <c r="S257" s="54"/>
      <c r="V257" s="54"/>
      <c r="W257" s="54"/>
      <c r="X257" s="54"/>
      <c r="AA257" s="54"/>
      <c r="AB257" s="54"/>
      <c r="AC257" s="54"/>
      <c r="AF257" s="54"/>
      <c r="AG257" s="54"/>
      <c r="AH257" s="54"/>
    </row>
    <row r="258" spans="17:34" x14ac:dyDescent="0.2">
      <c r="Q258" s="54"/>
      <c r="R258" s="54"/>
      <c r="S258" s="54"/>
      <c r="V258" s="54"/>
      <c r="W258" s="54"/>
      <c r="X258" s="54"/>
      <c r="AA258" s="54"/>
      <c r="AB258" s="54"/>
      <c r="AC258" s="54"/>
      <c r="AF258" s="54"/>
      <c r="AG258" s="54"/>
      <c r="AH258" s="54"/>
    </row>
    <row r="259" spans="17:34" x14ac:dyDescent="0.2">
      <c r="Q259" s="54"/>
      <c r="R259" s="54"/>
      <c r="S259" s="54"/>
      <c r="V259" s="54"/>
      <c r="W259" s="54"/>
      <c r="X259" s="54"/>
      <c r="AA259" s="54"/>
      <c r="AB259" s="54"/>
      <c r="AC259" s="54"/>
      <c r="AF259" s="54"/>
      <c r="AG259" s="54"/>
      <c r="AH259" s="54"/>
    </row>
    <row r="260" spans="17:34" x14ac:dyDescent="0.2">
      <c r="Q260" s="54"/>
      <c r="R260" s="54"/>
      <c r="S260" s="54"/>
      <c r="V260" s="54"/>
      <c r="W260" s="54"/>
      <c r="X260" s="54"/>
      <c r="AA260" s="54"/>
      <c r="AB260" s="54"/>
      <c r="AC260" s="54"/>
      <c r="AF260" s="54"/>
      <c r="AG260" s="54"/>
      <c r="AH260" s="54"/>
    </row>
    <row r="261" spans="17:34" x14ac:dyDescent="0.2">
      <c r="Q261" s="54"/>
      <c r="R261" s="54"/>
      <c r="S261" s="54"/>
      <c r="V261" s="54"/>
      <c r="W261" s="54"/>
      <c r="X261" s="54"/>
      <c r="AA261" s="54"/>
      <c r="AB261" s="54"/>
      <c r="AC261" s="54"/>
      <c r="AF261" s="54"/>
      <c r="AG261" s="54"/>
      <c r="AH261" s="54"/>
    </row>
    <row r="262" spans="17:34" x14ac:dyDescent="0.2">
      <c r="Q262" s="54"/>
      <c r="R262" s="54"/>
      <c r="S262" s="54"/>
      <c r="V262" s="54"/>
      <c r="W262" s="54"/>
      <c r="X262" s="54"/>
      <c r="AA262" s="54"/>
      <c r="AB262" s="54"/>
      <c r="AC262" s="54"/>
      <c r="AF262" s="54"/>
      <c r="AG262" s="54"/>
      <c r="AH262" s="54"/>
    </row>
    <row r="263" spans="17:34" x14ac:dyDescent="0.2">
      <c r="Q263" s="54"/>
      <c r="R263" s="54"/>
      <c r="S263" s="54"/>
      <c r="V263" s="54"/>
      <c r="W263" s="54"/>
      <c r="X263" s="54"/>
      <c r="AA263" s="54"/>
      <c r="AB263" s="54"/>
      <c r="AC263" s="54"/>
      <c r="AF263" s="54"/>
      <c r="AG263" s="54"/>
      <c r="AH263" s="54"/>
    </row>
    <row r="264" spans="17:34" x14ac:dyDescent="0.2">
      <c r="Q264" s="54"/>
      <c r="R264" s="54"/>
      <c r="S264" s="54"/>
      <c r="V264" s="54"/>
      <c r="W264" s="54"/>
      <c r="X264" s="54"/>
      <c r="AA264" s="54"/>
      <c r="AB264" s="54"/>
      <c r="AC264" s="54"/>
      <c r="AF264" s="54"/>
      <c r="AG264" s="54"/>
      <c r="AH264" s="54"/>
    </row>
    <row r="265" spans="17:34" x14ac:dyDescent="0.2">
      <c r="Q265" s="54"/>
      <c r="R265" s="54"/>
      <c r="S265" s="54"/>
      <c r="V265" s="54"/>
      <c r="W265" s="54"/>
      <c r="X265" s="54"/>
      <c r="AA265" s="54"/>
      <c r="AB265" s="54"/>
      <c r="AC265" s="54"/>
      <c r="AF265" s="54"/>
      <c r="AG265" s="54"/>
      <c r="AH265" s="54"/>
    </row>
    <row r="266" spans="17:34" x14ac:dyDescent="0.2">
      <c r="Q266" s="54"/>
      <c r="R266" s="54"/>
      <c r="S266" s="54"/>
      <c r="V266" s="54"/>
      <c r="W266" s="54"/>
      <c r="X266" s="54"/>
      <c r="AA266" s="54"/>
      <c r="AB266" s="54"/>
      <c r="AC266" s="54"/>
      <c r="AF266" s="54"/>
      <c r="AG266" s="54"/>
      <c r="AH266" s="54"/>
    </row>
    <row r="267" spans="17:34" x14ac:dyDescent="0.2">
      <c r="Q267" s="54"/>
      <c r="R267" s="54"/>
      <c r="S267" s="54"/>
      <c r="V267" s="54"/>
      <c r="W267" s="54"/>
      <c r="X267" s="54"/>
      <c r="AA267" s="54"/>
      <c r="AB267" s="54"/>
      <c r="AC267" s="54"/>
      <c r="AF267" s="54"/>
      <c r="AG267" s="54"/>
      <c r="AH267" s="54"/>
    </row>
    <row r="268" spans="17:34" x14ac:dyDescent="0.2">
      <c r="Q268" s="54"/>
      <c r="R268" s="54"/>
      <c r="S268" s="54"/>
      <c r="V268" s="54"/>
      <c r="W268" s="54"/>
      <c r="X268" s="54"/>
      <c r="AA268" s="54"/>
      <c r="AB268" s="54"/>
      <c r="AC268" s="54"/>
      <c r="AF268" s="54"/>
      <c r="AG268" s="54"/>
      <c r="AH268" s="54"/>
    </row>
    <row r="269" spans="17:34" x14ac:dyDescent="0.2">
      <c r="Q269" s="54"/>
      <c r="R269" s="54"/>
      <c r="S269" s="54"/>
      <c r="V269" s="54"/>
      <c r="W269" s="54"/>
      <c r="X269" s="54"/>
      <c r="AA269" s="54"/>
      <c r="AB269" s="54"/>
      <c r="AC269" s="54"/>
      <c r="AF269" s="54"/>
      <c r="AG269" s="54"/>
      <c r="AH269" s="54"/>
    </row>
    <row r="270" spans="17:34" x14ac:dyDescent="0.2">
      <c r="Q270" s="54"/>
      <c r="R270" s="54"/>
      <c r="S270" s="54"/>
      <c r="V270" s="54"/>
      <c r="W270" s="54"/>
      <c r="X270" s="54"/>
      <c r="AA270" s="54"/>
      <c r="AB270" s="54"/>
      <c r="AC270" s="54"/>
      <c r="AF270" s="54"/>
      <c r="AG270" s="54"/>
      <c r="AH270" s="54"/>
    </row>
    <row r="271" spans="17:34" x14ac:dyDescent="0.2">
      <c r="Q271" s="54"/>
      <c r="R271" s="54"/>
      <c r="S271" s="54"/>
      <c r="V271" s="54"/>
      <c r="W271" s="54"/>
      <c r="X271" s="54"/>
      <c r="AA271" s="54"/>
      <c r="AB271" s="54"/>
      <c r="AC271" s="54"/>
      <c r="AF271" s="54"/>
      <c r="AG271" s="54"/>
      <c r="AH271" s="54"/>
    </row>
    <row r="272" spans="17:34" x14ac:dyDescent="0.2">
      <c r="Q272" s="54"/>
      <c r="R272" s="54"/>
      <c r="S272" s="54"/>
      <c r="V272" s="54"/>
      <c r="W272" s="54"/>
      <c r="X272" s="54"/>
      <c r="AA272" s="54"/>
      <c r="AB272" s="54"/>
      <c r="AC272" s="54"/>
      <c r="AF272" s="54"/>
      <c r="AG272" s="54"/>
      <c r="AH272" s="54"/>
    </row>
    <row r="273" spans="17:34" x14ac:dyDescent="0.2">
      <c r="Q273" s="54"/>
      <c r="R273" s="54"/>
      <c r="S273" s="54"/>
      <c r="V273" s="54"/>
      <c r="W273" s="54"/>
      <c r="X273" s="54"/>
      <c r="AA273" s="54"/>
      <c r="AB273" s="54"/>
      <c r="AC273" s="54"/>
      <c r="AF273" s="54"/>
      <c r="AG273" s="54"/>
      <c r="AH273" s="54"/>
    </row>
    <row r="274" spans="17:34" x14ac:dyDescent="0.2">
      <c r="Q274" s="54"/>
      <c r="R274" s="54"/>
      <c r="S274" s="54"/>
      <c r="V274" s="54"/>
      <c r="W274" s="54"/>
      <c r="X274" s="54"/>
      <c r="AA274" s="54"/>
      <c r="AB274" s="54"/>
      <c r="AC274" s="54"/>
      <c r="AF274" s="54"/>
      <c r="AG274" s="54"/>
      <c r="AH274" s="54"/>
    </row>
    <row r="275" spans="17:34" x14ac:dyDescent="0.2">
      <c r="Q275" s="54"/>
      <c r="R275" s="54"/>
      <c r="S275" s="54"/>
      <c r="V275" s="54"/>
      <c r="W275" s="54"/>
      <c r="X275" s="54"/>
      <c r="AA275" s="54"/>
      <c r="AB275" s="54"/>
      <c r="AC275" s="54"/>
      <c r="AF275" s="54"/>
      <c r="AG275" s="54"/>
      <c r="AH275" s="54"/>
    </row>
    <row r="276" spans="17:34" x14ac:dyDescent="0.2">
      <c r="Q276" s="54"/>
      <c r="R276" s="54"/>
      <c r="S276" s="54"/>
      <c r="V276" s="54"/>
      <c r="W276" s="54"/>
      <c r="X276" s="54"/>
      <c r="AA276" s="54"/>
      <c r="AB276" s="54"/>
      <c r="AC276" s="54"/>
      <c r="AF276" s="54"/>
      <c r="AG276" s="54"/>
      <c r="AH276" s="54"/>
    </row>
    <row r="277" spans="17:34" x14ac:dyDescent="0.2">
      <c r="Q277" s="54"/>
      <c r="R277" s="54"/>
      <c r="S277" s="54"/>
      <c r="V277" s="54"/>
      <c r="W277" s="54"/>
      <c r="X277" s="54"/>
      <c r="AA277" s="54"/>
      <c r="AB277" s="54"/>
      <c r="AC277" s="54"/>
      <c r="AF277" s="54"/>
      <c r="AG277" s="54"/>
      <c r="AH277" s="54"/>
    </row>
    <row r="278" spans="17:34" x14ac:dyDescent="0.2">
      <c r="Q278" s="54"/>
      <c r="R278" s="54"/>
      <c r="S278" s="54"/>
      <c r="V278" s="54"/>
      <c r="W278" s="54"/>
      <c r="X278" s="54"/>
      <c r="AA278" s="54"/>
      <c r="AB278" s="54"/>
      <c r="AC278" s="54"/>
      <c r="AF278" s="54"/>
      <c r="AG278" s="54"/>
      <c r="AH278" s="54"/>
    </row>
    <row r="279" spans="17:34" x14ac:dyDescent="0.2">
      <c r="Q279" s="54"/>
      <c r="R279" s="54"/>
      <c r="S279" s="54"/>
      <c r="V279" s="54"/>
      <c r="W279" s="54"/>
      <c r="X279" s="54"/>
      <c r="AA279" s="54"/>
      <c r="AB279" s="54"/>
      <c r="AC279" s="54"/>
      <c r="AF279" s="54"/>
      <c r="AG279" s="54"/>
      <c r="AH279" s="54"/>
    </row>
    <row r="280" spans="17:34" x14ac:dyDescent="0.2">
      <c r="Q280" s="54"/>
      <c r="R280" s="54"/>
      <c r="S280" s="54"/>
      <c r="V280" s="54"/>
      <c r="W280" s="54"/>
      <c r="X280" s="54"/>
      <c r="AA280" s="54"/>
      <c r="AB280" s="54"/>
      <c r="AC280" s="54"/>
      <c r="AF280" s="54"/>
      <c r="AG280" s="54"/>
      <c r="AH280" s="54"/>
    </row>
    <row r="281" spans="17:34" x14ac:dyDescent="0.2">
      <c r="Q281" s="54"/>
      <c r="R281" s="54"/>
      <c r="S281" s="54"/>
      <c r="V281" s="54"/>
      <c r="W281" s="54"/>
      <c r="X281" s="54"/>
      <c r="AA281" s="54"/>
      <c r="AB281" s="54"/>
      <c r="AC281" s="54"/>
      <c r="AF281" s="54"/>
      <c r="AG281" s="54"/>
      <c r="AH281" s="54"/>
    </row>
    <row r="282" spans="17:34" x14ac:dyDescent="0.2">
      <c r="Q282" s="54"/>
      <c r="R282" s="54"/>
      <c r="S282" s="54"/>
      <c r="V282" s="54"/>
      <c r="W282" s="54"/>
      <c r="X282" s="54"/>
      <c r="AA282" s="54"/>
      <c r="AB282" s="54"/>
      <c r="AC282" s="54"/>
      <c r="AF282" s="54"/>
      <c r="AG282" s="54"/>
      <c r="AH282" s="54"/>
    </row>
    <row r="283" spans="17:34" x14ac:dyDescent="0.2">
      <c r="Q283" s="54"/>
      <c r="R283" s="54"/>
      <c r="S283" s="54"/>
      <c r="V283" s="54"/>
      <c r="W283" s="54"/>
      <c r="X283" s="54"/>
      <c r="AA283" s="54"/>
      <c r="AB283" s="54"/>
      <c r="AC283" s="54"/>
      <c r="AF283" s="54"/>
      <c r="AG283" s="54"/>
      <c r="AH283" s="54"/>
    </row>
    <row r="284" spans="17:34" x14ac:dyDescent="0.2">
      <c r="Q284" s="54"/>
      <c r="R284" s="54"/>
      <c r="S284" s="54"/>
      <c r="V284" s="54"/>
      <c r="W284" s="54"/>
      <c r="X284" s="54"/>
      <c r="AA284" s="54"/>
      <c r="AB284" s="54"/>
      <c r="AC284" s="54"/>
      <c r="AF284" s="54"/>
      <c r="AG284" s="54"/>
      <c r="AH284" s="54"/>
    </row>
    <row r="285" spans="17:34" x14ac:dyDescent="0.2">
      <c r="Q285" s="54"/>
      <c r="R285" s="54"/>
      <c r="S285" s="54"/>
      <c r="V285" s="54"/>
      <c r="W285" s="54"/>
      <c r="X285" s="54"/>
      <c r="AA285" s="54"/>
      <c r="AB285" s="54"/>
      <c r="AC285" s="54"/>
      <c r="AF285" s="54"/>
      <c r="AG285" s="54"/>
      <c r="AH285" s="54"/>
    </row>
    <row r="286" spans="17:34" x14ac:dyDescent="0.2">
      <c r="Q286" s="54"/>
      <c r="R286" s="54"/>
      <c r="S286" s="54"/>
      <c r="V286" s="54"/>
      <c r="W286" s="54"/>
      <c r="X286" s="54"/>
      <c r="AA286" s="54"/>
      <c r="AB286" s="54"/>
      <c r="AC286" s="54"/>
      <c r="AF286" s="54"/>
      <c r="AG286" s="54"/>
      <c r="AH286" s="54"/>
    </row>
    <row r="287" spans="17:34" x14ac:dyDescent="0.2">
      <c r="Q287" s="54"/>
      <c r="R287" s="54"/>
      <c r="S287" s="54"/>
      <c r="V287" s="54"/>
      <c r="W287" s="54"/>
      <c r="X287" s="54"/>
      <c r="AA287" s="54"/>
      <c r="AB287" s="54"/>
      <c r="AC287" s="54"/>
      <c r="AF287" s="54"/>
      <c r="AG287" s="54"/>
      <c r="AH287" s="54"/>
    </row>
    <row r="288" spans="17:34" x14ac:dyDescent="0.2">
      <c r="Q288" s="54"/>
      <c r="R288" s="54"/>
      <c r="S288" s="54"/>
      <c r="V288" s="54"/>
      <c r="W288" s="54"/>
      <c r="X288" s="54"/>
      <c r="AA288" s="54"/>
      <c r="AB288" s="54"/>
      <c r="AC288" s="54"/>
      <c r="AF288" s="54"/>
      <c r="AG288" s="54"/>
      <c r="AH288" s="54"/>
    </row>
    <row r="289" spans="17:34" x14ac:dyDescent="0.2">
      <c r="Q289" s="54"/>
      <c r="R289" s="54"/>
      <c r="S289" s="54"/>
      <c r="V289" s="54"/>
      <c r="W289" s="54"/>
      <c r="X289" s="54"/>
      <c r="AA289" s="54"/>
      <c r="AB289" s="54"/>
      <c r="AC289" s="54"/>
      <c r="AF289" s="54"/>
      <c r="AG289" s="54"/>
      <c r="AH289" s="54"/>
    </row>
    <row r="290" spans="17:34" x14ac:dyDescent="0.2">
      <c r="Q290" s="54"/>
      <c r="R290" s="54"/>
      <c r="S290" s="54"/>
      <c r="V290" s="54"/>
      <c r="W290" s="54"/>
      <c r="X290" s="54"/>
      <c r="AA290" s="54"/>
      <c r="AB290" s="54"/>
      <c r="AC290" s="54"/>
      <c r="AF290" s="54"/>
      <c r="AG290" s="54"/>
      <c r="AH290" s="54"/>
    </row>
    <row r="291" spans="17:34" x14ac:dyDescent="0.2">
      <c r="Q291" s="54"/>
      <c r="R291" s="54"/>
      <c r="S291" s="54"/>
      <c r="V291" s="54"/>
      <c r="W291" s="54"/>
      <c r="X291" s="54"/>
      <c r="AA291" s="54"/>
      <c r="AB291" s="54"/>
      <c r="AC291" s="54"/>
      <c r="AF291" s="54"/>
      <c r="AG291" s="54"/>
      <c r="AH291" s="54"/>
    </row>
    <row r="292" spans="17:34" x14ac:dyDescent="0.2">
      <c r="Q292" s="54"/>
      <c r="R292" s="54"/>
      <c r="S292" s="54"/>
      <c r="V292" s="54"/>
      <c r="W292" s="54"/>
      <c r="X292" s="54"/>
      <c r="AA292" s="54"/>
      <c r="AB292" s="54"/>
      <c r="AC292" s="54"/>
      <c r="AF292" s="54"/>
      <c r="AG292" s="54"/>
      <c r="AH292" s="54"/>
    </row>
    <row r="293" spans="17:34" x14ac:dyDescent="0.2">
      <c r="Q293" s="54"/>
      <c r="R293" s="54"/>
      <c r="S293" s="54"/>
      <c r="V293" s="54"/>
      <c r="W293" s="54"/>
      <c r="X293" s="54"/>
      <c r="AA293" s="54"/>
      <c r="AB293" s="54"/>
      <c r="AC293" s="54"/>
      <c r="AF293" s="54"/>
      <c r="AG293" s="54"/>
      <c r="AH293" s="54"/>
    </row>
    <row r="294" spans="17:34" x14ac:dyDescent="0.2">
      <c r="Q294" s="54"/>
      <c r="R294" s="54"/>
      <c r="S294" s="54"/>
      <c r="V294" s="54"/>
      <c r="W294" s="54"/>
      <c r="X294" s="54"/>
      <c r="AA294" s="54"/>
      <c r="AB294" s="54"/>
      <c r="AC294" s="54"/>
      <c r="AF294" s="54"/>
      <c r="AG294" s="54"/>
      <c r="AH294" s="54"/>
    </row>
    <row r="295" spans="17:34" x14ac:dyDescent="0.2">
      <c r="Q295" s="54"/>
      <c r="R295" s="54"/>
      <c r="S295" s="54"/>
      <c r="V295" s="54"/>
      <c r="W295" s="54"/>
      <c r="X295" s="54"/>
      <c r="AA295" s="54"/>
      <c r="AB295" s="54"/>
      <c r="AC295" s="54"/>
      <c r="AF295" s="54"/>
      <c r="AG295" s="54"/>
      <c r="AH295" s="54"/>
    </row>
    <row r="296" spans="17:34" x14ac:dyDescent="0.2">
      <c r="Q296" s="54"/>
      <c r="R296" s="54"/>
      <c r="S296" s="54"/>
      <c r="V296" s="54"/>
      <c r="W296" s="54"/>
      <c r="X296" s="54"/>
      <c r="AA296" s="54"/>
      <c r="AB296" s="54"/>
      <c r="AC296" s="54"/>
      <c r="AF296" s="54"/>
      <c r="AG296" s="54"/>
      <c r="AH296" s="54"/>
    </row>
    <row r="297" spans="17:34" x14ac:dyDescent="0.2">
      <c r="Q297" s="54"/>
      <c r="R297" s="54"/>
      <c r="S297" s="54"/>
      <c r="V297" s="54"/>
      <c r="W297" s="54"/>
      <c r="X297" s="54"/>
      <c r="AA297" s="54"/>
      <c r="AB297" s="54"/>
      <c r="AC297" s="54"/>
      <c r="AF297" s="54"/>
      <c r="AG297" s="54"/>
      <c r="AH297" s="54"/>
    </row>
    <row r="298" spans="17:34" x14ac:dyDescent="0.2">
      <c r="Q298" s="54"/>
      <c r="R298" s="54"/>
      <c r="S298" s="54"/>
      <c r="V298" s="54"/>
      <c r="W298" s="54"/>
      <c r="X298" s="54"/>
      <c r="AA298" s="54"/>
      <c r="AB298" s="54"/>
      <c r="AC298" s="54"/>
      <c r="AF298" s="54"/>
      <c r="AG298" s="54"/>
      <c r="AH298" s="54"/>
    </row>
    <row r="299" spans="17:34" x14ac:dyDescent="0.2">
      <c r="Q299" s="54"/>
      <c r="R299" s="54"/>
      <c r="S299" s="54"/>
      <c r="V299" s="54"/>
      <c r="W299" s="54"/>
      <c r="X299" s="54"/>
      <c r="AA299" s="54"/>
      <c r="AB299" s="54"/>
      <c r="AC299" s="54"/>
      <c r="AF299" s="54"/>
      <c r="AG299" s="54"/>
      <c r="AH299" s="54"/>
    </row>
    <row r="300" spans="17:34" x14ac:dyDescent="0.2">
      <c r="Q300" s="54"/>
      <c r="R300" s="54"/>
      <c r="S300" s="54"/>
      <c r="V300" s="54"/>
      <c r="W300" s="54"/>
      <c r="X300" s="54"/>
      <c r="AA300" s="54"/>
      <c r="AB300" s="54"/>
      <c r="AC300" s="54"/>
      <c r="AF300" s="54"/>
      <c r="AG300" s="54"/>
      <c r="AH300" s="54"/>
    </row>
    <row r="301" spans="17:34" x14ac:dyDescent="0.2">
      <c r="Q301" s="54"/>
      <c r="R301" s="54"/>
      <c r="S301" s="54"/>
      <c r="V301" s="54"/>
      <c r="W301" s="54"/>
      <c r="X301" s="54"/>
      <c r="AA301" s="54"/>
      <c r="AB301" s="54"/>
      <c r="AC301" s="54"/>
      <c r="AF301" s="54"/>
      <c r="AG301" s="54"/>
      <c r="AH301" s="54"/>
    </row>
    <row r="302" spans="17:34" x14ac:dyDescent="0.2">
      <c r="Q302" s="54"/>
      <c r="R302" s="54"/>
      <c r="S302" s="54"/>
      <c r="V302" s="54"/>
      <c r="W302" s="54"/>
      <c r="X302" s="54"/>
      <c r="AA302" s="54"/>
      <c r="AB302" s="54"/>
      <c r="AC302" s="54"/>
      <c r="AF302" s="54"/>
      <c r="AG302" s="54"/>
      <c r="AH302" s="54"/>
    </row>
    <row r="303" spans="17:34" x14ac:dyDescent="0.2">
      <c r="Q303" s="54"/>
      <c r="R303" s="54"/>
      <c r="S303" s="54"/>
      <c r="V303" s="54"/>
      <c r="W303" s="54"/>
      <c r="X303" s="54"/>
      <c r="AA303" s="54"/>
      <c r="AB303" s="54"/>
      <c r="AC303" s="54"/>
      <c r="AF303" s="54"/>
      <c r="AG303" s="54"/>
      <c r="AH303" s="54"/>
    </row>
    <row r="304" spans="17:34" x14ac:dyDescent="0.2">
      <c r="Q304" s="54"/>
      <c r="R304" s="54"/>
      <c r="S304" s="54"/>
      <c r="V304" s="54"/>
      <c r="W304" s="54"/>
      <c r="X304" s="54"/>
      <c r="AA304" s="54"/>
      <c r="AB304" s="54"/>
      <c r="AC304" s="54"/>
      <c r="AF304" s="54"/>
      <c r="AG304" s="54"/>
      <c r="AH304" s="54"/>
    </row>
    <row r="305" spans="17:34" x14ac:dyDescent="0.2">
      <c r="Q305" s="54"/>
      <c r="R305" s="54"/>
      <c r="S305" s="54"/>
      <c r="V305" s="54"/>
      <c r="W305" s="54"/>
      <c r="X305" s="54"/>
      <c r="AA305" s="54"/>
      <c r="AB305" s="54"/>
      <c r="AC305" s="54"/>
      <c r="AF305" s="54"/>
      <c r="AG305" s="54"/>
      <c r="AH305" s="54"/>
    </row>
    <row r="306" spans="17:34" x14ac:dyDescent="0.2">
      <c r="Q306" s="54"/>
      <c r="R306" s="54"/>
      <c r="S306" s="54"/>
      <c r="V306" s="54"/>
      <c r="W306" s="54"/>
      <c r="X306" s="54"/>
      <c r="AA306" s="54"/>
      <c r="AB306" s="54"/>
      <c r="AC306" s="54"/>
      <c r="AF306" s="54"/>
      <c r="AG306" s="54"/>
      <c r="AH306" s="54"/>
    </row>
    <row r="307" spans="17:34" x14ac:dyDescent="0.2">
      <c r="Q307" s="54"/>
      <c r="R307" s="54"/>
      <c r="S307" s="54"/>
      <c r="V307" s="54"/>
      <c r="W307" s="54"/>
      <c r="X307" s="54"/>
      <c r="AA307" s="54"/>
      <c r="AB307" s="54"/>
      <c r="AC307" s="54"/>
      <c r="AF307" s="54"/>
      <c r="AG307" s="54"/>
      <c r="AH307" s="54"/>
    </row>
    <row r="308" spans="17:34" x14ac:dyDescent="0.2">
      <c r="Q308" s="54"/>
      <c r="R308" s="54"/>
      <c r="S308" s="54"/>
      <c r="V308" s="54"/>
      <c r="W308" s="54"/>
      <c r="X308" s="54"/>
      <c r="AA308" s="54"/>
      <c r="AB308" s="54"/>
      <c r="AC308" s="54"/>
      <c r="AF308" s="54"/>
      <c r="AG308" s="54"/>
      <c r="AH308" s="54"/>
    </row>
    <row r="309" spans="17:34" x14ac:dyDescent="0.2">
      <c r="Q309" s="54"/>
      <c r="R309" s="54"/>
      <c r="S309" s="54"/>
      <c r="V309" s="54"/>
      <c r="W309" s="54"/>
      <c r="X309" s="54"/>
      <c r="AA309" s="54"/>
      <c r="AB309" s="54"/>
      <c r="AC309" s="54"/>
      <c r="AF309" s="54"/>
      <c r="AG309" s="54"/>
      <c r="AH309" s="54"/>
    </row>
    <row r="310" spans="17:34" x14ac:dyDescent="0.2">
      <c r="Q310" s="54"/>
      <c r="R310" s="54"/>
      <c r="S310" s="54"/>
      <c r="V310" s="54"/>
      <c r="W310" s="54"/>
      <c r="X310" s="54"/>
      <c r="AA310" s="54"/>
      <c r="AB310" s="54"/>
      <c r="AC310" s="54"/>
      <c r="AF310" s="54"/>
      <c r="AG310" s="54"/>
      <c r="AH310" s="54"/>
    </row>
    <row r="311" spans="17:34" x14ac:dyDescent="0.2">
      <c r="Q311" s="54"/>
      <c r="R311" s="54"/>
      <c r="S311" s="54"/>
      <c r="V311" s="54"/>
      <c r="W311" s="54"/>
      <c r="X311" s="54"/>
      <c r="AA311" s="54"/>
      <c r="AB311" s="54"/>
      <c r="AC311" s="54"/>
      <c r="AF311" s="54"/>
      <c r="AG311" s="54"/>
      <c r="AH311" s="54"/>
    </row>
    <row r="312" spans="17:34" x14ac:dyDescent="0.2">
      <c r="Q312" s="54"/>
      <c r="R312" s="54"/>
      <c r="S312" s="54"/>
      <c r="V312" s="54"/>
      <c r="W312" s="54"/>
      <c r="X312" s="54"/>
      <c r="AA312" s="54"/>
      <c r="AB312" s="54"/>
      <c r="AC312" s="54"/>
      <c r="AF312" s="54"/>
      <c r="AG312" s="54"/>
      <c r="AH312" s="54"/>
    </row>
    <row r="313" spans="17:34" x14ac:dyDescent="0.2">
      <c r="Q313" s="54"/>
      <c r="R313" s="54"/>
      <c r="S313" s="54"/>
      <c r="V313" s="54"/>
      <c r="W313" s="54"/>
      <c r="X313" s="54"/>
      <c r="AA313" s="54"/>
      <c r="AB313" s="54"/>
      <c r="AC313" s="54"/>
      <c r="AF313" s="54"/>
      <c r="AG313" s="54"/>
      <c r="AH313" s="54"/>
    </row>
    <row r="314" spans="17:34" x14ac:dyDescent="0.2">
      <c r="Q314" s="54"/>
      <c r="R314" s="54"/>
      <c r="S314" s="54"/>
      <c r="V314" s="54"/>
      <c r="W314" s="54"/>
      <c r="X314" s="54"/>
      <c r="AA314" s="54"/>
      <c r="AB314" s="54"/>
      <c r="AC314" s="54"/>
      <c r="AF314" s="54"/>
      <c r="AG314" s="54"/>
      <c r="AH314" s="54"/>
    </row>
    <row r="315" spans="17:34" x14ac:dyDescent="0.2">
      <c r="Q315" s="54"/>
      <c r="R315" s="54"/>
      <c r="S315" s="54"/>
      <c r="V315" s="54"/>
      <c r="W315" s="54"/>
      <c r="X315" s="54"/>
      <c r="AA315" s="54"/>
      <c r="AB315" s="54"/>
      <c r="AC315" s="54"/>
      <c r="AF315" s="54"/>
      <c r="AG315" s="54"/>
      <c r="AH315" s="54"/>
    </row>
    <row r="316" spans="17:34" x14ac:dyDescent="0.2">
      <c r="Q316" s="54"/>
      <c r="R316" s="54"/>
      <c r="S316" s="54"/>
      <c r="V316" s="54"/>
      <c r="W316" s="54"/>
      <c r="X316" s="54"/>
      <c r="AA316" s="54"/>
      <c r="AB316" s="54"/>
      <c r="AC316" s="54"/>
      <c r="AF316" s="54"/>
      <c r="AG316" s="54"/>
      <c r="AH316" s="54"/>
    </row>
    <row r="317" spans="17:34" x14ac:dyDescent="0.2">
      <c r="Q317" s="54"/>
      <c r="R317" s="54"/>
      <c r="S317" s="54"/>
      <c r="V317" s="54"/>
      <c r="W317" s="54"/>
      <c r="X317" s="54"/>
      <c r="AA317" s="54"/>
      <c r="AB317" s="54"/>
      <c r="AC317" s="54"/>
      <c r="AF317" s="54"/>
      <c r="AG317" s="54"/>
      <c r="AH317" s="54"/>
    </row>
    <row r="318" spans="17:34" x14ac:dyDescent="0.2">
      <c r="Q318" s="54"/>
      <c r="R318" s="54"/>
      <c r="S318" s="54"/>
      <c r="V318" s="54"/>
      <c r="W318" s="54"/>
      <c r="X318" s="54"/>
      <c r="AA318" s="54"/>
      <c r="AB318" s="54"/>
      <c r="AC318" s="54"/>
      <c r="AF318" s="54"/>
      <c r="AG318" s="54"/>
      <c r="AH318" s="54"/>
    </row>
    <row r="319" spans="17:34" x14ac:dyDescent="0.2">
      <c r="Q319" s="54"/>
      <c r="R319" s="54"/>
      <c r="S319" s="54"/>
      <c r="V319" s="54"/>
      <c r="W319" s="54"/>
      <c r="X319" s="54"/>
      <c r="AA319" s="54"/>
      <c r="AB319" s="54"/>
      <c r="AC319" s="54"/>
      <c r="AF319" s="54"/>
      <c r="AG319" s="54"/>
      <c r="AH319" s="54"/>
    </row>
    <row r="320" spans="17:34" x14ac:dyDescent="0.2">
      <c r="Q320" s="54"/>
      <c r="R320" s="54"/>
      <c r="S320" s="54"/>
      <c r="V320" s="54"/>
      <c r="W320" s="54"/>
      <c r="X320" s="54"/>
      <c r="AA320" s="54"/>
      <c r="AB320" s="54"/>
      <c r="AC320" s="54"/>
      <c r="AF320" s="54"/>
      <c r="AG320" s="54"/>
      <c r="AH320" s="54"/>
    </row>
    <row r="321" spans="17:34" x14ac:dyDescent="0.2">
      <c r="Q321" s="54"/>
      <c r="R321" s="54"/>
      <c r="S321" s="54"/>
      <c r="V321" s="54"/>
      <c r="W321" s="54"/>
      <c r="X321" s="54"/>
      <c r="AA321" s="54"/>
      <c r="AB321" s="54"/>
      <c r="AC321" s="54"/>
      <c r="AF321" s="54"/>
      <c r="AG321" s="54"/>
      <c r="AH321" s="54"/>
    </row>
    <row r="322" spans="17:34" x14ac:dyDescent="0.2">
      <c r="Q322" s="54"/>
      <c r="R322" s="54"/>
      <c r="S322" s="54"/>
      <c r="V322" s="54"/>
      <c r="W322" s="54"/>
      <c r="X322" s="54"/>
      <c r="AA322" s="54"/>
      <c r="AB322" s="54"/>
      <c r="AC322" s="54"/>
      <c r="AF322" s="54"/>
      <c r="AG322" s="54"/>
      <c r="AH322" s="54"/>
    </row>
    <row r="323" spans="17:34" x14ac:dyDescent="0.2">
      <c r="Q323" s="54"/>
      <c r="R323" s="54"/>
      <c r="S323" s="54"/>
      <c r="V323" s="54"/>
      <c r="W323" s="54"/>
      <c r="X323" s="54"/>
      <c r="AA323" s="54"/>
      <c r="AB323" s="54"/>
      <c r="AC323" s="54"/>
      <c r="AF323" s="54"/>
      <c r="AG323" s="54"/>
      <c r="AH323" s="54"/>
    </row>
    <row r="324" spans="17:34" x14ac:dyDescent="0.2">
      <c r="Q324" s="54"/>
      <c r="R324" s="54"/>
      <c r="S324" s="54"/>
      <c r="V324" s="54"/>
      <c r="W324" s="54"/>
      <c r="X324" s="54"/>
      <c r="AA324" s="54"/>
      <c r="AB324" s="54"/>
      <c r="AC324" s="54"/>
      <c r="AF324" s="54"/>
      <c r="AG324" s="54"/>
      <c r="AH324" s="54"/>
    </row>
    <row r="325" spans="17:34" x14ac:dyDescent="0.2">
      <c r="Q325" s="54"/>
      <c r="R325" s="54"/>
      <c r="S325" s="54"/>
      <c r="V325" s="54"/>
      <c r="W325" s="54"/>
      <c r="X325" s="54"/>
      <c r="AA325" s="54"/>
      <c r="AB325" s="54"/>
      <c r="AC325" s="54"/>
      <c r="AF325" s="54"/>
      <c r="AG325" s="54"/>
      <c r="AH325" s="54"/>
    </row>
    <row r="326" spans="17:34" x14ac:dyDescent="0.2">
      <c r="Q326" s="54"/>
      <c r="R326" s="54"/>
      <c r="S326" s="54"/>
      <c r="V326" s="54"/>
      <c r="W326" s="54"/>
      <c r="X326" s="54"/>
      <c r="AA326" s="54"/>
      <c r="AB326" s="54"/>
      <c r="AC326" s="54"/>
      <c r="AF326" s="54"/>
      <c r="AG326" s="54"/>
      <c r="AH326" s="54"/>
    </row>
    <row r="327" spans="17:34" x14ac:dyDescent="0.2">
      <c r="Q327" s="54"/>
      <c r="R327" s="54"/>
      <c r="S327" s="54"/>
      <c r="V327" s="54"/>
      <c r="W327" s="54"/>
      <c r="X327" s="54"/>
      <c r="AA327" s="54"/>
      <c r="AB327" s="54"/>
      <c r="AC327" s="54"/>
      <c r="AF327" s="54"/>
      <c r="AG327" s="54"/>
      <c r="AH327" s="54"/>
    </row>
    <row r="328" spans="17:34" x14ac:dyDescent="0.2">
      <c r="Q328" s="54"/>
      <c r="R328" s="54"/>
      <c r="S328" s="54"/>
      <c r="V328" s="54"/>
      <c r="W328" s="54"/>
      <c r="X328" s="54"/>
      <c r="AA328" s="54"/>
      <c r="AB328" s="54"/>
      <c r="AC328" s="54"/>
      <c r="AF328" s="54"/>
      <c r="AG328" s="54"/>
      <c r="AH328" s="54"/>
    </row>
    <row r="329" spans="17:34" x14ac:dyDescent="0.2">
      <c r="Q329" s="54"/>
      <c r="R329" s="54"/>
      <c r="S329" s="54"/>
      <c r="V329" s="54"/>
      <c r="W329" s="54"/>
      <c r="X329" s="54"/>
      <c r="AA329" s="54"/>
      <c r="AB329" s="54"/>
      <c r="AC329" s="54"/>
      <c r="AF329" s="54"/>
      <c r="AG329" s="54"/>
      <c r="AH329" s="54"/>
    </row>
    <row r="330" spans="17:34" x14ac:dyDescent="0.2">
      <c r="Q330" s="54"/>
      <c r="R330" s="54"/>
      <c r="S330" s="54"/>
      <c r="V330" s="54"/>
      <c r="W330" s="54"/>
      <c r="X330" s="54"/>
      <c r="AA330" s="54"/>
      <c r="AB330" s="54"/>
      <c r="AC330" s="54"/>
      <c r="AF330" s="54"/>
      <c r="AG330" s="54"/>
      <c r="AH330" s="54"/>
    </row>
    <row r="331" spans="17:34" x14ac:dyDescent="0.2">
      <c r="Q331" s="54"/>
      <c r="R331" s="54"/>
      <c r="S331" s="54"/>
      <c r="V331" s="54"/>
      <c r="W331" s="54"/>
      <c r="X331" s="54"/>
      <c r="AA331" s="54"/>
      <c r="AB331" s="54"/>
      <c r="AC331" s="54"/>
      <c r="AF331" s="54"/>
      <c r="AG331" s="54"/>
      <c r="AH331" s="54"/>
    </row>
    <row r="332" spans="17:34" x14ac:dyDescent="0.2">
      <c r="Q332" s="54"/>
      <c r="R332" s="54"/>
      <c r="S332" s="54"/>
      <c r="V332" s="54"/>
      <c r="W332" s="54"/>
      <c r="X332" s="54"/>
      <c r="AA332" s="54"/>
      <c r="AB332" s="54"/>
      <c r="AC332" s="54"/>
      <c r="AF332" s="54"/>
      <c r="AG332" s="54"/>
      <c r="AH332" s="54"/>
    </row>
    <row r="333" spans="17:34" x14ac:dyDescent="0.2">
      <c r="Q333" s="54"/>
      <c r="R333" s="54"/>
      <c r="S333" s="54"/>
      <c r="V333" s="54"/>
      <c r="W333" s="54"/>
      <c r="X333" s="54"/>
      <c r="AA333" s="54"/>
      <c r="AB333" s="54"/>
      <c r="AC333" s="54"/>
      <c r="AF333" s="54"/>
      <c r="AG333" s="54"/>
      <c r="AH333" s="54"/>
    </row>
    <row r="334" spans="17:34" x14ac:dyDescent="0.2">
      <c r="Q334" s="54"/>
      <c r="R334" s="54"/>
      <c r="S334" s="54"/>
      <c r="V334" s="54"/>
      <c r="W334" s="54"/>
      <c r="X334" s="54"/>
      <c r="AA334" s="54"/>
      <c r="AB334" s="54"/>
      <c r="AC334" s="54"/>
      <c r="AF334" s="54"/>
      <c r="AG334" s="54"/>
      <c r="AH334" s="54"/>
    </row>
    <row r="335" spans="17:34" x14ac:dyDescent="0.2">
      <c r="Q335" s="54"/>
      <c r="R335" s="54"/>
      <c r="S335" s="54"/>
      <c r="V335" s="54"/>
      <c r="W335" s="54"/>
      <c r="X335" s="54"/>
      <c r="AA335" s="54"/>
      <c r="AB335" s="54"/>
      <c r="AC335" s="54"/>
      <c r="AF335" s="54"/>
      <c r="AG335" s="54"/>
      <c r="AH335" s="54"/>
    </row>
    <row r="336" spans="17:34" x14ac:dyDescent="0.2">
      <c r="Q336" s="54"/>
      <c r="R336" s="54"/>
      <c r="S336" s="54"/>
      <c r="V336" s="54"/>
      <c r="W336" s="54"/>
      <c r="X336" s="54"/>
      <c r="AA336" s="54"/>
      <c r="AB336" s="54"/>
      <c r="AC336" s="54"/>
      <c r="AF336" s="54"/>
      <c r="AG336" s="54"/>
      <c r="AH336" s="54"/>
    </row>
    <row r="337" spans="17:34" x14ac:dyDescent="0.2">
      <c r="Q337" s="54"/>
      <c r="R337" s="54"/>
      <c r="S337" s="54"/>
      <c r="V337" s="54"/>
      <c r="W337" s="54"/>
      <c r="X337" s="54"/>
      <c r="AA337" s="54"/>
      <c r="AB337" s="54"/>
      <c r="AC337" s="54"/>
      <c r="AF337" s="54"/>
      <c r="AG337" s="54"/>
      <c r="AH337" s="54"/>
    </row>
    <row r="338" spans="17:34" x14ac:dyDescent="0.2">
      <c r="Q338" s="54"/>
      <c r="R338" s="54"/>
      <c r="S338" s="54"/>
      <c r="V338" s="54"/>
      <c r="W338" s="54"/>
      <c r="X338" s="54"/>
      <c r="AA338" s="54"/>
      <c r="AB338" s="54"/>
      <c r="AC338" s="54"/>
      <c r="AF338" s="54"/>
      <c r="AG338" s="54"/>
      <c r="AH338" s="54"/>
    </row>
    <row r="339" spans="17:34" x14ac:dyDescent="0.2">
      <c r="Q339" s="54"/>
      <c r="R339" s="54"/>
      <c r="S339" s="54"/>
      <c r="V339" s="54"/>
      <c r="W339" s="54"/>
      <c r="X339" s="54"/>
      <c r="AA339" s="54"/>
      <c r="AB339" s="54"/>
      <c r="AC339" s="54"/>
      <c r="AF339" s="54"/>
      <c r="AG339" s="54"/>
      <c r="AH339" s="54"/>
    </row>
    <row r="340" spans="17:34" x14ac:dyDescent="0.2">
      <c r="Q340" s="54"/>
      <c r="R340" s="54"/>
      <c r="S340" s="54"/>
      <c r="V340" s="54"/>
      <c r="W340" s="54"/>
      <c r="X340" s="54"/>
      <c r="AA340" s="54"/>
      <c r="AB340" s="54"/>
      <c r="AC340" s="54"/>
      <c r="AF340" s="54"/>
      <c r="AG340" s="54"/>
      <c r="AH340" s="54"/>
    </row>
    <row r="341" spans="17:34" x14ac:dyDescent="0.2">
      <c r="Q341" s="54"/>
      <c r="R341" s="54"/>
      <c r="S341" s="54"/>
      <c r="V341" s="54"/>
      <c r="W341" s="54"/>
      <c r="X341" s="54"/>
      <c r="AA341" s="54"/>
      <c r="AB341" s="54"/>
      <c r="AC341" s="54"/>
      <c r="AF341" s="54"/>
      <c r="AG341" s="54"/>
      <c r="AH341" s="54"/>
    </row>
    <row r="342" spans="17:34" x14ac:dyDescent="0.2">
      <c r="Q342" s="54"/>
      <c r="R342" s="54"/>
      <c r="S342" s="54"/>
      <c r="V342" s="54"/>
      <c r="W342" s="54"/>
      <c r="X342" s="54"/>
      <c r="AA342" s="54"/>
      <c r="AB342" s="54"/>
      <c r="AC342" s="54"/>
      <c r="AF342" s="54"/>
      <c r="AG342" s="54"/>
      <c r="AH342" s="54"/>
    </row>
    <row r="343" spans="17:34" x14ac:dyDescent="0.2">
      <c r="Q343" s="54"/>
      <c r="R343" s="54"/>
      <c r="S343" s="54"/>
      <c r="V343" s="54"/>
      <c r="W343" s="54"/>
      <c r="X343" s="54"/>
      <c r="AA343" s="54"/>
      <c r="AB343" s="54"/>
      <c r="AC343" s="54"/>
      <c r="AF343" s="54"/>
      <c r="AG343" s="54"/>
      <c r="AH343" s="54"/>
    </row>
    <row r="344" spans="17:34" x14ac:dyDescent="0.2">
      <c r="Q344" s="54"/>
      <c r="R344" s="54"/>
      <c r="S344" s="54"/>
      <c r="V344" s="54"/>
      <c r="W344" s="54"/>
      <c r="X344" s="54"/>
      <c r="AA344" s="54"/>
      <c r="AB344" s="54"/>
      <c r="AC344" s="54"/>
      <c r="AF344" s="54"/>
      <c r="AG344" s="54"/>
      <c r="AH344" s="54"/>
    </row>
    <row r="345" spans="17:34" x14ac:dyDescent="0.2">
      <c r="Q345" s="54"/>
      <c r="R345" s="54"/>
      <c r="S345" s="54"/>
      <c r="V345" s="54"/>
      <c r="W345" s="54"/>
      <c r="X345" s="54"/>
      <c r="AA345" s="54"/>
      <c r="AB345" s="54"/>
      <c r="AC345" s="54"/>
      <c r="AF345" s="54"/>
      <c r="AG345" s="54"/>
      <c r="AH345" s="54"/>
    </row>
    <row r="346" spans="17:34" x14ac:dyDescent="0.2">
      <c r="Q346" s="54"/>
      <c r="R346" s="54"/>
      <c r="S346" s="54"/>
      <c r="V346" s="54"/>
      <c r="W346" s="54"/>
      <c r="X346" s="54"/>
      <c r="AA346" s="54"/>
      <c r="AB346" s="54"/>
      <c r="AC346" s="54"/>
      <c r="AF346" s="54"/>
      <c r="AG346" s="54"/>
      <c r="AH346" s="54"/>
    </row>
    <row r="347" spans="17:34" x14ac:dyDescent="0.2">
      <c r="Q347" s="54"/>
      <c r="R347" s="54"/>
      <c r="S347" s="54"/>
      <c r="V347" s="54"/>
      <c r="W347" s="54"/>
      <c r="X347" s="54"/>
      <c r="AA347" s="54"/>
      <c r="AB347" s="54"/>
      <c r="AC347" s="54"/>
      <c r="AF347" s="54"/>
      <c r="AG347" s="54"/>
      <c r="AH347" s="54"/>
    </row>
    <row r="348" spans="17:34" x14ac:dyDescent="0.2">
      <c r="Q348" s="54"/>
      <c r="R348" s="54"/>
      <c r="S348" s="54"/>
      <c r="V348" s="54"/>
      <c r="W348" s="54"/>
      <c r="X348" s="54"/>
      <c r="AA348" s="54"/>
      <c r="AB348" s="54"/>
      <c r="AC348" s="54"/>
      <c r="AF348" s="54"/>
      <c r="AG348" s="54"/>
      <c r="AH348" s="54"/>
    </row>
    <row r="349" spans="17:34" x14ac:dyDescent="0.2">
      <c r="Q349" s="54"/>
      <c r="R349" s="54"/>
      <c r="S349" s="54"/>
      <c r="V349" s="54"/>
      <c r="W349" s="54"/>
      <c r="X349" s="54"/>
      <c r="AA349" s="54"/>
      <c r="AB349" s="54"/>
      <c r="AC349" s="54"/>
      <c r="AF349" s="54"/>
      <c r="AG349" s="54"/>
      <c r="AH349" s="54"/>
    </row>
    <row r="350" spans="17:34" x14ac:dyDescent="0.2">
      <c r="Q350" s="54"/>
      <c r="R350" s="54"/>
      <c r="S350" s="54"/>
      <c r="V350" s="54"/>
      <c r="W350" s="54"/>
      <c r="X350" s="54"/>
      <c r="AA350" s="54"/>
      <c r="AB350" s="54"/>
      <c r="AC350" s="54"/>
      <c r="AF350" s="54"/>
      <c r="AG350" s="54"/>
      <c r="AH350" s="54"/>
    </row>
    <row r="351" spans="17:34" x14ac:dyDescent="0.2">
      <c r="Q351" s="54"/>
      <c r="R351" s="54"/>
      <c r="S351" s="54"/>
      <c r="V351" s="54"/>
      <c r="W351" s="54"/>
      <c r="X351" s="54"/>
      <c r="AA351" s="54"/>
      <c r="AB351" s="54"/>
      <c r="AC351" s="54"/>
      <c r="AF351" s="54"/>
      <c r="AG351" s="54"/>
      <c r="AH351" s="54"/>
    </row>
    <row r="352" spans="17:34" x14ac:dyDescent="0.2">
      <c r="Q352" s="54"/>
      <c r="R352" s="54"/>
      <c r="S352" s="54"/>
      <c r="V352" s="54"/>
      <c r="W352" s="54"/>
      <c r="X352" s="54"/>
      <c r="AA352" s="54"/>
      <c r="AB352" s="54"/>
      <c r="AC352" s="54"/>
      <c r="AF352" s="54"/>
      <c r="AG352" s="54"/>
      <c r="AH352" s="54"/>
    </row>
    <row r="353" spans="17:34" x14ac:dyDescent="0.2">
      <c r="Q353" s="54"/>
      <c r="R353" s="54"/>
      <c r="S353" s="54"/>
      <c r="V353" s="54"/>
      <c r="W353" s="54"/>
      <c r="X353" s="54"/>
      <c r="AA353" s="54"/>
      <c r="AB353" s="54"/>
      <c r="AC353" s="54"/>
      <c r="AF353" s="54"/>
      <c r="AG353" s="54"/>
      <c r="AH353" s="54"/>
    </row>
    <row r="354" spans="17:34" x14ac:dyDescent="0.2">
      <c r="Q354" s="54"/>
      <c r="R354" s="54"/>
      <c r="S354" s="54"/>
      <c r="V354" s="54"/>
      <c r="W354" s="54"/>
      <c r="X354" s="54"/>
      <c r="AA354" s="54"/>
      <c r="AB354" s="54"/>
      <c r="AC354" s="54"/>
      <c r="AF354" s="54"/>
      <c r="AG354" s="54"/>
      <c r="AH354" s="54"/>
    </row>
    <row r="355" spans="17:34" x14ac:dyDescent="0.2">
      <c r="Q355" s="54"/>
      <c r="R355" s="54"/>
      <c r="S355" s="54"/>
      <c r="V355" s="54"/>
      <c r="W355" s="54"/>
      <c r="X355" s="54"/>
      <c r="AA355" s="54"/>
      <c r="AB355" s="54"/>
      <c r="AC355" s="54"/>
      <c r="AF355" s="54"/>
      <c r="AG355" s="54"/>
      <c r="AH355" s="54"/>
    </row>
    <row r="356" spans="17:34" x14ac:dyDescent="0.2">
      <c r="Q356" s="54"/>
      <c r="R356" s="54"/>
      <c r="S356" s="54"/>
      <c r="V356" s="54"/>
      <c r="W356" s="54"/>
      <c r="X356" s="54"/>
      <c r="AA356" s="54"/>
      <c r="AB356" s="54"/>
      <c r="AC356" s="54"/>
      <c r="AF356" s="54"/>
      <c r="AG356" s="54"/>
      <c r="AH356" s="54"/>
    </row>
    <row r="357" spans="17:34" x14ac:dyDescent="0.2">
      <c r="Q357" s="54"/>
      <c r="R357" s="54"/>
      <c r="S357" s="54"/>
      <c r="V357" s="54"/>
      <c r="W357" s="54"/>
      <c r="X357" s="54"/>
      <c r="AA357" s="54"/>
      <c r="AB357" s="54"/>
      <c r="AC357" s="54"/>
      <c r="AF357" s="54"/>
      <c r="AG357" s="54"/>
      <c r="AH357" s="54"/>
    </row>
    <row r="358" spans="17:34" x14ac:dyDescent="0.2">
      <c r="Q358" s="54"/>
      <c r="R358" s="54"/>
      <c r="S358" s="54"/>
      <c r="V358" s="54"/>
      <c r="W358" s="54"/>
      <c r="X358" s="54"/>
      <c r="AA358" s="54"/>
      <c r="AB358" s="54"/>
      <c r="AC358" s="54"/>
      <c r="AF358" s="54"/>
      <c r="AG358" s="54"/>
      <c r="AH358" s="54"/>
    </row>
    <row r="359" spans="17:34" x14ac:dyDescent="0.2">
      <c r="Q359" s="54"/>
      <c r="R359" s="54"/>
      <c r="S359" s="54"/>
      <c r="V359" s="54"/>
      <c r="W359" s="54"/>
      <c r="X359" s="54"/>
      <c r="AA359" s="54"/>
      <c r="AB359" s="54"/>
      <c r="AC359" s="54"/>
      <c r="AF359" s="54"/>
      <c r="AG359" s="54"/>
      <c r="AH359" s="54"/>
    </row>
    <row r="360" spans="17:34" x14ac:dyDescent="0.2">
      <c r="Q360" s="54"/>
      <c r="R360" s="54"/>
      <c r="S360" s="54"/>
      <c r="V360" s="54"/>
      <c r="W360" s="54"/>
      <c r="X360" s="54"/>
      <c r="AA360" s="54"/>
      <c r="AB360" s="54"/>
      <c r="AC360" s="54"/>
      <c r="AF360" s="54"/>
      <c r="AG360" s="54"/>
      <c r="AH360" s="54"/>
    </row>
    <row r="361" spans="17:34" x14ac:dyDescent="0.2">
      <c r="Q361" s="54"/>
      <c r="R361" s="54"/>
      <c r="S361" s="54"/>
      <c r="V361" s="54"/>
      <c r="W361" s="54"/>
      <c r="X361" s="54"/>
      <c r="AA361" s="54"/>
      <c r="AB361" s="54"/>
      <c r="AC361" s="54"/>
      <c r="AF361" s="54"/>
      <c r="AG361" s="54"/>
      <c r="AH361" s="54"/>
    </row>
    <row r="362" spans="17:34" x14ac:dyDescent="0.2">
      <c r="Q362" s="54"/>
      <c r="R362" s="54"/>
      <c r="S362" s="54"/>
      <c r="V362" s="54"/>
      <c r="W362" s="54"/>
      <c r="X362" s="54"/>
      <c r="AA362" s="54"/>
      <c r="AB362" s="54"/>
      <c r="AC362" s="54"/>
      <c r="AF362" s="54"/>
      <c r="AG362" s="54"/>
      <c r="AH362" s="54"/>
    </row>
    <row r="363" spans="17:34" x14ac:dyDescent="0.2">
      <c r="Q363" s="54"/>
      <c r="R363" s="54"/>
      <c r="S363" s="54"/>
      <c r="V363" s="54"/>
      <c r="W363" s="54"/>
      <c r="X363" s="54"/>
      <c r="AA363" s="54"/>
      <c r="AB363" s="54"/>
      <c r="AC363" s="54"/>
      <c r="AF363" s="54"/>
      <c r="AG363" s="54"/>
      <c r="AH363" s="54"/>
    </row>
    <row r="364" spans="17:34" x14ac:dyDescent="0.2">
      <c r="Q364" s="54"/>
      <c r="R364" s="54"/>
      <c r="S364" s="54"/>
      <c r="V364" s="54"/>
      <c r="W364" s="54"/>
      <c r="X364" s="54"/>
      <c r="AA364" s="54"/>
      <c r="AB364" s="54"/>
      <c r="AC364" s="54"/>
      <c r="AF364" s="54"/>
      <c r="AG364" s="54"/>
      <c r="AH364" s="54"/>
    </row>
    <row r="365" spans="17:34" x14ac:dyDescent="0.2">
      <c r="Q365" s="54"/>
      <c r="R365" s="54"/>
      <c r="S365" s="54"/>
      <c r="V365" s="54"/>
      <c r="W365" s="54"/>
      <c r="X365" s="54"/>
      <c r="AA365" s="54"/>
      <c r="AB365" s="54"/>
      <c r="AC365" s="54"/>
      <c r="AF365" s="54"/>
      <c r="AG365" s="54"/>
      <c r="AH365" s="54"/>
    </row>
    <row r="366" spans="17:34" x14ac:dyDescent="0.2">
      <c r="Q366" s="54"/>
      <c r="R366" s="54"/>
      <c r="S366" s="54"/>
      <c r="V366" s="54"/>
      <c r="W366" s="54"/>
      <c r="X366" s="54"/>
      <c r="AA366" s="54"/>
      <c r="AB366" s="54"/>
      <c r="AC366" s="54"/>
      <c r="AF366" s="54"/>
      <c r="AG366" s="54"/>
      <c r="AH366" s="54"/>
    </row>
    <row r="367" spans="17:34" x14ac:dyDescent="0.2">
      <c r="Q367" s="54"/>
      <c r="R367" s="54"/>
      <c r="S367" s="54"/>
      <c r="V367" s="54"/>
      <c r="W367" s="54"/>
      <c r="X367" s="54"/>
      <c r="AA367" s="54"/>
      <c r="AB367" s="54"/>
      <c r="AC367" s="54"/>
      <c r="AF367" s="54"/>
      <c r="AG367" s="54"/>
      <c r="AH367" s="54"/>
    </row>
    <row r="368" spans="17:34" x14ac:dyDescent="0.2">
      <c r="Q368" s="54"/>
      <c r="R368" s="54"/>
      <c r="S368" s="54"/>
      <c r="V368" s="54"/>
      <c r="W368" s="54"/>
      <c r="X368" s="54"/>
      <c r="AA368" s="54"/>
      <c r="AB368" s="54"/>
      <c r="AC368" s="54"/>
      <c r="AF368" s="54"/>
      <c r="AG368" s="54"/>
      <c r="AH368" s="54"/>
    </row>
    <row r="369" spans="17:34" x14ac:dyDescent="0.2">
      <c r="Q369" s="54"/>
      <c r="R369" s="54"/>
      <c r="S369" s="54"/>
      <c r="V369" s="54"/>
      <c r="W369" s="54"/>
      <c r="X369" s="54"/>
      <c r="AA369" s="54"/>
      <c r="AB369" s="54"/>
      <c r="AC369" s="54"/>
      <c r="AF369" s="54"/>
      <c r="AG369" s="54"/>
      <c r="AH369" s="54"/>
    </row>
    <row r="370" spans="17:34" x14ac:dyDescent="0.2">
      <c r="Q370" s="54"/>
      <c r="R370" s="54"/>
      <c r="S370" s="54"/>
      <c r="V370" s="54"/>
      <c r="W370" s="54"/>
      <c r="X370" s="54"/>
      <c r="AA370" s="54"/>
      <c r="AB370" s="54"/>
      <c r="AC370" s="54"/>
      <c r="AF370" s="54"/>
      <c r="AG370" s="54"/>
      <c r="AH370" s="54"/>
    </row>
    <row r="371" spans="17:34" x14ac:dyDescent="0.2">
      <c r="Q371" s="54"/>
      <c r="R371" s="54"/>
      <c r="S371" s="54"/>
      <c r="V371" s="54"/>
      <c r="W371" s="54"/>
      <c r="X371" s="54"/>
      <c r="AA371" s="54"/>
      <c r="AB371" s="54"/>
      <c r="AC371" s="54"/>
      <c r="AF371" s="54"/>
      <c r="AG371" s="54"/>
      <c r="AH371" s="54"/>
    </row>
    <row r="372" spans="17:34" x14ac:dyDescent="0.2">
      <c r="Q372" s="54"/>
      <c r="R372" s="54"/>
      <c r="S372" s="54"/>
      <c r="V372" s="54"/>
      <c r="W372" s="54"/>
      <c r="X372" s="54"/>
      <c r="AA372" s="54"/>
      <c r="AB372" s="54"/>
      <c r="AC372" s="54"/>
      <c r="AF372" s="54"/>
      <c r="AG372" s="54"/>
      <c r="AH372" s="54"/>
    </row>
    <row r="373" spans="17:34" x14ac:dyDescent="0.2">
      <c r="Q373" s="54"/>
      <c r="R373" s="54"/>
      <c r="S373" s="54"/>
      <c r="V373" s="54"/>
      <c r="W373" s="54"/>
      <c r="X373" s="54"/>
      <c r="AA373" s="54"/>
      <c r="AB373" s="54"/>
      <c r="AC373" s="54"/>
      <c r="AF373" s="54"/>
      <c r="AG373" s="54"/>
      <c r="AH373" s="54"/>
    </row>
    <row r="374" spans="17:34" x14ac:dyDescent="0.2">
      <c r="Q374" s="54"/>
      <c r="R374" s="54"/>
      <c r="S374" s="54"/>
      <c r="V374" s="54"/>
      <c r="W374" s="54"/>
      <c r="X374" s="54"/>
      <c r="AA374" s="54"/>
      <c r="AB374" s="54"/>
      <c r="AC374" s="54"/>
      <c r="AF374" s="54"/>
      <c r="AG374" s="54"/>
      <c r="AH374" s="54"/>
    </row>
    <row r="375" spans="17:34" x14ac:dyDescent="0.2">
      <c r="Q375" s="54"/>
      <c r="R375" s="54"/>
      <c r="S375" s="54"/>
      <c r="V375" s="54"/>
      <c r="W375" s="54"/>
      <c r="X375" s="54"/>
      <c r="AA375" s="54"/>
      <c r="AB375" s="54"/>
      <c r="AC375" s="54"/>
      <c r="AF375" s="54"/>
      <c r="AG375" s="54"/>
      <c r="AH375" s="54"/>
    </row>
    <row r="376" spans="17:34" x14ac:dyDescent="0.2">
      <c r="Q376" s="54"/>
      <c r="R376" s="54"/>
      <c r="S376" s="54"/>
      <c r="V376" s="54"/>
      <c r="W376" s="54"/>
      <c r="X376" s="54"/>
      <c r="AA376" s="54"/>
      <c r="AB376" s="54"/>
      <c r="AC376" s="54"/>
      <c r="AF376" s="54"/>
      <c r="AG376" s="54"/>
      <c r="AH376" s="54"/>
    </row>
    <row r="377" spans="17:34" x14ac:dyDescent="0.2">
      <c r="Q377" s="54"/>
      <c r="R377" s="54"/>
      <c r="S377" s="54"/>
      <c r="V377" s="54"/>
      <c r="W377" s="54"/>
      <c r="X377" s="54"/>
      <c r="AA377" s="54"/>
      <c r="AB377" s="54"/>
      <c r="AC377" s="54"/>
      <c r="AF377" s="54"/>
      <c r="AG377" s="54"/>
      <c r="AH377" s="54"/>
    </row>
    <row r="378" spans="17:34" x14ac:dyDescent="0.2">
      <c r="Q378" s="54"/>
      <c r="R378" s="54"/>
      <c r="S378" s="54"/>
      <c r="V378" s="54"/>
      <c r="W378" s="54"/>
      <c r="X378" s="54"/>
      <c r="AA378" s="54"/>
      <c r="AB378" s="54"/>
      <c r="AC378" s="54"/>
      <c r="AF378" s="54"/>
      <c r="AG378" s="54"/>
      <c r="AH378" s="54"/>
    </row>
    <row r="379" spans="17:34" x14ac:dyDescent="0.2">
      <c r="Q379" s="54"/>
      <c r="R379" s="54"/>
      <c r="S379" s="54"/>
      <c r="V379" s="54"/>
      <c r="W379" s="54"/>
      <c r="X379" s="54"/>
      <c r="AA379" s="54"/>
      <c r="AB379" s="54"/>
      <c r="AC379" s="54"/>
      <c r="AF379" s="54"/>
      <c r="AG379" s="54"/>
      <c r="AH379" s="54"/>
    </row>
    <row r="380" spans="17:34" x14ac:dyDescent="0.2">
      <c r="Q380" s="54"/>
      <c r="R380" s="54"/>
      <c r="S380" s="54"/>
      <c r="V380" s="54"/>
      <c r="W380" s="54"/>
      <c r="X380" s="54"/>
      <c r="AA380" s="54"/>
      <c r="AB380" s="54"/>
      <c r="AC380" s="54"/>
      <c r="AF380" s="54"/>
      <c r="AG380" s="54"/>
      <c r="AH380" s="54"/>
    </row>
    <row r="381" spans="17:34" x14ac:dyDescent="0.2">
      <c r="Q381" s="54"/>
      <c r="R381" s="54"/>
      <c r="S381" s="54"/>
      <c r="V381" s="54"/>
      <c r="W381" s="54"/>
      <c r="X381" s="54"/>
      <c r="AA381" s="54"/>
      <c r="AB381" s="54"/>
      <c r="AC381" s="54"/>
      <c r="AF381" s="54"/>
      <c r="AG381" s="54"/>
      <c r="AH381" s="54"/>
    </row>
    <row r="382" spans="17:34" x14ac:dyDescent="0.2">
      <c r="Q382" s="54"/>
      <c r="R382" s="54"/>
      <c r="S382" s="54"/>
      <c r="V382" s="54"/>
      <c r="W382" s="54"/>
      <c r="X382" s="54"/>
      <c r="AA382" s="54"/>
      <c r="AB382" s="54"/>
      <c r="AC382" s="54"/>
      <c r="AF382" s="54"/>
      <c r="AG382" s="54"/>
      <c r="AH382" s="54"/>
    </row>
    <row r="383" spans="17:34" x14ac:dyDescent="0.2">
      <c r="Q383" s="54"/>
      <c r="R383" s="54"/>
      <c r="S383" s="54"/>
      <c r="V383" s="54"/>
      <c r="W383" s="54"/>
      <c r="X383" s="54"/>
      <c r="AA383" s="54"/>
      <c r="AB383" s="54"/>
      <c r="AC383" s="54"/>
      <c r="AF383" s="54"/>
      <c r="AG383" s="54"/>
      <c r="AH383" s="54"/>
    </row>
    <row r="384" spans="17:34" x14ac:dyDescent="0.2">
      <c r="Q384" s="54"/>
      <c r="R384" s="54"/>
      <c r="S384" s="54"/>
      <c r="V384" s="54"/>
      <c r="W384" s="54"/>
      <c r="X384" s="54"/>
      <c r="AA384" s="54"/>
      <c r="AB384" s="54"/>
      <c r="AC384" s="54"/>
      <c r="AF384" s="54"/>
      <c r="AG384" s="54"/>
      <c r="AH384" s="54"/>
    </row>
    <row r="385" spans="17:34" x14ac:dyDescent="0.2">
      <c r="Q385" s="54"/>
      <c r="R385" s="54"/>
      <c r="S385" s="54"/>
      <c r="V385" s="54"/>
      <c r="W385" s="54"/>
      <c r="X385" s="54"/>
      <c r="AA385" s="54"/>
      <c r="AB385" s="54"/>
      <c r="AC385" s="54"/>
      <c r="AF385" s="54"/>
      <c r="AG385" s="54"/>
      <c r="AH385" s="54"/>
    </row>
    <row r="386" spans="17:34" x14ac:dyDescent="0.2">
      <c r="Q386" s="54"/>
      <c r="R386" s="54"/>
      <c r="S386" s="54"/>
      <c r="V386" s="54"/>
      <c r="W386" s="54"/>
      <c r="X386" s="54"/>
      <c r="AA386" s="54"/>
      <c r="AB386" s="54"/>
      <c r="AC386" s="54"/>
      <c r="AF386" s="54"/>
      <c r="AG386" s="54"/>
      <c r="AH386" s="54"/>
    </row>
    <row r="387" spans="17:34" x14ac:dyDescent="0.2">
      <c r="Q387" s="54"/>
      <c r="R387" s="54"/>
      <c r="S387" s="54"/>
      <c r="V387" s="54"/>
      <c r="W387" s="54"/>
      <c r="X387" s="54"/>
      <c r="AA387" s="54"/>
      <c r="AB387" s="54"/>
      <c r="AC387" s="54"/>
      <c r="AF387" s="54"/>
      <c r="AG387" s="54"/>
      <c r="AH387" s="54"/>
    </row>
    <row r="388" spans="17:34" x14ac:dyDescent="0.2">
      <c r="Q388" s="54"/>
      <c r="R388" s="54"/>
      <c r="S388" s="54"/>
      <c r="V388" s="54"/>
      <c r="W388" s="54"/>
      <c r="X388" s="54"/>
      <c r="AA388" s="54"/>
      <c r="AB388" s="54"/>
      <c r="AC388" s="54"/>
      <c r="AF388" s="54"/>
      <c r="AG388" s="54"/>
      <c r="AH388" s="54"/>
    </row>
    <row r="389" spans="17:34" x14ac:dyDescent="0.2">
      <c r="Q389" s="54"/>
      <c r="R389" s="54"/>
      <c r="S389" s="54"/>
      <c r="V389" s="54"/>
      <c r="W389" s="54"/>
      <c r="X389" s="54"/>
      <c r="AA389" s="54"/>
      <c r="AB389" s="54"/>
      <c r="AC389" s="54"/>
      <c r="AF389" s="54"/>
      <c r="AG389" s="54"/>
      <c r="AH389" s="54"/>
    </row>
    <row r="390" spans="17:34" x14ac:dyDescent="0.2">
      <c r="Q390" s="54"/>
      <c r="R390" s="54"/>
      <c r="S390" s="54"/>
      <c r="V390" s="54"/>
      <c r="W390" s="54"/>
      <c r="X390" s="54"/>
      <c r="AA390" s="54"/>
      <c r="AB390" s="54"/>
      <c r="AC390" s="54"/>
      <c r="AF390" s="54"/>
      <c r="AG390" s="54"/>
      <c r="AH390" s="54"/>
    </row>
    <row r="391" spans="17:34" x14ac:dyDescent="0.2">
      <c r="Q391" s="54"/>
      <c r="R391" s="54"/>
      <c r="S391" s="54"/>
      <c r="V391" s="54"/>
      <c r="W391" s="54"/>
      <c r="X391" s="54"/>
      <c r="AA391" s="54"/>
      <c r="AB391" s="54"/>
      <c r="AC391" s="54"/>
      <c r="AF391" s="54"/>
      <c r="AG391" s="54"/>
      <c r="AH391" s="54"/>
    </row>
    <row r="392" spans="17:34" x14ac:dyDescent="0.2">
      <c r="Q392" s="54"/>
      <c r="R392" s="54"/>
      <c r="S392" s="54"/>
      <c r="V392" s="54"/>
      <c r="W392" s="54"/>
      <c r="X392" s="54"/>
      <c r="AA392" s="54"/>
      <c r="AB392" s="54"/>
      <c r="AC392" s="54"/>
      <c r="AF392" s="54"/>
      <c r="AG392" s="54"/>
      <c r="AH392" s="54"/>
    </row>
    <row r="393" spans="17:34" x14ac:dyDescent="0.2">
      <c r="Q393" s="54"/>
      <c r="R393" s="54"/>
      <c r="S393" s="54"/>
      <c r="V393" s="54"/>
      <c r="W393" s="54"/>
      <c r="X393" s="54"/>
      <c r="AA393" s="54"/>
      <c r="AB393" s="54"/>
      <c r="AC393" s="54"/>
      <c r="AF393" s="54"/>
      <c r="AG393" s="54"/>
      <c r="AH393" s="54"/>
    </row>
    <row r="394" spans="17:34" x14ac:dyDescent="0.2">
      <c r="Q394" s="54"/>
      <c r="R394" s="54"/>
      <c r="S394" s="54"/>
      <c r="V394" s="54"/>
      <c r="W394" s="54"/>
      <c r="X394" s="54"/>
      <c r="AA394" s="54"/>
      <c r="AB394" s="54"/>
      <c r="AC394" s="54"/>
      <c r="AF394" s="54"/>
      <c r="AG394" s="54"/>
      <c r="AH394" s="54"/>
    </row>
    <row r="395" spans="17:34" x14ac:dyDescent="0.2">
      <c r="Q395" s="54"/>
      <c r="R395" s="54"/>
      <c r="S395" s="54"/>
      <c r="V395" s="54"/>
      <c r="W395" s="54"/>
      <c r="X395" s="54"/>
      <c r="AA395" s="54"/>
      <c r="AB395" s="54"/>
      <c r="AC395" s="54"/>
      <c r="AF395" s="54"/>
      <c r="AG395" s="54"/>
      <c r="AH395" s="54"/>
    </row>
    <row r="396" spans="17:34" x14ac:dyDescent="0.2">
      <c r="Q396" s="54"/>
      <c r="R396" s="54"/>
      <c r="S396" s="54"/>
      <c r="V396" s="54"/>
      <c r="W396" s="54"/>
      <c r="X396" s="54"/>
      <c r="AA396" s="54"/>
      <c r="AB396" s="54"/>
      <c r="AC396" s="54"/>
      <c r="AF396" s="54"/>
      <c r="AG396" s="54"/>
      <c r="AH396" s="54"/>
    </row>
    <row r="397" spans="17:34" x14ac:dyDescent="0.2">
      <c r="Q397" s="54"/>
      <c r="R397" s="54"/>
      <c r="S397" s="54"/>
      <c r="V397" s="54"/>
      <c r="W397" s="54"/>
      <c r="X397" s="54"/>
      <c r="AA397" s="54"/>
      <c r="AB397" s="54"/>
      <c r="AC397" s="54"/>
      <c r="AF397" s="54"/>
      <c r="AG397" s="54"/>
      <c r="AH397" s="54"/>
    </row>
    <row r="398" spans="17:34" x14ac:dyDescent="0.2">
      <c r="Q398" s="54"/>
      <c r="R398" s="54"/>
      <c r="S398" s="54"/>
      <c r="V398" s="54"/>
      <c r="W398" s="54"/>
      <c r="X398" s="54"/>
      <c r="AA398" s="54"/>
      <c r="AB398" s="54"/>
      <c r="AC398" s="54"/>
      <c r="AF398" s="54"/>
      <c r="AG398" s="54"/>
      <c r="AH398" s="54"/>
    </row>
    <row r="399" spans="17:34" x14ac:dyDescent="0.2">
      <c r="Q399" s="54"/>
      <c r="R399" s="54"/>
      <c r="S399" s="54"/>
      <c r="V399" s="54"/>
      <c r="W399" s="54"/>
      <c r="X399" s="54"/>
      <c r="AA399" s="54"/>
      <c r="AB399" s="54"/>
      <c r="AC399" s="54"/>
      <c r="AF399" s="54"/>
      <c r="AG399" s="54"/>
      <c r="AH399" s="54"/>
    </row>
    <row r="400" spans="17:34" x14ac:dyDescent="0.2">
      <c r="Q400" s="54"/>
      <c r="R400" s="54"/>
      <c r="S400" s="54"/>
      <c r="V400" s="54"/>
      <c r="W400" s="54"/>
      <c r="X400" s="54"/>
      <c r="AA400" s="54"/>
      <c r="AB400" s="54"/>
      <c r="AC400" s="54"/>
      <c r="AF400" s="54"/>
      <c r="AG400" s="54"/>
      <c r="AH400" s="54"/>
    </row>
    <row r="401" spans="17:34" x14ac:dyDescent="0.2">
      <c r="Q401" s="54"/>
      <c r="R401" s="54"/>
      <c r="S401" s="54"/>
      <c r="V401" s="54"/>
      <c r="W401" s="54"/>
      <c r="X401" s="54"/>
      <c r="AA401" s="54"/>
      <c r="AB401" s="54"/>
      <c r="AC401" s="54"/>
      <c r="AF401" s="54"/>
      <c r="AG401" s="54"/>
      <c r="AH401" s="54"/>
    </row>
    <row r="402" spans="17:34" x14ac:dyDescent="0.2">
      <c r="Q402" s="54"/>
      <c r="R402" s="54"/>
      <c r="S402" s="54"/>
      <c r="V402" s="54"/>
      <c r="W402" s="54"/>
      <c r="X402" s="54"/>
      <c r="AA402" s="54"/>
      <c r="AB402" s="54"/>
      <c r="AC402" s="54"/>
      <c r="AF402" s="54"/>
      <c r="AG402" s="54"/>
      <c r="AH402" s="54"/>
    </row>
    <row r="403" spans="17:34" x14ac:dyDescent="0.2">
      <c r="Q403" s="54"/>
      <c r="R403" s="54"/>
      <c r="S403" s="54"/>
      <c r="V403" s="54"/>
      <c r="W403" s="54"/>
      <c r="X403" s="54"/>
      <c r="AA403" s="54"/>
      <c r="AB403" s="54"/>
      <c r="AC403" s="54"/>
      <c r="AF403" s="54"/>
      <c r="AG403" s="54"/>
      <c r="AH403" s="54"/>
    </row>
    <row r="404" spans="17:34" x14ac:dyDescent="0.2">
      <c r="Q404" s="54"/>
      <c r="R404" s="54"/>
      <c r="S404" s="54"/>
      <c r="V404" s="54"/>
      <c r="W404" s="54"/>
      <c r="X404" s="54"/>
      <c r="AA404" s="54"/>
      <c r="AB404" s="54"/>
      <c r="AC404" s="54"/>
      <c r="AF404" s="54"/>
      <c r="AG404" s="54"/>
      <c r="AH404" s="54"/>
    </row>
    <row r="405" spans="17:34" x14ac:dyDescent="0.2">
      <c r="Q405" s="54"/>
      <c r="R405" s="54"/>
      <c r="S405" s="54"/>
      <c r="V405" s="54"/>
      <c r="W405" s="54"/>
      <c r="X405" s="54"/>
      <c r="AA405" s="54"/>
      <c r="AB405" s="54"/>
      <c r="AC405" s="54"/>
      <c r="AF405" s="54"/>
      <c r="AG405" s="54"/>
      <c r="AH405" s="54"/>
    </row>
    <row r="406" spans="17:34" x14ac:dyDescent="0.2">
      <c r="Q406" s="54"/>
      <c r="R406" s="54"/>
      <c r="S406" s="54"/>
      <c r="V406" s="54"/>
      <c r="W406" s="54"/>
      <c r="X406" s="54"/>
      <c r="AA406" s="54"/>
      <c r="AB406" s="54"/>
      <c r="AC406" s="54"/>
      <c r="AF406" s="54"/>
      <c r="AG406" s="54"/>
      <c r="AH406" s="54"/>
    </row>
    <row r="407" spans="17:34" x14ac:dyDescent="0.2">
      <c r="Q407" s="54"/>
      <c r="R407" s="54"/>
      <c r="S407" s="54"/>
      <c r="V407" s="54"/>
      <c r="W407" s="54"/>
      <c r="X407" s="54"/>
      <c r="AA407" s="54"/>
      <c r="AB407" s="54"/>
      <c r="AC407" s="54"/>
      <c r="AF407" s="54"/>
      <c r="AG407" s="54"/>
      <c r="AH407" s="54"/>
    </row>
    <row r="408" spans="17:34" x14ac:dyDescent="0.2">
      <c r="Q408" s="54"/>
      <c r="R408" s="54"/>
      <c r="S408" s="54"/>
      <c r="V408" s="54"/>
      <c r="W408" s="54"/>
      <c r="X408" s="54"/>
      <c r="AA408" s="54"/>
      <c r="AB408" s="54"/>
      <c r="AC408" s="54"/>
      <c r="AF408" s="54"/>
      <c r="AG408" s="54"/>
      <c r="AH408" s="54"/>
    </row>
    <row r="409" spans="17:34" x14ac:dyDescent="0.2">
      <c r="Q409" s="54"/>
      <c r="R409" s="54"/>
      <c r="S409" s="54"/>
      <c r="V409" s="54"/>
      <c r="W409" s="54"/>
      <c r="X409" s="54"/>
      <c r="AA409" s="54"/>
      <c r="AB409" s="54"/>
      <c r="AC409" s="54"/>
      <c r="AF409" s="54"/>
      <c r="AG409" s="54"/>
      <c r="AH409" s="54"/>
    </row>
    <row r="410" spans="17:34" x14ac:dyDescent="0.2">
      <c r="Q410" s="54"/>
      <c r="R410" s="54"/>
      <c r="S410" s="54"/>
      <c r="V410" s="54"/>
      <c r="W410" s="54"/>
      <c r="X410" s="54"/>
      <c r="AA410" s="54"/>
      <c r="AB410" s="54"/>
      <c r="AC410" s="54"/>
      <c r="AF410" s="54"/>
      <c r="AG410" s="54"/>
      <c r="AH410" s="54"/>
    </row>
    <row r="411" spans="17:34" x14ac:dyDescent="0.2">
      <c r="Q411" s="54"/>
      <c r="R411" s="54"/>
      <c r="S411" s="54"/>
      <c r="V411" s="54"/>
      <c r="W411" s="54"/>
      <c r="X411" s="54"/>
      <c r="AA411" s="54"/>
      <c r="AB411" s="54"/>
      <c r="AC411" s="54"/>
      <c r="AF411" s="54"/>
      <c r="AG411" s="54"/>
      <c r="AH411" s="54"/>
    </row>
    <row r="412" spans="17:34" x14ac:dyDescent="0.2">
      <c r="Q412" s="54"/>
      <c r="R412" s="54"/>
      <c r="S412" s="54"/>
      <c r="V412" s="54"/>
      <c r="W412" s="54"/>
      <c r="X412" s="54"/>
      <c r="AA412" s="54"/>
      <c r="AB412" s="54"/>
      <c r="AC412" s="54"/>
      <c r="AF412" s="54"/>
      <c r="AG412" s="54"/>
      <c r="AH412" s="54"/>
    </row>
    <row r="413" spans="17:34" x14ac:dyDescent="0.2">
      <c r="Q413" s="54"/>
      <c r="R413" s="54"/>
      <c r="S413" s="54"/>
      <c r="V413" s="54"/>
      <c r="W413" s="54"/>
      <c r="X413" s="54"/>
      <c r="AA413" s="54"/>
      <c r="AB413" s="54"/>
      <c r="AC413" s="54"/>
      <c r="AF413" s="54"/>
      <c r="AG413" s="54"/>
      <c r="AH413" s="54"/>
    </row>
    <row r="414" spans="17:34" x14ac:dyDescent="0.2">
      <c r="Q414" s="54"/>
      <c r="R414" s="54"/>
      <c r="S414" s="54"/>
      <c r="V414" s="54"/>
      <c r="W414" s="54"/>
      <c r="X414" s="54"/>
      <c r="AA414" s="54"/>
      <c r="AB414" s="54"/>
      <c r="AC414" s="54"/>
      <c r="AF414" s="54"/>
      <c r="AG414" s="54"/>
      <c r="AH414" s="54"/>
    </row>
    <row r="415" spans="17:34" x14ac:dyDescent="0.2">
      <c r="Q415" s="54"/>
      <c r="R415" s="54"/>
      <c r="S415" s="54"/>
      <c r="V415" s="54"/>
      <c r="W415" s="54"/>
      <c r="X415" s="54"/>
      <c r="AA415" s="54"/>
      <c r="AB415" s="54"/>
      <c r="AC415" s="54"/>
      <c r="AF415" s="54"/>
      <c r="AG415" s="54"/>
      <c r="AH415" s="54"/>
    </row>
    <row r="416" spans="17:34" x14ac:dyDescent="0.2">
      <c r="Q416" s="54"/>
      <c r="R416" s="54"/>
      <c r="S416" s="54"/>
      <c r="V416" s="54"/>
      <c r="W416" s="54"/>
      <c r="X416" s="54"/>
      <c r="AA416" s="54"/>
      <c r="AB416" s="54"/>
      <c r="AC416" s="54"/>
      <c r="AF416" s="54"/>
      <c r="AG416" s="54"/>
      <c r="AH416" s="54"/>
    </row>
    <row r="417" spans="17:34" x14ac:dyDescent="0.2">
      <c r="Q417" s="54"/>
      <c r="R417" s="54"/>
      <c r="S417" s="54"/>
      <c r="V417" s="54"/>
      <c r="W417" s="54"/>
      <c r="X417" s="54"/>
      <c r="AA417" s="54"/>
      <c r="AB417" s="54"/>
      <c r="AC417" s="54"/>
      <c r="AF417" s="54"/>
      <c r="AG417" s="54"/>
      <c r="AH417" s="54"/>
    </row>
    <row r="418" spans="17:34" x14ac:dyDescent="0.2">
      <c r="Q418" s="54"/>
      <c r="R418" s="54"/>
      <c r="S418" s="54"/>
      <c r="V418" s="54"/>
      <c r="W418" s="54"/>
      <c r="X418" s="54"/>
      <c r="AA418" s="54"/>
      <c r="AB418" s="54"/>
      <c r="AC418" s="54"/>
      <c r="AF418" s="54"/>
      <c r="AG418" s="54"/>
      <c r="AH418" s="54"/>
    </row>
    <row r="419" spans="17:34" x14ac:dyDescent="0.2">
      <c r="Q419" s="54"/>
      <c r="R419" s="54"/>
      <c r="S419" s="54"/>
      <c r="V419" s="54"/>
      <c r="W419" s="54"/>
      <c r="X419" s="54"/>
      <c r="AA419" s="54"/>
      <c r="AB419" s="54"/>
      <c r="AC419" s="54"/>
      <c r="AF419" s="54"/>
      <c r="AG419" s="54"/>
      <c r="AH419" s="54"/>
    </row>
    <row r="420" spans="17:34" x14ac:dyDescent="0.2">
      <c r="Q420" s="54"/>
      <c r="R420" s="54"/>
      <c r="S420" s="54"/>
      <c r="V420" s="54"/>
      <c r="W420" s="54"/>
      <c r="X420" s="54"/>
      <c r="AA420" s="54"/>
      <c r="AB420" s="54"/>
      <c r="AC420" s="54"/>
      <c r="AF420" s="54"/>
      <c r="AG420" s="54"/>
      <c r="AH420" s="54"/>
    </row>
    <row r="421" spans="17:34" x14ac:dyDescent="0.2">
      <c r="Q421" s="54"/>
      <c r="R421" s="54"/>
      <c r="S421" s="54"/>
      <c r="V421" s="54"/>
      <c r="W421" s="54"/>
      <c r="X421" s="54"/>
      <c r="AA421" s="54"/>
      <c r="AB421" s="54"/>
      <c r="AC421" s="54"/>
      <c r="AF421" s="54"/>
      <c r="AG421" s="54"/>
      <c r="AH421" s="54"/>
    </row>
    <row r="422" spans="17:34" x14ac:dyDescent="0.2">
      <c r="Q422" s="54"/>
      <c r="R422" s="54"/>
      <c r="S422" s="54"/>
      <c r="V422" s="54"/>
      <c r="W422" s="54"/>
      <c r="X422" s="54"/>
      <c r="AA422" s="54"/>
      <c r="AB422" s="54"/>
      <c r="AC422" s="54"/>
      <c r="AF422" s="54"/>
      <c r="AG422" s="54"/>
      <c r="AH422" s="54"/>
    </row>
    <row r="423" spans="17:34" x14ac:dyDescent="0.2">
      <c r="Q423" s="54"/>
      <c r="R423" s="54"/>
      <c r="S423" s="54"/>
      <c r="V423" s="54"/>
      <c r="W423" s="54"/>
      <c r="X423" s="54"/>
      <c r="AA423" s="54"/>
      <c r="AB423" s="54"/>
      <c r="AC423" s="54"/>
      <c r="AF423" s="54"/>
      <c r="AG423" s="54"/>
      <c r="AH423" s="54"/>
    </row>
    <row r="424" spans="17:34" x14ac:dyDescent="0.2">
      <c r="Q424" s="54"/>
      <c r="R424" s="54"/>
      <c r="S424" s="54"/>
      <c r="V424" s="54"/>
      <c r="W424" s="54"/>
      <c r="X424" s="54"/>
      <c r="AA424" s="54"/>
      <c r="AB424" s="54"/>
      <c r="AC424" s="54"/>
      <c r="AF424" s="54"/>
      <c r="AG424" s="54"/>
      <c r="AH424" s="54"/>
    </row>
    <row r="425" spans="17:34" x14ac:dyDescent="0.2">
      <c r="Q425" s="54"/>
      <c r="R425" s="54"/>
      <c r="S425" s="54"/>
      <c r="V425" s="54"/>
      <c r="W425" s="54"/>
      <c r="X425" s="54"/>
      <c r="AA425" s="54"/>
      <c r="AB425" s="54"/>
      <c r="AC425" s="54"/>
      <c r="AF425" s="54"/>
      <c r="AG425" s="54"/>
      <c r="AH425" s="54"/>
    </row>
    <row r="426" spans="17:34" x14ac:dyDescent="0.2">
      <c r="Q426" s="54"/>
      <c r="R426" s="54"/>
      <c r="S426" s="54"/>
      <c r="V426" s="54"/>
      <c r="W426" s="54"/>
      <c r="X426" s="54"/>
      <c r="AA426" s="54"/>
      <c r="AB426" s="54"/>
      <c r="AC426" s="54"/>
      <c r="AF426" s="54"/>
      <c r="AG426" s="54"/>
      <c r="AH426" s="54"/>
    </row>
    <row r="427" spans="17:34" x14ac:dyDescent="0.2">
      <c r="Q427" s="54"/>
      <c r="R427" s="54"/>
      <c r="S427" s="54"/>
      <c r="V427" s="54"/>
      <c r="W427" s="54"/>
      <c r="X427" s="54"/>
      <c r="AA427" s="54"/>
      <c r="AB427" s="54"/>
      <c r="AC427" s="54"/>
      <c r="AF427" s="54"/>
      <c r="AG427" s="54"/>
      <c r="AH427" s="54"/>
    </row>
    <row r="428" spans="17:34" x14ac:dyDescent="0.2">
      <c r="Q428" s="54"/>
      <c r="R428" s="54"/>
      <c r="S428" s="54"/>
      <c r="V428" s="54"/>
      <c r="W428" s="54"/>
      <c r="X428" s="54"/>
      <c r="AA428" s="54"/>
      <c r="AB428" s="54"/>
      <c r="AC428" s="54"/>
      <c r="AF428" s="54"/>
      <c r="AG428" s="54"/>
      <c r="AH428" s="54"/>
    </row>
    <row r="429" spans="17:34" x14ac:dyDescent="0.2">
      <c r="Q429" s="54"/>
      <c r="R429" s="54"/>
      <c r="S429" s="54"/>
      <c r="V429" s="54"/>
      <c r="W429" s="54"/>
      <c r="X429" s="54"/>
      <c r="AA429" s="54"/>
      <c r="AB429" s="54"/>
      <c r="AC429" s="54"/>
      <c r="AF429" s="54"/>
      <c r="AG429" s="54"/>
      <c r="AH429" s="54"/>
    </row>
    <row r="430" spans="17:34" x14ac:dyDescent="0.2">
      <c r="Q430" s="54"/>
      <c r="R430" s="54"/>
      <c r="S430" s="54"/>
      <c r="V430" s="54"/>
      <c r="W430" s="54"/>
      <c r="X430" s="54"/>
      <c r="AA430" s="54"/>
      <c r="AB430" s="54"/>
      <c r="AC430" s="54"/>
      <c r="AF430" s="54"/>
      <c r="AG430" s="54"/>
      <c r="AH430" s="54"/>
    </row>
    <row r="431" spans="17:34" x14ac:dyDescent="0.2">
      <c r="Q431" s="54"/>
      <c r="R431" s="54"/>
      <c r="S431" s="54"/>
      <c r="V431" s="54"/>
      <c r="W431" s="54"/>
      <c r="X431" s="54"/>
      <c r="AA431" s="54"/>
      <c r="AB431" s="54"/>
      <c r="AC431" s="54"/>
      <c r="AF431" s="54"/>
      <c r="AG431" s="54"/>
      <c r="AH431" s="54"/>
    </row>
    <row r="432" spans="17:34" x14ac:dyDescent="0.2">
      <c r="Q432" s="54"/>
      <c r="R432" s="54"/>
      <c r="S432" s="54"/>
      <c r="V432" s="54"/>
      <c r="W432" s="54"/>
      <c r="X432" s="54"/>
      <c r="AA432" s="54"/>
      <c r="AB432" s="54"/>
      <c r="AC432" s="54"/>
      <c r="AF432" s="54"/>
      <c r="AG432" s="54"/>
      <c r="AH432" s="54"/>
    </row>
    <row r="433" spans="17:34" x14ac:dyDescent="0.2">
      <c r="Q433" s="54"/>
      <c r="R433" s="54"/>
      <c r="S433" s="54"/>
      <c r="V433" s="54"/>
      <c r="W433" s="54"/>
      <c r="X433" s="54"/>
      <c r="AA433" s="54"/>
      <c r="AB433" s="54"/>
      <c r="AC433" s="54"/>
      <c r="AF433" s="54"/>
      <c r="AG433" s="54"/>
      <c r="AH433" s="54"/>
    </row>
    <row r="434" spans="17:34" x14ac:dyDescent="0.2">
      <c r="Q434" s="54"/>
      <c r="R434" s="54"/>
      <c r="S434" s="54"/>
      <c r="V434" s="54"/>
      <c r="W434" s="54"/>
      <c r="X434" s="54"/>
      <c r="AA434" s="54"/>
      <c r="AB434" s="54"/>
      <c r="AC434" s="54"/>
      <c r="AF434" s="54"/>
      <c r="AG434" s="54"/>
      <c r="AH434" s="54"/>
    </row>
    <row r="435" spans="17:34" x14ac:dyDescent="0.2">
      <c r="Q435" s="54"/>
      <c r="R435" s="54"/>
      <c r="S435" s="54"/>
      <c r="V435" s="54"/>
      <c r="W435" s="54"/>
      <c r="X435" s="54"/>
      <c r="AA435" s="54"/>
      <c r="AB435" s="54"/>
      <c r="AC435" s="54"/>
      <c r="AF435" s="54"/>
      <c r="AG435" s="54"/>
      <c r="AH435" s="54"/>
    </row>
    <row r="436" spans="17:34" x14ac:dyDescent="0.2">
      <c r="Q436" s="54"/>
      <c r="R436" s="54"/>
      <c r="S436" s="54"/>
      <c r="V436" s="54"/>
      <c r="W436" s="54"/>
      <c r="X436" s="54"/>
      <c r="AA436" s="54"/>
      <c r="AB436" s="54"/>
      <c r="AC436" s="54"/>
      <c r="AF436" s="54"/>
      <c r="AG436" s="54"/>
      <c r="AH436" s="54"/>
    </row>
    <row r="437" spans="17:34" x14ac:dyDescent="0.2">
      <c r="Q437" s="54"/>
      <c r="R437" s="54"/>
      <c r="S437" s="54"/>
      <c r="V437" s="54"/>
      <c r="W437" s="54"/>
      <c r="X437" s="54"/>
      <c r="AA437" s="54"/>
      <c r="AB437" s="54"/>
      <c r="AC437" s="54"/>
      <c r="AF437" s="54"/>
      <c r="AG437" s="54"/>
      <c r="AH437" s="54"/>
    </row>
    <row r="438" spans="17:34" x14ac:dyDescent="0.2">
      <c r="Q438" s="54"/>
      <c r="R438" s="54"/>
      <c r="S438" s="54"/>
      <c r="V438" s="54"/>
      <c r="W438" s="54"/>
      <c r="X438" s="54"/>
      <c r="AA438" s="54"/>
      <c r="AB438" s="54"/>
      <c r="AC438" s="54"/>
      <c r="AF438" s="54"/>
      <c r="AG438" s="54"/>
      <c r="AH438" s="54"/>
    </row>
    <row r="439" spans="17:34" x14ac:dyDescent="0.2">
      <c r="Q439" s="54"/>
      <c r="R439" s="54"/>
      <c r="S439" s="54"/>
      <c r="V439" s="54"/>
      <c r="W439" s="54"/>
      <c r="X439" s="54"/>
      <c r="AA439" s="54"/>
      <c r="AB439" s="54"/>
      <c r="AC439" s="54"/>
      <c r="AF439" s="54"/>
      <c r="AG439" s="54"/>
      <c r="AH439" s="54"/>
    </row>
    <row r="440" spans="17:34" x14ac:dyDescent="0.2">
      <c r="Q440" s="54"/>
      <c r="R440" s="54"/>
      <c r="S440" s="54"/>
      <c r="V440" s="54"/>
      <c r="W440" s="54"/>
      <c r="X440" s="54"/>
      <c r="AA440" s="54"/>
      <c r="AB440" s="54"/>
      <c r="AC440" s="54"/>
      <c r="AF440" s="54"/>
      <c r="AG440" s="54"/>
      <c r="AH440" s="54"/>
    </row>
    <row r="441" spans="17:34" x14ac:dyDescent="0.2">
      <c r="Q441" s="54"/>
      <c r="R441" s="54"/>
      <c r="S441" s="54"/>
      <c r="V441" s="54"/>
      <c r="W441" s="54"/>
      <c r="X441" s="54"/>
      <c r="AA441" s="54"/>
      <c r="AB441" s="54"/>
      <c r="AC441" s="54"/>
      <c r="AF441" s="54"/>
      <c r="AG441" s="54"/>
      <c r="AH441" s="54"/>
    </row>
    <row r="442" spans="17:34" x14ac:dyDescent="0.2">
      <c r="Q442" s="54"/>
      <c r="R442" s="54"/>
      <c r="S442" s="54"/>
      <c r="V442" s="54"/>
      <c r="W442" s="54"/>
      <c r="X442" s="54"/>
      <c r="AA442" s="54"/>
      <c r="AB442" s="54"/>
      <c r="AC442" s="54"/>
      <c r="AF442" s="54"/>
      <c r="AG442" s="54"/>
      <c r="AH442" s="54"/>
    </row>
    <row r="443" spans="17:34" x14ac:dyDescent="0.2">
      <c r="Q443" s="54"/>
      <c r="R443" s="54"/>
      <c r="S443" s="54"/>
      <c r="V443" s="54"/>
      <c r="W443" s="54"/>
      <c r="X443" s="54"/>
      <c r="AA443" s="54"/>
      <c r="AB443" s="54"/>
      <c r="AC443" s="54"/>
      <c r="AF443" s="54"/>
      <c r="AG443" s="54"/>
      <c r="AH443" s="54"/>
    </row>
    <row r="444" spans="17:34" x14ac:dyDescent="0.2">
      <c r="Q444" s="54"/>
      <c r="R444" s="54"/>
      <c r="S444" s="54"/>
      <c r="V444" s="54"/>
      <c r="W444" s="54"/>
      <c r="X444" s="54"/>
      <c r="AA444" s="54"/>
      <c r="AB444" s="54"/>
      <c r="AC444" s="54"/>
      <c r="AF444" s="54"/>
      <c r="AG444" s="54"/>
      <c r="AH444" s="54"/>
    </row>
    <row r="445" spans="17:34" x14ac:dyDescent="0.2">
      <c r="Q445" s="54"/>
      <c r="R445" s="54"/>
      <c r="S445" s="54"/>
      <c r="V445" s="54"/>
      <c r="W445" s="54"/>
      <c r="X445" s="54"/>
      <c r="AA445" s="54"/>
      <c r="AB445" s="54"/>
      <c r="AC445" s="54"/>
      <c r="AF445" s="54"/>
      <c r="AG445" s="54"/>
      <c r="AH445" s="54"/>
    </row>
    <row r="446" spans="17:34" x14ac:dyDescent="0.2">
      <c r="Q446" s="54"/>
      <c r="R446" s="54"/>
      <c r="S446" s="54"/>
      <c r="V446" s="54"/>
      <c r="W446" s="54"/>
      <c r="X446" s="54"/>
      <c r="AA446" s="54"/>
      <c r="AB446" s="54"/>
      <c r="AC446" s="54"/>
      <c r="AF446" s="54"/>
      <c r="AG446" s="54"/>
      <c r="AH446" s="54"/>
    </row>
    <row r="447" spans="17:34" x14ac:dyDescent="0.2">
      <c r="Q447" s="54"/>
      <c r="R447" s="54"/>
      <c r="S447" s="54"/>
      <c r="V447" s="54"/>
      <c r="W447" s="54"/>
      <c r="X447" s="54"/>
      <c r="AA447" s="54"/>
      <c r="AB447" s="54"/>
      <c r="AC447" s="54"/>
      <c r="AF447" s="54"/>
      <c r="AG447" s="54"/>
      <c r="AH447" s="54"/>
    </row>
    <row r="448" spans="17:34" x14ac:dyDescent="0.2">
      <c r="Q448" s="54"/>
      <c r="R448" s="54"/>
      <c r="S448" s="54"/>
      <c r="V448" s="54"/>
      <c r="W448" s="54"/>
      <c r="X448" s="54"/>
      <c r="AA448" s="54"/>
      <c r="AB448" s="54"/>
      <c r="AC448" s="54"/>
      <c r="AF448" s="54"/>
      <c r="AG448" s="54"/>
      <c r="AH448" s="54"/>
    </row>
    <row r="449" spans="17:34" x14ac:dyDescent="0.2">
      <c r="Q449" s="54"/>
      <c r="R449" s="54"/>
      <c r="S449" s="54"/>
      <c r="V449" s="54"/>
      <c r="W449" s="54"/>
      <c r="X449" s="54"/>
      <c r="AA449" s="54"/>
      <c r="AB449" s="54"/>
      <c r="AC449" s="54"/>
      <c r="AF449" s="54"/>
      <c r="AG449" s="54"/>
      <c r="AH449" s="54"/>
    </row>
    <row r="450" spans="17:34" x14ac:dyDescent="0.2">
      <c r="Q450" s="54"/>
      <c r="R450" s="54"/>
      <c r="S450" s="54"/>
      <c r="V450" s="54"/>
      <c r="W450" s="54"/>
      <c r="X450" s="54"/>
      <c r="AA450" s="54"/>
      <c r="AB450" s="54"/>
      <c r="AC450" s="54"/>
      <c r="AF450" s="54"/>
      <c r="AG450" s="54"/>
      <c r="AH450" s="54"/>
    </row>
    <row r="451" spans="17:34" x14ac:dyDescent="0.2">
      <c r="Q451" s="54"/>
      <c r="R451" s="54"/>
      <c r="S451" s="54"/>
      <c r="V451" s="54"/>
      <c r="W451" s="54"/>
      <c r="X451" s="54"/>
      <c r="AA451" s="54"/>
      <c r="AB451" s="54"/>
      <c r="AC451" s="54"/>
      <c r="AF451" s="54"/>
      <c r="AG451" s="54"/>
      <c r="AH451" s="54"/>
    </row>
    <row r="452" spans="17:34" x14ac:dyDescent="0.2">
      <c r="Q452" s="54"/>
      <c r="R452" s="54"/>
      <c r="S452" s="54"/>
      <c r="V452" s="54"/>
      <c r="W452" s="54"/>
      <c r="X452" s="54"/>
      <c r="AA452" s="54"/>
      <c r="AB452" s="54"/>
      <c r="AC452" s="54"/>
      <c r="AF452" s="54"/>
      <c r="AG452" s="54"/>
      <c r="AH452" s="54"/>
    </row>
    <row r="453" spans="17:34" x14ac:dyDescent="0.2">
      <c r="Q453" s="54"/>
      <c r="R453" s="54"/>
      <c r="S453" s="54"/>
      <c r="V453" s="54"/>
      <c r="W453" s="54"/>
      <c r="X453" s="54"/>
      <c r="AA453" s="54"/>
      <c r="AB453" s="54"/>
      <c r="AC453" s="54"/>
      <c r="AF453" s="54"/>
      <c r="AG453" s="54"/>
      <c r="AH453" s="54"/>
    </row>
    <row r="454" spans="17:34" x14ac:dyDescent="0.2">
      <c r="AF454" s="54"/>
      <c r="AG454" s="54"/>
      <c r="AH454" s="54"/>
    </row>
  </sheetData>
  <sheetProtection algorithmName="SHA-512" hashValue="GLXUbgZRqFK04l4q/3yRLy/shwMvyZ7fGKt8SrNdLpSGhxHaP1F8lsAM8ZMnFfiId1oYNiaEsgbrFOrvhb5lTA==" saltValue="5PI/1P83+glam9dsqP86jg==" spinCount="100000" sheet="1" objects="1" scenarios="1" selectLockedCells="1"/>
  <mergeCells count="5">
    <mergeCell ref="F70:H70"/>
    <mergeCell ref="N3:O3"/>
    <mergeCell ref="A1:P1"/>
    <mergeCell ref="F81:G81"/>
    <mergeCell ref="K35:P36"/>
  </mergeCells>
  <phoneticPr fontId="5" type="noConversion"/>
  <conditionalFormatting sqref="E6:E8">
    <cfRule type="cellIs" dxfId="34" priority="63" stopIfTrue="1" operator="notBetween">
      <formula>3.5</formula>
      <formula>VIN_MAX_RATING</formula>
    </cfRule>
  </conditionalFormatting>
  <conditionalFormatting sqref="E9">
    <cfRule type="cellIs" dxfId="33" priority="60" stopIfTrue="1" operator="notBetween">
      <formula>0.8</formula>
      <formula>VOUT_MAX_RATING</formula>
    </cfRule>
  </conditionalFormatting>
  <conditionalFormatting sqref="E33">
    <cfRule type="cellIs" dxfId="32" priority="58" stopIfTrue="1" operator="lessThanOrEqual">
      <formula>0</formula>
    </cfRule>
  </conditionalFormatting>
  <conditionalFormatting sqref="E35">
    <cfRule type="cellIs" dxfId="31" priority="57" stopIfTrue="1" operator="lessThan">
      <formula>$E$34</formula>
    </cfRule>
  </conditionalFormatting>
  <conditionalFormatting sqref="E37">
    <cfRule type="cellIs" dxfId="30" priority="56" stopIfTrue="1" operator="greaterThan">
      <formula>$E$36</formula>
    </cfRule>
  </conditionalFormatting>
  <conditionalFormatting sqref="E42">
    <cfRule type="cellIs" dxfId="29" priority="54" stopIfTrue="1" operator="equal">
      <formula>0</formula>
    </cfRule>
  </conditionalFormatting>
  <conditionalFormatting sqref="E44">
    <cfRule type="cellIs" dxfId="28" priority="53" stopIfTrue="1" operator="lessThan">
      <formula>$E$43</formula>
    </cfRule>
  </conditionalFormatting>
  <conditionalFormatting sqref="E46">
    <cfRule type="cellIs" dxfId="27" priority="51" stopIfTrue="1" operator="greaterThan">
      <formula>$E$45</formula>
    </cfRule>
    <cfRule type="cellIs" dxfId="26" priority="52" stopIfTrue="1" operator="equal">
      <formula>0</formula>
    </cfRule>
  </conditionalFormatting>
  <conditionalFormatting sqref="E11">
    <cfRule type="expression" dxfId="25" priority="24">
      <formula>OR(Fsw/1000&gt;2200, Fsw/1000&lt;100)</formula>
    </cfRule>
  </conditionalFormatting>
  <conditionalFormatting sqref="E7">
    <cfRule type="cellIs" dxfId="24" priority="67" operator="notBetween">
      <formula>$E$6</formula>
      <formula>$E$8</formula>
    </cfRule>
  </conditionalFormatting>
  <conditionalFormatting sqref="I10">
    <cfRule type="cellIs" dxfId="23" priority="40" stopIfTrue="1" operator="notBetween">
      <formula>0.6</formula>
      <formula>55</formula>
    </cfRule>
  </conditionalFormatting>
  <conditionalFormatting sqref="I33">
    <cfRule type="cellIs" dxfId="22" priority="39" stopIfTrue="1" operator="lessThanOrEqual">
      <formula>0</formula>
    </cfRule>
  </conditionalFormatting>
  <conditionalFormatting sqref="I35">
    <cfRule type="cellIs" dxfId="21" priority="38" stopIfTrue="1" operator="lessThan">
      <formula>$E$34</formula>
    </cfRule>
  </conditionalFormatting>
  <conditionalFormatting sqref="I37">
    <cfRule type="cellIs" dxfId="20" priority="37" stopIfTrue="1" operator="greaterThan">
      <formula>$I$36</formula>
    </cfRule>
  </conditionalFormatting>
  <conditionalFormatting sqref="A74:G74">
    <cfRule type="expression" dxfId="19" priority="35">
      <formula>MODE=2</formula>
    </cfRule>
  </conditionalFormatting>
  <conditionalFormatting sqref="H41 G43:H43 G45 G47:G49 G61:J67 G33:J39 G16:J23 G26:J30 G10:J10">
    <cfRule type="expression" dxfId="18" priority="32">
      <formula>MODE=2</formula>
    </cfRule>
  </conditionalFormatting>
  <conditionalFormatting sqref="I65:J67">
    <cfRule type="expression" dxfId="17" priority="30">
      <formula>OR((Ch2_VOUT=1),(Ch2_VOUT=2))</formula>
    </cfRule>
  </conditionalFormatting>
  <conditionalFormatting sqref="D80 G79">
    <cfRule type="expression" dxfId="16" priority="28">
      <formula>MODE=2</formula>
    </cfRule>
  </conditionalFormatting>
  <conditionalFormatting sqref="H79:I93">
    <cfRule type="expression" dxfId="15" priority="26">
      <formula>MODE=2</formula>
    </cfRule>
  </conditionalFormatting>
  <conditionalFormatting sqref="D65">
    <cfRule type="expression" dxfId="14" priority="8">
      <formula>OR((VOUT_setting=2),(VOUT_setting=3))</formula>
    </cfRule>
  </conditionalFormatting>
  <conditionalFormatting sqref="A49:F49">
    <cfRule type="expression" dxfId="13" priority="6">
      <formula>INFILTER_TYPE=1</formula>
    </cfRule>
  </conditionalFormatting>
  <conditionalFormatting sqref="D53:F54">
    <cfRule type="expression" dxfId="12" priority="5">
      <formula>UVLO_TYPE=2</formula>
    </cfRule>
  </conditionalFormatting>
  <conditionalFormatting sqref="D61:F64">
    <cfRule type="expression" dxfId="11" priority="4">
      <formula>COMP_TYPE=1</formula>
    </cfRule>
  </conditionalFormatting>
  <conditionalFormatting sqref="A69:H73">
    <cfRule type="expression" dxfId="10" priority="3">
      <formula>COMP_TYPE=1</formula>
    </cfRule>
  </conditionalFormatting>
  <conditionalFormatting sqref="E65:F67">
    <cfRule type="expression" dxfId="9" priority="2">
      <formula>VOUT_setting&lt;&gt;1</formula>
    </cfRule>
  </conditionalFormatting>
  <conditionalFormatting sqref="D66">
    <cfRule type="expression" dxfId="8" priority="1">
      <formula>VOUT_setting&lt;&gt;1</formula>
    </cfRule>
  </conditionalFormatting>
  <hyperlinks>
    <hyperlink ref="N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06" max="16383" man="1"/>
  </rowBreaks>
  <ignoredErrors>
    <ignoredError sqref="E6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809785" r:id="rId7" name="Drop Down 7993">
              <controlPr defaultSize="0" autoLine="0" autoPict="0">
                <anchor moveWithCells="1">
                  <from>
                    <xdr:col>15</xdr:col>
                    <xdr:colOff>5476875</xdr:colOff>
                    <xdr:row>0</xdr:row>
                    <xdr:rowOff>171450</xdr:rowOff>
                  </from>
                  <to>
                    <xdr:col>15</xdr:col>
                    <xdr:colOff>5857875</xdr:colOff>
                    <xdr:row>0</xdr:row>
                    <xdr:rowOff>419100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323850</xdr:colOff>
                    <xdr:row>70</xdr:row>
                    <xdr:rowOff>76200</xdr:rowOff>
                  </from>
                  <to>
                    <xdr:col>2</xdr:col>
                    <xdr:colOff>895350</xdr:colOff>
                    <xdr:row>72</xdr:row>
                    <xdr:rowOff>133350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323850</xdr:colOff>
                    <xdr:row>70</xdr:row>
                    <xdr:rowOff>76200</xdr:rowOff>
                  </from>
                  <to>
                    <xdr:col>2</xdr:col>
                    <xdr:colOff>895350</xdr:colOff>
                    <xdr:row>72</xdr:row>
                    <xdr:rowOff>133350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19050</xdr:colOff>
                    <xdr:row>62</xdr:row>
                    <xdr:rowOff>0</xdr:rowOff>
                  </from>
                  <to>
                    <xdr:col>5</xdr:col>
                    <xdr:colOff>180975</xdr:colOff>
                    <xdr:row>62</xdr:row>
                    <xdr:rowOff>180975</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133350</xdr:colOff>
                    <xdr:row>6</xdr:row>
                    <xdr:rowOff>19050</xdr:rowOff>
                  </from>
                  <to>
                    <xdr:col>5</xdr:col>
                    <xdr:colOff>304800</xdr:colOff>
                    <xdr:row>7</xdr:row>
                    <xdr:rowOff>19050</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2</xdr:col>
                    <xdr:colOff>142875</xdr:colOff>
                    <xdr:row>50</xdr:row>
                    <xdr:rowOff>57150</xdr:rowOff>
                  </from>
                  <to>
                    <xdr:col>3</xdr:col>
                    <xdr:colOff>447675</xdr:colOff>
                    <xdr:row>51</xdr:row>
                    <xdr:rowOff>133350</xdr:rowOff>
                  </to>
                </anchor>
              </controlPr>
            </control>
          </mc:Choice>
        </mc:AlternateContent>
        <mc:AlternateContent xmlns:mc="http://schemas.openxmlformats.org/markup-compatibility/2006">
          <mc:Choice Requires="x14">
            <control shapeId="685442" r:id="rId13" name="Drop Down 1410">
              <controlPr defaultSize="0" autoLine="0" autoPict="0">
                <anchor moveWithCells="1">
                  <from>
                    <xdr:col>4</xdr:col>
                    <xdr:colOff>66675</xdr:colOff>
                    <xdr:row>50</xdr:row>
                    <xdr:rowOff>57150</xdr:rowOff>
                  </from>
                  <to>
                    <xdr:col>5</xdr:col>
                    <xdr:colOff>333375</xdr:colOff>
                    <xdr:row>51</xdr:row>
                    <xdr:rowOff>133350</xdr:rowOff>
                  </to>
                </anchor>
              </controlPr>
            </control>
          </mc:Choice>
        </mc:AlternateContent>
        <mc:AlternateContent xmlns:mc="http://schemas.openxmlformats.org/markup-compatibility/2006">
          <mc:Choice Requires="x14">
            <control shapeId="685906" r:id="rId14" name="Drop Down 1874">
              <controlPr defaultSize="0" autoLine="0" autoPict="0">
                <anchor moveWithCells="1">
                  <from>
                    <xdr:col>0</xdr:col>
                    <xdr:colOff>19050</xdr:colOff>
                    <xdr:row>101</xdr:row>
                    <xdr:rowOff>0</xdr:rowOff>
                  </from>
                  <to>
                    <xdr:col>2</xdr:col>
                    <xdr:colOff>19050</xdr:colOff>
                    <xdr:row>102</xdr:row>
                    <xdr:rowOff>0</xdr:rowOff>
                  </to>
                </anchor>
              </controlPr>
            </control>
          </mc:Choice>
        </mc:AlternateContent>
        <mc:AlternateContent xmlns:mc="http://schemas.openxmlformats.org/markup-compatibility/2006">
          <mc:Choice Requires="x14">
            <control shapeId="700305" r:id="rId15" name="Drop Down 2961">
              <controlPr defaultSize="0" autoLine="0" autoPict="0">
                <anchor moveWithCells="1">
                  <from>
                    <xdr:col>3</xdr:col>
                    <xdr:colOff>228600</xdr:colOff>
                    <xdr:row>58</xdr:row>
                    <xdr:rowOff>171450</xdr:rowOff>
                  </from>
                  <to>
                    <xdr:col>6</xdr:col>
                    <xdr:colOff>0</xdr:colOff>
                    <xdr:row>59</xdr:row>
                    <xdr:rowOff>238125</xdr:rowOff>
                  </to>
                </anchor>
              </controlPr>
            </control>
          </mc:Choice>
        </mc:AlternateContent>
        <mc:AlternateContent xmlns:mc="http://schemas.openxmlformats.org/markup-compatibility/2006">
          <mc:Choice Requires="x14">
            <control shapeId="770900" r:id="rId16" name="Drop Down 6996">
              <controlPr defaultSize="0" autoLine="0" autoPict="0">
                <anchor moveWithCells="1">
                  <from>
                    <xdr:col>0</xdr:col>
                    <xdr:colOff>57150</xdr:colOff>
                    <xdr:row>50</xdr:row>
                    <xdr:rowOff>57150</xdr:rowOff>
                  </from>
                  <to>
                    <xdr:col>2</xdr:col>
                    <xdr:colOff>28575</xdr:colOff>
                    <xdr:row>51</xdr:row>
                    <xdr:rowOff>133350</xdr:rowOff>
                  </to>
                </anchor>
              </controlPr>
            </control>
          </mc:Choice>
        </mc:AlternateContent>
        <mc:AlternateContent xmlns:mc="http://schemas.openxmlformats.org/markup-compatibility/2006">
          <mc:Choice Requires="x14">
            <control shapeId="843436" r:id="rId17" name="Drop Down 8876">
              <controlPr locked="0" defaultSize="0" autoLine="0" autoPict="0">
                <anchor moveWithCells="1">
                  <from>
                    <xdr:col>6</xdr:col>
                    <xdr:colOff>76200</xdr:colOff>
                    <xdr:row>4</xdr:row>
                    <xdr:rowOff>9525</xdr:rowOff>
                  </from>
                  <to>
                    <xdr:col>7</xdr:col>
                    <xdr:colOff>114300</xdr:colOff>
                    <xdr:row>4</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00B0F0"/>
  </sheetPr>
  <dimension ref="A1:R453"/>
  <sheetViews>
    <sheetView zoomScaleNormal="100" workbookViewId="0">
      <selection activeCell="O12" sqref="O12"/>
    </sheetView>
  </sheetViews>
  <sheetFormatPr defaultColWidth="9.140625" defaultRowHeight="12.75" x14ac:dyDescent="0.2"/>
  <cols>
    <col min="1" max="3" width="9.140625" style="307"/>
    <col min="4" max="4" width="4.28515625" style="307" customWidth="1"/>
    <col min="5" max="6" width="9.5703125" style="307" bestFit="1" customWidth="1"/>
    <col min="7" max="7" width="9.140625" style="307"/>
    <col min="8" max="8" width="5.140625" style="307" customWidth="1"/>
    <col min="9" max="9" width="10.7109375" style="307" customWidth="1"/>
    <col min="10" max="10" width="9.7109375" style="307" customWidth="1"/>
    <col min="11" max="11" width="11.42578125" style="307" customWidth="1"/>
    <col min="12" max="12" width="5.5703125" style="307" customWidth="1"/>
    <col min="13" max="15" width="9.140625" style="307"/>
    <col min="16" max="16" width="9.140625" style="307" customWidth="1"/>
    <col min="17" max="17" width="102" style="307" customWidth="1"/>
    <col min="18" max="18" width="30.42578125" style="701" customWidth="1"/>
    <col min="19" max="16384" width="9.140625" style="307"/>
  </cols>
  <sheetData>
    <row r="1" spans="1:18" ht="40.5" x14ac:dyDescent="0.2">
      <c r="A1" s="793" t="s">
        <v>913</v>
      </c>
      <c r="B1" s="794"/>
      <c r="C1" s="794"/>
      <c r="D1" s="794"/>
      <c r="E1" s="794"/>
      <c r="F1" s="794"/>
      <c r="G1" s="794"/>
      <c r="H1" s="794"/>
      <c r="I1" s="794"/>
      <c r="J1" s="794"/>
      <c r="K1" s="794"/>
      <c r="L1" s="794"/>
      <c r="M1" s="794"/>
      <c r="N1" s="794"/>
      <c r="O1" s="794"/>
      <c r="P1" s="794"/>
      <c r="Q1" s="794"/>
      <c r="R1" s="706"/>
    </row>
    <row r="2" spans="1:18" ht="17.649999999999999" customHeight="1" x14ac:dyDescent="0.45">
      <c r="A2" s="755"/>
      <c r="B2" s="749"/>
      <c r="C2" s="749"/>
      <c r="D2" s="749"/>
      <c r="E2" s="749"/>
      <c r="F2" s="749"/>
      <c r="G2" s="749"/>
      <c r="H2" s="749"/>
      <c r="I2" s="749"/>
      <c r="J2" s="749"/>
      <c r="K2" s="749"/>
      <c r="L2" s="749"/>
      <c r="M2" s="749"/>
      <c r="N2" s="749"/>
      <c r="O2" s="502" t="s">
        <v>585</v>
      </c>
      <c r="P2" s="749"/>
      <c r="Q2" s="749"/>
      <c r="R2" s="706"/>
    </row>
    <row r="3" spans="1:18" ht="16.149999999999999" customHeight="1" x14ac:dyDescent="0.45">
      <c r="A3" s="754" t="s">
        <v>232</v>
      </c>
      <c r="B3" s="753"/>
      <c r="C3" s="501" t="s">
        <v>233</v>
      </c>
      <c r="D3" s="752"/>
      <c r="E3" s="751"/>
      <c r="F3" s="750" t="s">
        <v>145</v>
      </c>
      <c r="G3" s="748"/>
      <c r="H3" s="749"/>
      <c r="I3" s="749"/>
      <c r="J3" s="748"/>
      <c r="K3" s="747"/>
      <c r="L3" s="746"/>
      <c r="M3" s="706"/>
      <c r="N3" s="706"/>
      <c r="O3" s="795" t="s">
        <v>51</v>
      </c>
      <c r="P3" s="795"/>
      <c r="Q3" s="706" t="s">
        <v>165</v>
      </c>
      <c r="R3" s="706"/>
    </row>
    <row r="4" spans="1:18" ht="14.65" customHeight="1" thickBot="1" x14ac:dyDescent="0.35">
      <c r="A4" s="745"/>
      <c r="B4" s="744"/>
      <c r="C4" s="743"/>
      <c r="D4" s="743"/>
      <c r="E4" s="743"/>
      <c r="F4" s="743"/>
      <c r="G4" s="743"/>
      <c r="H4" s="743"/>
      <c r="I4" s="743"/>
      <c r="J4" s="743"/>
      <c r="K4" s="743"/>
      <c r="L4" s="743"/>
      <c r="M4" s="742"/>
      <c r="N4" s="742"/>
      <c r="O4" s="742"/>
      <c r="P4" s="742"/>
      <c r="Q4" s="742"/>
      <c r="R4" s="706"/>
    </row>
    <row r="5" spans="1:18" x14ac:dyDescent="0.2">
      <c r="A5" s="244"/>
      <c r="B5" s="244"/>
      <c r="C5" s="244"/>
      <c r="D5" s="244"/>
      <c r="E5" s="244"/>
      <c r="F5" s="244"/>
      <c r="G5" s="244"/>
      <c r="H5" s="244"/>
      <c r="I5" s="244"/>
      <c r="J5" s="244"/>
      <c r="K5" s="244"/>
      <c r="L5" s="244"/>
      <c r="M5" s="244"/>
      <c r="N5" s="244"/>
      <c r="O5" s="244"/>
      <c r="P5" s="244"/>
      <c r="Q5" s="244"/>
      <c r="R5" s="706"/>
    </row>
    <row r="6" spans="1:18" ht="13.5" thickBot="1" x14ac:dyDescent="0.25">
      <c r="A6" s="244"/>
      <c r="B6" s="244"/>
      <c r="C6" s="244"/>
      <c r="D6" s="244"/>
      <c r="E6" s="244"/>
      <c r="F6" s="244"/>
      <c r="G6" s="244"/>
      <c r="H6" s="244"/>
      <c r="I6" s="244"/>
      <c r="J6" s="244"/>
      <c r="K6" s="244"/>
      <c r="L6" s="244"/>
      <c r="M6" s="244"/>
      <c r="N6" s="244"/>
      <c r="O6" s="244"/>
      <c r="P6" s="244"/>
      <c r="Q6" s="244"/>
      <c r="R6" s="706"/>
    </row>
    <row r="7" spans="1:18" ht="18" x14ac:dyDescent="0.25">
      <c r="A7" s="741"/>
      <c r="B7" s="740"/>
      <c r="C7" s="739"/>
      <c r="D7" s="739"/>
      <c r="E7" s="738" t="s">
        <v>877</v>
      </c>
      <c r="F7" s="759"/>
      <c r="G7" s="707"/>
      <c r="H7" s="737"/>
      <c r="I7" s="715"/>
      <c r="J7" s="707"/>
      <c r="K7" s="707"/>
      <c r="L7" s="707"/>
      <c r="M7" s="738" t="s">
        <v>779</v>
      </c>
      <c r="N7" s="707"/>
      <c r="O7" s="707"/>
      <c r="P7" s="737"/>
      <c r="Q7" s="244"/>
      <c r="R7" s="706"/>
    </row>
    <row r="8" spans="1:18" ht="13.5" thickBot="1" x14ac:dyDescent="0.25">
      <c r="A8" s="727"/>
      <c r="B8" s="721"/>
      <c r="C8" s="721"/>
      <c r="D8" s="721"/>
      <c r="E8" s="721"/>
      <c r="F8" s="721"/>
      <c r="G8" s="721"/>
      <c r="H8" s="728"/>
      <c r="I8" s="727"/>
      <c r="J8" s="721"/>
      <c r="K8" s="721"/>
      <c r="L8" s="721"/>
      <c r="M8" s="384"/>
      <c r="N8" s="721"/>
      <c r="O8" s="384"/>
      <c r="P8" s="728"/>
      <c r="Q8" s="244"/>
      <c r="R8" s="706"/>
    </row>
    <row r="9" spans="1:18" ht="15.75" x14ac:dyDescent="0.3">
      <c r="A9" s="707"/>
      <c r="B9" s="736" t="s">
        <v>894</v>
      </c>
      <c r="C9" s="658" t="str">
        <f>'Design Regulator'!E49 &amp; " µH"</f>
        <v>0.68 µH</v>
      </c>
      <c r="D9" s="734"/>
      <c r="E9" s="715"/>
      <c r="F9" s="736" t="s">
        <v>898</v>
      </c>
      <c r="G9" s="128">
        <v>1</v>
      </c>
      <c r="H9" s="734" t="s">
        <v>214</v>
      </c>
      <c r="I9" s="715"/>
      <c r="J9" s="736" t="s">
        <v>907</v>
      </c>
      <c r="K9" s="658" t="s">
        <v>876</v>
      </c>
      <c r="L9" s="734" t="s">
        <v>214</v>
      </c>
      <c r="M9" s="707"/>
      <c r="N9" s="736" t="s">
        <v>900</v>
      </c>
      <c r="O9" s="735">
        <v>0.68</v>
      </c>
      <c r="P9" s="734" t="s">
        <v>214</v>
      </c>
      <c r="Q9" s="244"/>
      <c r="R9" s="706"/>
    </row>
    <row r="10" spans="1:18" ht="15.75" x14ac:dyDescent="0.3">
      <c r="A10" s="244"/>
      <c r="B10" s="731" t="s">
        <v>895</v>
      </c>
      <c r="C10" s="760" t="e">
        <f>'Design Regulator'!#REF! &amp; " µF"</f>
        <v>#REF!</v>
      </c>
      <c r="D10" s="729"/>
      <c r="E10" s="244"/>
      <c r="F10" s="731" t="s">
        <v>899</v>
      </c>
      <c r="G10" s="128">
        <v>1</v>
      </c>
      <c r="H10" s="729" t="s">
        <v>215</v>
      </c>
      <c r="I10" s="733"/>
      <c r="J10" s="732" t="s">
        <v>906</v>
      </c>
      <c r="K10" s="760" t="s">
        <v>876</v>
      </c>
      <c r="L10" s="729" t="s">
        <v>215</v>
      </c>
      <c r="M10" s="244"/>
      <c r="N10" s="731" t="s">
        <v>903</v>
      </c>
      <c r="O10" s="730">
        <v>0.47</v>
      </c>
      <c r="P10" s="729" t="s">
        <v>215</v>
      </c>
      <c r="Q10" s="244"/>
      <c r="R10" s="706"/>
    </row>
    <row r="11" spans="1:18" ht="15.75" x14ac:dyDescent="0.3">
      <c r="A11" s="732"/>
      <c r="B11" s="731" t="s">
        <v>896</v>
      </c>
      <c r="C11" s="760" t="e">
        <f>'Design Regulator'!#REF! &amp; " µF"</f>
        <v>#REF!</v>
      </c>
      <c r="D11" s="729"/>
      <c r="E11" s="244"/>
      <c r="F11" s="731" t="s">
        <v>887</v>
      </c>
      <c r="G11" s="764">
        <v>1</v>
      </c>
      <c r="H11" s="729" t="s">
        <v>215</v>
      </c>
      <c r="I11" s="733"/>
      <c r="J11" s="732" t="s">
        <v>905</v>
      </c>
      <c r="K11" s="761" t="s">
        <v>882</v>
      </c>
      <c r="L11" s="729" t="s">
        <v>215</v>
      </c>
      <c r="M11" s="244"/>
      <c r="N11" s="731" t="s">
        <v>902</v>
      </c>
      <c r="O11" s="730">
        <v>1</v>
      </c>
      <c r="P11" s="729" t="s">
        <v>215</v>
      </c>
      <c r="Q11" s="244"/>
      <c r="R11" s="706"/>
    </row>
    <row r="12" spans="1:18" ht="16.5" thickBot="1" x14ac:dyDescent="0.35">
      <c r="A12" s="725"/>
      <c r="B12" s="724" t="s">
        <v>897</v>
      </c>
      <c r="C12" s="763" t="e">
        <f>'Design Regulator'!#REF! &amp; " Ω"</f>
        <v>#REF!</v>
      </c>
      <c r="D12" s="722"/>
      <c r="E12" s="727"/>
      <c r="F12" s="724" t="s">
        <v>888</v>
      </c>
      <c r="G12" s="765">
        <v>10</v>
      </c>
      <c r="H12" s="722" t="s">
        <v>138</v>
      </c>
      <c r="I12" s="727"/>
      <c r="J12" s="726" t="s">
        <v>904</v>
      </c>
      <c r="K12" s="725" t="e">
        <f>Rdamp_PassiveStd</f>
        <v>#VALUE!</v>
      </c>
      <c r="L12" s="722" t="s">
        <v>138</v>
      </c>
      <c r="M12" s="721"/>
      <c r="N12" s="724" t="s">
        <v>901</v>
      </c>
      <c r="O12" s="723">
        <v>0.35</v>
      </c>
      <c r="P12" s="722" t="s">
        <v>138</v>
      </c>
      <c r="Q12" s="244"/>
      <c r="R12" s="706"/>
    </row>
    <row r="13" spans="1:18" x14ac:dyDescent="0.2">
      <c r="A13" s="244"/>
      <c r="B13" s="244"/>
      <c r="C13" s="244"/>
      <c r="D13" s="244"/>
      <c r="E13" s="244"/>
      <c r="F13" s="244"/>
      <c r="G13" s="244"/>
      <c r="H13" s="244"/>
      <c r="I13" s="244"/>
      <c r="J13" s="244"/>
      <c r="K13" s="244"/>
      <c r="L13" s="244"/>
      <c r="M13" s="244"/>
      <c r="N13" s="244"/>
      <c r="O13" s="244"/>
      <c r="P13" s="244"/>
      <c r="Q13" s="244"/>
      <c r="R13" s="706"/>
    </row>
    <row r="14" spans="1:18" ht="15.75" x14ac:dyDescent="0.25">
      <c r="A14" s="244"/>
      <c r="B14" s="244"/>
      <c r="C14" s="775" t="s">
        <v>914</v>
      </c>
      <c r="D14" s="244"/>
      <c r="E14" s="244"/>
      <c r="F14" s="774">
        <f>VinRipple_dBuV</f>
        <v>101.11425394500608</v>
      </c>
      <c r="G14" s="720" t="s">
        <v>849</v>
      </c>
      <c r="H14" s="773" t="s">
        <v>787</v>
      </c>
      <c r="I14" s="771">
        <f>VinRipple_dBuV</f>
        <v>101.11425394500608</v>
      </c>
      <c r="J14" s="719" t="s">
        <v>849</v>
      </c>
      <c r="L14" s="244"/>
      <c r="M14" s="244"/>
      <c r="N14" s="244"/>
      <c r="O14" s="244"/>
      <c r="P14" s="244"/>
      <c r="Q14" s="244"/>
      <c r="R14" s="706"/>
    </row>
    <row r="15" spans="1:18" ht="13.5" thickBot="1" x14ac:dyDescent="0.25">
      <c r="A15" s="244"/>
      <c r="B15" s="721"/>
      <c r="C15" s="244"/>
      <c r="D15" s="721"/>
      <c r="E15" s="721"/>
      <c r="F15" s="721"/>
      <c r="G15" s="244"/>
      <c r="H15" s="244"/>
      <c r="I15" s="244"/>
      <c r="J15" s="244"/>
      <c r="K15" s="244"/>
      <c r="L15" s="244"/>
      <c r="M15" s="244"/>
      <c r="N15" s="244"/>
      <c r="O15" s="244"/>
      <c r="P15" s="244"/>
      <c r="Q15" s="244"/>
      <c r="R15" s="706"/>
    </row>
    <row r="16" spans="1:18" x14ac:dyDescent="0.2">
      <c r="A16" s="244"/>
      <c r="B16" s="757"/>
      <c r="C16" s="718"/>
      <c r="D16" s="717" t="s">
        <v>885</v>
      </c>
      <c r="E16" s="756" t="e">
        <f>-'Input Filter Calculations'!AM97</f>
        <v>#VALUE!</v>
      </c>
      <c r="F16" s="716" t="s">
        <v>804</v>
      </c>
      <c r="G16" s="244"/>
      <c r="H16" s="244"/>
      <c r="I16" s="244"/>
      <c r="J16" s="762"/>
      <c r="K16" s="715"/>
      <c r="L16" s="714" t="s">
        <v>886</v>
      </c>
      <c r="M16" s="769">
        <f>-'Input Filter Calculations'!AA97</f>
        <v>9.1450294609994049</v>
      </c>
      <c r="N16" s="713" t="s">
        <v>804</v>
      </c>
      <c r="O16" s="244"/>
      <c r="P16" s="244"/>
      <c r="Q16" s="244"/>
      <c r="R16" s="706"/>
    </row>
    <row r="17" spans="1:18" ht="13.5" thickBot="1" x14ac:dyDescent="0.25">
      <c r="A17" s="711"/>
      <c r="B17" s="758"/>
      <c r="C17" s="710"/>
      <c r="D17" s="712" t="s">
        <v>875</v>
      </c>
      <c r="E17" s="768" t="e">
        <f>VinRipple_dBuV-E16</f>
        <v>#VALUE!</v>
      </c>
      <c r="F17" s="708" t="s">
        <v>786</v>
      </c>
      <c r="G17" s="244"/>
      <c r="H17" s="244"/>
      <c r="J17" s="758"/>
      <c r="K17" s="710"/>
      <c r="L17" s="709" t="s">
        <v>874</v>
      </c>
      <c r="M17" s="770">
        <f>VinRipple_dBuV-M16</f>
        <v>91.969224484006673</v>
      </c>
      <c r="N17" s="708" t="s">
        <v>786</v>
      </c>
      <c r="O17" s="244"/>
      <c r="P17" s="244"/>
      <c r="Q17" s="244"/>
      <c r="R17" s="706"/>
    </row>
    <row r="18" spans="1:18" x14ac:dyDescent="0.2">
      <c r="A18" s="244"/>
      <c r="B18" s="244"/>
      <c r="C18" s="244"/>
      <c r="D18" s="244"/>
      <c r="E18" s="244"/>
      <c r="F18" s="244"/>
      <c r="G18" s="244"/>
      <c r="H18" s="244"/>
      <c r="I18" s="244"/>
      <c r="J18" s="244"/>
      <c r="K18" s="244"/>
      <c r="L18" s="244"/>
      <c r="M18" s="244"/>
      <c r="N18" s="244"/>
      <c r="O18" s="244"/>
      <c r="P18" s="244"/>
      <c r="Q18" s="244"/>
      <c r="R18" s="706"/>
    </row>
    <row r="19" spans="1:18" x14ac:dyDescent="0.2">
      <c r="A19" s="244"/>
      <c r="B19" s="244"/>
      <c r="C19" s="244"/>
      <c r="D19" s="244"/>
      <c r="E19" s="244"/>
      <c r="F19" s="244"/>
      <c r="G19" s="244"/>
      <c r="H19" s="244"/>
      <c r="I19" s="244"/>
      <c r="J19" s="244"/>
      <c r="K19" s="244"/>
      <c r="L19" s="244"/>
      <c r="M19" s="244"/>
      <c r="N19" s="244"/>
      <c r="O19" s="244"/>
      <c r="P19" s="244"/>
      <c r="Q19" s="244"/>
      <c r="R19" s="706"/>
    </row>
    <row r="20" spans="1:18" x14ac:dyDescent="0.2">
      <c r="A20" s="244"/>
      <c r="B20" s="244"/>
      <c r="C20" s="244"/>
      <c r="D20" s="244"/>
      <c r="E20" s="244"/>
      <c r="F20" s="244"/>
      <c r="G20" s="244"/>
      <c r="H20" s="244"/>
      <c r="I20" s="244"/>
      <c r="J20" s="244"/>
      <c r="K20" s="244"/>
      <c r="L20" s="244"/>
      <c r="M20" s="244"/>
      <c r="N20" s="244"/>
      <c r="O20" s="244"/>
      <c r="P20" s="244"/>
      <c r="Q20" s="244"/>
      <c r="R20" s="706"/>
    </row>
    <row r="21" spans="1:18" x14ac:dyDescent="0.2">
      <c r="A21" s="244"/>
      <c r="B21" s="244"/>
      <c r="C21" s="244"/>
      <c r="D21" s="244"/>
      <c r="E21" s="244"/>
      <c r="F21" s="244"/>
      <c r="G21" s="244"/>
      <c r="H21" s="244"/>
      <c r="I21" s="244"/>
      <c r="J21" s="244"/>
      <c r="K21" s="244"/>
      <c r="L21" s="244"/>
      <c r="M21" s="244"/>
      <c r="N21" s="244"/>
      <c r="O21" s="244"/>
      <c r="P21" s="244"/>
      <c r="Q21" s="244"/>
      <c r="R21" s="706"/>
    </row>
    <row r="22" spans="1:18" x14ac:dyDescent="0.2">
      <c r="A22" s="244"/>
      <c r="B22" s="244"/>
      <c r="C22" s="244"/>
      <c r="D22" s="244"/>
      <c r="E22" s="244"/>
      <c r="F22" s="244"/>
      <c r="G22" s="244"/>
      <c r="H22" s="244"/>
      <c r="I22" s="244"/>
      <c r="J22" s="244"/>
      <c r="K22" s="244"/>
      <c r="L22" s="244"/>
      <c r="M22" s="244"/>
      <c r="N22" s="244"/>
      <c r="O22" s="244"/>
      <c r="P22" s="244"/>
      <c r="Q22" s="244"/>
      <c r="R22" s="706"/>
    </row>
    <row r="23" spans="1:18" x14ac:dyDescent="0.2">
      <c r="A23" s="244"/>
      <c r="B23" s="244"/>
      <c r="C23" s="244"/>
      <c r="D23" s="244"/>
      <c r="E23" s="244"/>
      <c r="F23" s="244"/>
      <c r="G23" s="244"/>
      <c r="H23" s="244"/>
      <c r="I23" s="244"/>
      <c r="J23" s="244"/>
      <c r="K23" s="244"/>
      <c r="L23" s="244"/>
      <c r="M23" s="244"/>
      <c r="N23" s="244"/>
      <c r="O23" s="244"/>
      <c r="P23" s="244"/>
      <c r="Q23" s="244"/>
      <c r="R23" s="706"/>
    </row>
    <row r="24" spans="1:18" x14ac:dyDescent="0.2">
      <c r="A24" s="244"/>
      <c r="B24" s="244"/>
      <c r="C24" s="244"/>
      <c r="D24" s="244"/>
      <c r="E24" s="244"/>
      <c r="F24" s="244"/>
      <c r="G24" s="244"/>
      <c r="H24" s="244"/>
      <c r="I24" s="244"/>
      <c r="J24" s="244"/>
      <c r="K24" s="244"/>
      <c r="L24" s="244"/>
      <c r="M24" s="244"/>
      <c r="N24" s="244"/>
      <c r="O24" s="244"/>
      <c r="P24" s="244"/>
      <c r="Q24" s="244"/>
      <c r="R24" s="706"/>
    </row>
    <row r="25" spans="1:18" x14ac:dyDescent="0.2">
      <c r="A25" s="244"/>
      <c r="B25" s="244"/>
      <c r="C25" s="244"/>
      <c r="D25" s="244"/>
      <c r="E25" s="244"/>
      <c r="F25" s="244"/>
      <c r="G25" s="244"/>
      <c r="H25" s="244"/>
      <c r="I25" s="244"/>
      <c r="J25" s="244"/>
      <c r="K25" s="244"/>
      <c r="L25" s="244"/>
      <c r="M25" s="244"/>
      <c r="N25" s="244"/>
      <c r="O25" s="244"/>
      <c r="P25" s="244"/>
      <c r="Q25" s="244"/>
      <c r="R25" s="706"/>
    </row>
    <row r="26" spans="1:18" x14ac:dyDescent="0.2">
      <c r="A26" s="244"/>
      <c r="B26" s="244"/>
      <c r="C26" s="244"/>
      <c r="D26" s="244"/>
      <c r="E26" s="244"/>
      <c r="F26" s="244"/>
      <c r="G26" s="244"/>
      <c r="H26" s="244"/>
      <c r="I26" s="244"/>
      <c r="J26" s="244"/>
      <c r="K26" s="244"/>
      <c r="L26" s="244"/>
      <c r="M26" s="244"/>
      <c r="N26" s="244"/>
      <c r="O26" s="244"/>
      <c r="P26" s="244"/>
      <c r="Q26" s="244"/>
      <c r="R26" s="706"/>
    </row>
    <row r="27" spans="1:18" x14ac:dyDescent="0.2">
      <c r="A27" s="244"/>
      <c r="B27" s="244"/>
      <c r="C27" s="244"/>
      <c r="D27" s="244"/>
      <c r="E27" s="244"/>
      <c r="F27" s="244"/>
      <c r="G27" s="244"/>
      <c r="H27" s="244"/>
      <c r="I27" s="244"/>
      <c r="J27" s="244"/>
      <c r="K27" s="244"/>
      <c r="L27" s="244"/>
      <c r="M27" s="244"/>
      <c r="N27" s="244"/>
      <c r="O27" s="244"/>
      <c r="P27" s="244"/>
      <c r="Q27" s="244"/>
      <c r="R27" s="706"/>
    </row>
    <row r="28" spans="1:18" x14ac:dyDescent="0.2">
      <c r="A28" s="244"/>
      <c r="B28" s="244"/>
      <c r="C28" s="244"/>
      <c r="D28" s="244"/>
      <c r="E28" s="244"/>
      <c r="F28" s="244"/>
      <c r="G28" s="244"/>
      <c r="H28" s="244"/>
      <c r="I28" s="244"/>
      <c r="J28" s="244"/>
      <c r="K28" s="244"/>
      <c r="L28" s="244"/>
      <c r="M28" s="244"/>
      <c r="N28" s="244"/>
      <c r="O28" s="244"/>
      <c r="P28" s="244"/>
      <c r="Q28" s="244"/>
      <c r="R28" s="706"/>
    </row>
    <row r="29" spans="1:18" x14ac:dyDescent="0.2">
      <c r="A29" s="244"/>
      <c r="B29" s="244"/>
      <c r="C29" s="244"/>
      <c r="D29" s="244"/>
      <c r="E29" s="244"/>
      <c r="F29" s="244"/>
      <c r="G29" s="244"/>
      <c r="H29" s="244"/>
      <c r="I29" s="244"/>
      <c r="J29" s="244"/>
      <c r="K29" s="244"/>
      <c r="L29" s="244"/>
      <c r="M29" s="244"/>
      <c r="N29" s="244"/>
      <c r="O29" s="244"/>
      <c r="P29" s="244"/>
      <c r="Q29" s="244"/>
      <c r="R29" s="706"/>
    </row>
    <row r="30" spans="1:18" x14ac:dyDescent="0.2">
      <c r="A30" s="244"/>
      <c r="B30" s="244"/>
      <c r="C30" s="244"/>
      <c r="D30" s="244"/>
      <c r="E30" s="244"/>
      <c r="F30" s="244"/>
      <c r="G30" s="244"/>
      <c r="H30" s="244"/>
      <c r="I30" s="244"/>
      <c r="J30" s="244"/>
      <c r="K30" s="244"/>
      <c r="L30" s="244"/>
      <c r="M30" s="244"/>
      <c r="N30" s="244"/>
      <c r="O30" s="244"/>
      <c r="P30" s="244"/>
      <c r="Q30" s="244"/>
      <c r="R30" s="706"/>
    </row>
    <row r="31" spans="1:18" x14ac:dyDescent="0.2">
      <c r="A31" s="244"/>
      <c r="B31" s="244"/>
      <c r="C31" s="244"/>
      <c r="D31" s="244"/>
      <c r="E31" s="244"/>
      <c r="F31" s="244"/>
      <c r="G31" s="244"/>
      <c r="H31" s="244"/>
      <c r="I31" s="244"/>
      <c r="J31" s="244"/>
      <c r="K31" s="244"/>
      <c r="L31" s="244"/>
      <c r="M31" s="244"/>
      <c r="N31" s="244"/>
      <c r="O31" s="244"/>
      <c r="P31" s="244"/>
      <c r="Q31" s="244"/>
      <c r="R31" s="706"/>
    </row>
    <row r="32" spans="1:18" x14ac:dyDescent="0.2">
      <c r="A32" s="244"/>
      <c r="B32" s="244"/>
      <c r="C32" s="244"/>
      <c r="D32" s="244"/>
      <c r="E32" s="244"/>
      <c r="F32" s="244"/>
      <c r="G32" s="244"/>
      <c r="H32" s="244"/>
      <c r="I32" s="244"/>
      <c r="J32" s="244"/>
      <c r="K32" s="244"/>
      <c r="L32" s="244"/>
      <c r="M32" s="244"/>
      <c r="N32" s="244"/>
      <c r="O32" s="244"/>
      <c r="P32" s="244"/>
      <c r="Q32" s="244"/>
      <c r="R32" s="706"/>
    </row>
    <row r="33" spans="1:18" x14ac:dyDescent="0.2">
      <c r="A33" s="244"/>
      <c r="B33" s="244"/>
      <c r="C33" s="244"/>
      <c r="D33" s="244"/>
      <c r="E33" s="244"/>
      <c r="F33" s="244"/>
      <c r="G33" s="244"/>
      <c r="H33" s="244"/>
      <c r="I33" s="244"/>
      <c r="J33" s="244"/>
      <c r="K33" s="244"/>
      <c r="L33" s="244"/>
      <c r="M33" s="244"/>
      <c r="N33" s="244"/>
      <c r="O33" s="244"/>
      <c r="P33" s="244"/>
      <c r="Q33" s="244"/>
      <c r="R33" s="706"/>
    </row>
    <row r="34" spans="1:18" x14ac:dyDescent="0.2">
      <c r="A34" s="244"/>
      <c r="B34" s="244"/>
      <c r="C34" s="244"/>
      <c r="D34" s="244"/>
      <c r="E34" s="244"/>
      <c r="F34" s="244"/>
      <c r="G34" s="244"/>
      <c r="H34" s="244"/>
      <c r="I34" s="244"/>
      <c r="J34" s="244"/>
      <c r="K34" s="244"/>
      <c r="L34" s="244"/>
      <c r="M34" s="244"/>
      <c r="N34" s="244"/>
      <c r="O34" s="244"/>
      <c r="P34" s="244"/>
      <c r="Q34" s="244"/>
      <c r="R34" s="706"/>
    </row>
    <row r="35" spans="1:18" x14ac:dyDescent="0.2">
      <c r="A35" s="244"/>
      <c r="B35" s="244"/>
      <c r="C35" s="244"/>
      <c r="D35" s="244"/>
      <c r="E35" s="244"/>
      <c r="F35" s="244"/>
      <c r="G35" s="244"/>
      <c r="H35" s="244"/>
      <c r="I35" s="244"/>
      <c r="J35" s="244"/>
      <c r="K35" s="244"/>
      <c r="L35" s="244"/>
      <c r="M35" s="244"/>
      <c r="N35" s="244"/>
      <c r="O35" s="244"/>
      <c r="P35" s="244"/>
      <c r="Q35" s="244"/>
      <c r="R35" s="706"/>
    </row>
    <row r="36" spans="1:18" x14ac:dyDescent="0.2">
      <c r="A36" s="244"/>
      <c r="B36" s="244"/>
      <c r="C36" s="244"/>
      <c r="D36" s="244"/>
      <c r="E36" s="244"/>
      <c r="F36" s="244"/>
      <c r="G36" s="244"/>
      <c r="H36" s="244"/>
      <c r="I36" s="244"/>
      <c r="J36" s="244"/>
      <c r="K36" s="244"/>
      <c r="L36" s="244"/>
      <c r="M36" s="244"/>
      <c r="N36" s="244"/>
      <c r="O36" s="244"/>
      <c r="P36" s="244"/>
      <c r="Q36" s="244"/>
      <c r="R36" s="706"/>
    </row>
    <row r="37" spans="1:18" x14ac:dyDescent="0.2">
      <c r="A37" s="244"/>
      <c r="B37" s="244"/>
      <c r="C37" s="244"/>
      <c r="D37" s="244"/>
      <c r="E37" s="244"/>
      <c r="F37" s="244"/>
      <c r="G37" s="244"/>
      <c r="H37" s="244"/>
      <c r="I37" s="244"/>
      <c r="J37" s="244"/>
      <c r="K37" s="244"/>
      <c r="L37" s="244"/>
      <c r="M37" s="244"/>
      <c r="N37" s="244"/>
      <c r="O37" s="244"/>
      <c r="P37" s="244"/>
      <c r="Q37" s="244"/>
      <c r="R37" s="706"/>
    </row>
    <row r="38" spans="1:18" x14ac:dyDescent="0.2">
      <c r="A38" s="244"/>
      <c r="B38" s="244"/>
      <c r="C38" s="244"/>
      <c r="D38" s="244"/>
      <c r="E38" s="244"/>
      <c r="F38" s="244"/>
      <c r="G38" s="244"/>
      <c r="H38" s="244"/>
      <c r="I38" s="244"/>
      <c r="J38" s="244"/>
      <c r="K38" s="244"/>
      <c r="L38" s="244"/>
      <c r="M38" s="244"/>
      <c r="N38" s="244"/>
      <c r="O38" s="244"/>
      <c r="P38" s="244"/>
      <c r="Q38" s="244"/>
      <c r="R38" s="706"/>
    </row>
    <row r="39" spans="1:18" x14ac:dyDescent="0.2">
      <c r="A39" s="244"/>
      <c r="B39" s="244"/>
      <c r="C39" s="244"/>
      <c r="D39" s="244"/>
      <c r="E39" s="244"/>
      <c r="F39" s="244"/>
      <c r="G39" s="244"/>
      <c r="H39" s="244"/>
      <c r="I39" s="244"/>
      <c r="J39" s="244"/>
      <c r="K39" s="244"/>
      <c r="L39" s="244"/>
      <c r="M39" s="244"/>
      <c r="N39" s="244"/>
      <c r="O39" s="244"/>
      <c r="P39" s="244"/>
      <c r="Q39" s="244"/>
      <c r="R39" s="706"/>
    </row>
    <row r="40" spans="1:18" x14ac:dyDescent="0.2">
      <c r="A40" s="244"/>
      <c r="B40" s="244"/>
      <c r="C40" s="244"/>
      <c r="D40" s="244"/>
      <c r="E40" s="244"/>
      <c r="F40" s="244"/>
      <c r="G40" s="244"/>
      <c r="H40" s="244"/>
      <c r="I40" s="244"/>
      <c r="J40" s="244"/>
      <c r="K40" s="244"/>
      <c r="L40" s="244"/>
      <c r="M40" s="244"/>
      <c r="N40" s="244"/>
      <c r="O40" s="244"/>
      <c r="P40" s="244"/>
      <c r="Q40" s="244"/>
      <c r="R40" s="706"/>
    </row>
    <row r="41" spans="1:18" x14ac:dyDescent="0.2">
      <c r="A41" s="244"/>
      <c r="B41" s="244"/>
      <c r="C41" s="244"/>
      <c r="D41" s="244"/>
      <c r="E41" s="244"/>
      <c r="F41" s="244"/>
      <c r="G41" s="244"/>
      <c r="H41" s="244"/>
      <c r="I41" s="244"/>
      <c r="J41" s="244"/>
      <c r="K41" s="244"/>
      <c r="L41" s="244"/>
      <c r="M41" s="244"/>
      <c r="N41" s="244"/>
      <c r="O41" s="244"/>
      <c r="P41" s="244"/>
      <c r="Q41" s="244"/>
      <c r="R41" s="706"/>
    </row>
    <row r="42" spans="1:18" x14ac:dyDescent="0.2">
      <c r="A42" s="244"/>
      <c r="B42" s="244"/>
      <c r="C42" s="244"/>
      <c r="D42" s="244"/>
      <c r="E42" s="244"/>
      <c r="F42" s="244"/>
      <c r="G42" s="244"/>
      <c r="H42" s="244"/>
      <c r="I42" s="244"/>
      <c r="J42" s="244"/>
      <c r="K42" s="244"/>
      <c r="L42" s="244"/>
      <c r="M42" s="244"/>
      <c r="N42" s="244"/>
      <c r="O42" s="244"/>
      <c r="P42" s="244"/>
      <c r="Q42" s="244"/>
      <c r="R42" s="706"/>
    </row>
    <row r="43" spans="1:18" x14ac:dyDescent="0.2">
      <c r="A43" s="244"/>
      <c r="B43" s="244"/>
      <c r="C43" s="244"/>
      <c r="D43" s="244"/>
      <c r="E43" s="244"/>
      <c r="F43" s="244"/>
      <c r="G43" s="244"/>
      <c r="H43" s="244"/>
      <c r="I43" s="244"/>
      <c r="J43" s="244"/>
      <c r="K43" s="244"/>
      <c r="L43" s="244"/>
      <c r="M43" s="244"/>
      <c r="N43" s="244"/>
      <c r="O43" s="244"/>
      <c r="P43" s="244"/>
      <c r="Q43" s="244"/>
      <c r="R43" s="706"/>
    </row>
    <row r="44" spans="1:18" x14ac:dyDescent="0.2">
      <c r="A44" s="244"/>
      <c r="B44" s="244"/>
      <c r="C44" s="244"/>
      <c r="D44" s="244"/>
      <c r="E44" s="244"/>
      <c r="F44" s="244"/>
      <c r="G44" s="244"/>
      <c r="H44" s="244"/>
      <c r="I44" s="244"/>
      <c r="J44" s="244"/>
      <c r="K44" s="244"/>
      <c r="L44" s="244"/>
      <c r="M44" s="244"/>
      <c r="N44" s="244"/>
      <c r="O44" s="244"/>
      <c r="P44" s="244"/>
      <c r="Q44" s="244"/>
      <c r="R44" s="706"/>
    </row>
    <row r="45" spans="1:18" x14ac:dyDescent="0.2">
      <c r="A45" s="244"/>
      <c r="B45" s="244"/>
      <c r="C45" s="244"/>
      <c r="D45" s="244"/>
      <c r="E45" s="244"/>
      <c r="F45" s="244"/>
      <c r="G45" s="244"/>
      <c r="H45" s="244"/>
      <c r="I45" s="244"/>
      <c r="J45" s="244"/>
      <c r="K45" s="244"/>
      <c r="L45" s="244"/>
      <c r="M45" s="244"/>
      <c r="N45" s="244"/>
      <c r="O45" s="244"/>
      <c r="P45" s="244"/>
      <c r="Q45" s="244"/>
      <c r="R45" s="706"/>
    </row>
    <row r="46" spans="1:18" x14ac:dyDescent="0.2">
      <c r="A46" s="244"/>
      <c r="B46" s="244"/>
      <c r="C46" s="244"/>
      <c r="D46" s="244"/>
      <c r="E46" s="244"/>
      <c r="F46" s="244"/>
      <c r="G46" s="244"/>
      <c r="H46" s="244"/>
      <c r="I46" s="244"/>
      <c r="J46" s="244"/>
      <c r="K46" s="244"/>
      <c r="L46" s="244"/>
      <c r="M46" s="244"/>
      <c r="N46" s="244"/>
      <c r="O46" s="244"/>
      <c r="P46" s="244"/>
      <c r="Q46" s="244"/>
      <c r="R46" s="706"/>
    </row>
    <row r="47" spans="1:18" x14ac:dyDescent="0.2">
      <c r="A47" s="244"/>
      <c r="B47" s="244"/>
      <c r="C47" s="244"/>
      <c r="D47" s="244"/>
      <c r="E47" s="244"/>
      <c r="F47" s="244"/>
      <c r="G47" s="244"/>
      <c r="H47" s="244"/>
      <c r="I47" s="244"/>
      <c r="J47" s="244"/>
      <c r="K47" s="244"/>
      <c r="L47" s="244"/>
      <c r="M47" s="244"/>
      <c r="N47" s="244"/>
      <c r="O47" s="244"/>
      <c r="P47" s="244"/>
      <c r="Q47" s="244"/>
      <c r="R47" s="706"/>
    </row>
    <row r="48" spans="1:18" x14ac:dyDescent="0.2">
      <c r="A48" s="244"/>
      <c r="B48" s="244"/>
      <c r="C48" s="244"/>
      <c r="D48" s="244"/>
      <c r="E48" s="244"/>
      <c r="F48" s="244"/>
      <c r="G48" s="244"/>
      <c r="H48" s="244"/>
      <c r="I48" s="244"/>
      <c r="J48" s="244"/>
      <c r="K48" s="244"/>
      <c r="L48" s="244"/>
      <c r="M48" s="244"/>
      <c r="N48" s="244"/>
      <c r="O48" s="244"/>
      <c r="P48" s="244"/>
      <c r="Q48" s="244"/>
      <c r="R48" s="706"/>
    </row>
    <row r="49" spans="1:18" x14ac:dyDescent="0.2">
      <c r="A49" s="244"/>
      <c r="B49" s="244"/>
      <c r="C49" s="244"/>
      <c r="D49" s="244"/>
      <c r="E49" s="244"/>
      <c r="F49" s="244"/>
      <c r="G49" s="244"/>
      <c r="H49" s="244"/>
      <c r="I49" s="244"/>
      <c r="J49" s="244"/>
      <c r="K49" s="244"/>
      <c r="L49" s="244"/>
      <c r="M49" s="244"/>
      <c r="N49" s="244"/>
      <c r="O49" s="244"/>
      <c r="P49" s="244"/>
      <c r="Q49" s="244"/>
      <c r="R49" s="706"/>
    </row>
    <row r="50" spans="1:18" x14ac:dyDescent="0.2">
      <c r="A50" s="244"/>
      <c r="B50" s="244"/>
      <c r="C50" s="244"/>
      <c r="D50" s="244"/>
      <c r="E50" s="244"/>
      <c r="F50" s="244"/>
      <c r="G50" s="244"/>
      <c r="H50" s="244"/>
      <c r="I50" s="244"/>
      <c r="J50" s="244"/>
      <c r="K50" s="244"/>
      <c r="L50" s="244"/>
      <c r="M50" s="244"/>
      <c r="N50" s="244"/>
      <c r="O50" s="244"/>
      <c r="P50" s="244"/>
      <c r="Q50" s="244"/>
      <c r="R50" s="706"/>
    </row>
    <row r="51" spans="1:18" x14ac:dyDescent="0.2">
      <c r="A51" s="244"/>
      <c r="B51" s="244"/>
      <c r="C51" s="244"/>
      <c r="D51" s="244"/>
      <c r="E51" s="244"/>
      <c r="F51" s="244"/>
      <c r="G51" s="244"/>
      <c r="H51" s="244"/>
      <c r="I51" s="244"/>
      <c r="J51" s="244"/>
      <c r="K51" s="244"/>
      <c r="L51" s="244"/>
      <c r="M51" s="244"/>
      <c r="N51" s="244"/>
      <c r="O51" s="244"/>
      <c r="P51" s="244"/>
      <c r="Q51" s="244"/>
      <c r="R51" s="706"/>
    </row>
    <row r="52" spans="1:18" x14ac:dyDescent="0.2">
      <c r="A52" s="244"/>
      <c r="B52" s="244"/>
      <c r="C52" s="244"/>
      <c r="D52" s="244"/>
      <c r="E52" s="244"/>
      <c r="F52" s="244"/>
      <c r="G52" s="244"/>
      <c r="H52" s="244"/>
      <c r="I52" s="244"/>
      <c r="J52" s="244"/>
      <c r="K52" s="244"/>
      <c r="L52" s="244"/>
      <c r="M52" s="244"/>
      <c r="N52" s="244"/>
      <c r="O52" s="244"/>
      <c r="P52" s="244"/>
      <c r="Q52" s="244"/>
      <c r="R52" s="706"/>
    </row>
    <row r="53" spans="1:18" x14ac:dyDescent="0.2">
      <c r="A53" s="244"/>
      <c r="B53" s="244"/>
      <c r="C53" s="244"/>
      <c r="D53" s="244"/>
      <c r="E53" s="244"/>
      <c r="F53" s="244"/>
      <c r="G53" s="244"/>
      <c r="H53" s="244"/>
      <c r="I53" s="244"/>
      <c r="J53" s="244"/>
      <c r="K53" s="244"/>
      <c r="L53" s="244"/>
      <c r="M53" s="244"/>
      <c r="N53" s="244"/>
      <c r="O53" s="244"/>
      <c r="P53" s="244"/>
      <c r="Q53" s="244"/>
      <c r="R53" s="706"/>
    </row>
    <row r="54" spans="1:18" x14ac:dyDescent="0.2">
      <c r="A54" s="244"/>
      <c r="B54" s="244"/>
      <c r="C54" s="244"/>
      <c r="D54" s="244"/>
      <c r="E54" s="244"/>
      <c r="F54" s="244"/>
      <c r="G54" s="244"/>
      <c r="H54" s="244"/>
      <c r="I54" s="244"/>
      <c r="J54" s="244"/>
      <c r="K54" s="244"/>
      <c r="L54" s="244"/>
      <c r="M54" s="244"/>
      <c r="N54" s="244"/>
      <c r="O54" s="244"/>
      <c r="P54" s="244"/>
      <c r="Q54" s="244"/>
      <c r="R54" s="706"/>
    </row>
    <row r="55" spans="1:18" x14ac:dyDescent="0.2">
      <c r="A55" s="244"/>
      <c r="B55" s="244"/>
      <c r="C55" s="244"/>
      <c r="D55" s="244"/>
      <c r="E55" s="244"/>
      <c r="F55" s="244"/>
      <c r="G55" s="244"/>
      <c r="H55" s="244"/>
      <c r="I55" s="244"/>
      <c r="J55" s="244"/>
      <c r="K55" s="244"/>
      <c r="L55" s="244"/>
      <c r="M55" s="244"/>
      <c r="N55" s="244"/>
      <c r="O55" s="244"/>
      <c r="P55" s="244"/>
      <c r="Q55" s="244"/>
      <c r="R55" s="706"/>
    </row>
    <row r="56" spans="1:18" x14ac:dyDescent="0.2">
      <c r="A56" s="244"/>
      <c r="B56" s="244"/>
      <c r="C56" s="244"/>
      <c r="D56" s="244"/>
      <c r="E56" s="244"/>
      <c r="F56" s="244"/>
      <c r="G56" s="244"/>
      <c r="H56" s="244"/>
      <c r="I56" s="244"/>
      <c r="J56" s="244"/>
      <c r="K56" s="244"/>
      <c r="L56" s="244"/>
      <c r="M56" s="244"/>
      <c r="N56" s="244"/>
      <c r="O56" s="244"/>
      <c r="P56" s="244"/>
      <c r="Q56" s="244"/>
      <c r="R56" s="706"/>
    </row>
    <row r="57" spans="1:18" x14ac:dyDescent="0.2">
      <c r="A57" s="244"/>
      <c r="B57" s="244"/>
      <c r="C57" s="244"/>
      <c r="D57" s="244"/>
      <c r="E57" s="244"/>
      <c r="F57" s="244"/>
      <c r="G57" s="244"/>
      <c r="H57" s="244"/>
      <c r="I57" s="244"/>
      <c r="J57" s="244"/>
      <c r="K57" s="244"/>
      <c r="L57" s="244"/>
      <c r="M57" s="244"/>
      <c r="N57" s="244"/>
      <c r="O57" s="244"/>
      <c r="P57" s="244"/>
      <c r="Q57" s="244"/>
      <c r="R57" s="706"/>
    </row>
    <row r="58" spans="1:18" x14ac:dyDescent="0.2">
      <c r="A58" s="244"/>
      <c r="B58" s="244"/>
      <c r="C58" s="244"/>
      <c r="D58" s="244"/>
      <c r="E58" s="244"/>
      <c r="F58" s="244"/>
      <c r="G58" s="244"/>
      <c r="H58" s="244"/>
      <c r="I58" s="244"/>
      <c r="J58" s="244"/>
      <c r="K58" s="244"/>
      <c r="L58" s="244"/>
      <c r="M58" s="244"/>
      <c r="N58" s="244"/>
      <c r="O58" s="244"/>
      <c r="P58" s="244"/>
      <c r="Q58" s="244"/>
      <c r="R58" s="706"/>
    </row>
    <row r="59" spans="1:18" x14ac:dyDescent="0.2">
      <c r="A59" s="244"/>
      <c r="B59" s="244"/>
      <c r="C59" s="244"/>
      <c r="D59" s="244"/>
      <c r="E59" s="244"/>
      <c r="F59" s="244"/>
      <c r="G59" s="244"/>
      <c r="H59" s="244"/>
      <c r="I59" s="244"/>
      <c r="J59" s="244"/>
      <c r="K59" s="244"/>
      <c r="L59" s="244"/>
      <c r="M59" s="244"/>
      <c r="N59" s="244"/>
      <c r="O59" s="244"/>
      <c r="P59" s="244"/>
      <c r="Q59" s="244"/>
      <c r="R59" s="706"/>
    </row>
    <row r="60" spans="1:18" x14ac:dyDescent="0.2">
      <c r="A60" s="244"/>
      <c r="B60" s="244"/>
      <c r="C60" s="244"/>
      <c r="D60" s="244"/>
      <c r="E60" s="244"/>
      <c r="F60" s="244"/>
      <c r="G60" s="244"/>
      <c r="H60" s="244"/>
      <c r="I60" s="244"/>
      <c r="J60" s="244"/>
      <c r="K60" s="244"/>
      <c r="L60" s="244"/>
      <c r="M60" s="244"/>
      <c r="N60" s="244"/>
      <c r="O60" s="244"/>
      <c r="P60" s="244"/>
      <c r="Q60" s="244"/>
      <c r="R60" s="706"/>
    </row>
    <row r="61" spans="1:18" x14ac:dyDescent="0.2">
      <c r="A61" s="244"/>
      <c r="B61" s="244"/>
      <c r="C61" s="244"/>
      <c r="D61" s="244"/>
      <c r="E61" s="244"/>
      <c r="F61" s="244"/>
      <c r="G61" s="244"/>
      <c r="H61" s="244"/>
      <c r="I61" s="244"/>
      <c r="J61" s="244"/>
      <c r="K61" s="244"/>
      <c r="L61" s="244"/>
      <c r="M61" s="244"/>
      <c r="N61" s="244"/>
      <c r="O61" s="244"/>
      <c r="P61" s="244"/>
      <c r="Q61" s="244"/>
      <c r="R61" s="703"/>
    </row>
    <row r="62" spans="1:18" x14ac:dyDescent="0.2">
      <c r="A62" s="244"/>
      <c r="B62" s="244"/>
      <c r="C62" s="244"/>
      <c r="D62" s="244"/>
      <c r="E62" s="244"/>
      <c r="F62" s="244"/>
      <c r="G62" s="244"/>
      <c r="H62" s="244"/>
      <c r="I62" s="244"/>
      <c r="J62" s="244"/>
      <c r="K62" s="244"/>
      <c r="L62" s="244"/>
      <c r="M62" s="244"/>
      <c r="N62" s="244"/>
      <c r="O62" s="244"/>
      <c r="P62" s="244"/>
      <c r="Q62" s="244"/>
      <c r="R62" s="703"/>
    </row>
    <row r="63" spans="1:18" x14ac:dyDescent="0.2">
      <c r="A63" s="244"/>
      <c r="B63" s="244"/>
      <c r="C63" s="244"/>
      <c r="D63" s="244"/>
      <c r="E63" s="244"/>
      <c r="F63" s="244"/>
      <c r="G63" s="244"/>
      <c r="H63" s="244"/>
      <c r="I63" s="244"/>
      <c r="J63" s="244"/>
      <c r="K63" s="244"/>
      <c r="L63" s="244"/>
      <c r="M63" s="244"/>
      <c r="N63" s="244"/>
      <c r="O63" s="244"/>
      <c r="P63" s="244"/>
      <c r="Q63" s="244"/>
      <c r="R63" s="703"/>
    </row>
    <row r="64" spans="1:18" x14ac:dyDescent="0.2">
      <c r="A64" s="244"/>
      <c r="B64" s="244"/>
      <c r="C64" s="244"/>
      <c r="D64" s="244"/>
      <c r="E64" s="244"/>
      <c r="F64" s="244"/>
      <c r="G64" s="244"/>
      <c r="H64" s="244"/>
      <c r="I64" s="244"/>
      <c r="J64" s="244"/>
      <c r="K64" s="244"/>
      <c r="L64" s="244"/>
      <c r="M64" s="244"/>
      <c r="N64" s="244"/>
      <c r="O64" s="244"/>
      <c r="P64" s="244"/>
      <c r="Q64" s="244"/>
      <c r="R64" s="703"/>
    </row>
    <row r="65" spans="1:18" x14ac:dyDescent="0.2">
      <c r="A65" s="244"/>
      <c r="B65" s="244"/>
      <c r="C65" s="244"/>
      <c r="D65" s="244"/>
      <c r="E65" s="244"/>
      <c r="F65" s="244"/>
      <c r="G65" s="244"/>
      <c r="H65" s="244"/>
      <c r="I65" s="244"/>
      <c r="J65" s="244"/>
      <c r="K65" s="244"/>
      <c r="L65" s="244"/>
      <c r="M65" s="244"/>
      <c r="N65" s="244"/>
      <c r="O65" s="244"/>
      <c r="P65" s="244"/>
      <c r="Q65" s="244"/>
      <c r="R65" s="703"/>
    </row>
    <row r="66" spans="1:18" x14ac:dyDescent="0.2">
      <c r="A66" s="244"/>
      <c r="B66" s="244"/>
      <c r="C66" s="244"/>
      <c r="D66" s="244"/>
      <c r="E66" s="244"/>
      <c r="F66" s="244"/>
      <c r="G66" s="244"/>
      <c r="H66" s="244"/>
      <c r="I66" s="244"/>
      <c r="J66" s="244"/>
      <c r="K66" s="244"/>
      <c r="L66" s="244"/>
      <c r="M66" s="244"/>
      <c r="N66" s="244"/>
      <c r="O66" s="244"/>
      <c r="P66" s="244"/>
      <c r="Q66" s="244"/>
      <c r="R66" s="703"/>
    </row>
    <row r="67" spans="1:18" x14ac:dyDescent="0.2">
      <c r="A67" s="244"/>
      <c r="B67" s="244"/>
      <c r="C67" s="244"/>
      <c r="D67" s="244"/>
      <c r="E67" s="244"/>
      <c r="F67" s="244"/>
      <c r="G67" s="244"/>
      <c r="H67" s="244"/>
      <c r="I67" s="244"/>
      <c r="J67" s="244"/>
      <c r="K67" s="244"/>
      <c r="L67" s="244"/>
      <c r="M67" s="244"/>
      <c r="N67" s="244"/>
      <c r="O67" s="244"/>
      <c r="P67" s="244"/>
      <c r="Q67" s="244"/>
      <c r="R67" s="703"/>
    </row>
    <row r="68" spans="1:18" x14ac:dyDescent="0.2">
      <c r="A68" s="244"/>
      <c r="B68" s="244"/>
      <c r="C68" s="244"/>
      <c r="D68" s="244"/>
      <c r="E68" s="244"/>
      <c r="F68" s="244"/>
      <c r="G68" s="244"/>
      <c r="H68" s="244"/>
      <c r="I68" s="244"/>
      <c r="J68" s="244"/>
      <c r="K68" s="244"/>
      <c r="L68" s="244"/>
      <c r="M68" s="244"/>
      <c r="N68" s="244"/>
      <c r="O68" s="244"/>
      <c r="P68" s="244"/>
      <c r="Q68" s="244"/>
      <c r="R68" s="703"/>
    </row>
    <row r="69" spans="1:18" x14ac:dyDescent="0.2">
      <c r="A69" s="244"/>
      <c r="B69" s="244"/>
      <c r="C69" s="244"/>
      <c r="D69" s="244"/>
      <c r="E69" s="244"/>
      <c r="F69" s="244"/>
      <c r="G69" s="244"/>
      <c r="H69" s="244"/>
      <c r="I69" s="244"/>
      <c r="J69" s="244"/>
      <c r="K69" s="244"/>
      <c r="L69" s="244"/>
      <c r="M69" s="244"/>
      <c r="N69" s="244"/>
      <c r="O69" s="244"/>
      <c r="P69" s="244"/>
      <c r="Q69" s="244"/>
      <c r="R69" s="703"/>
    </row>
    <row r="70" spans="1:18" x14ac:dyDescent="0.2">
      <c r="A70" s="244"/>
      <c r="B70" s="244"/>
      <c r="C70" s="244"/>
      <c r="D70" s="244"/>
      <c r="E70" s="244"/>
      <c r="F70" s="244"/>
      <c r="G70" s="244"/>
      <c r="H70" s="244"/>
      <c r="I70" s="244"/>
      <c r="J70" s="244"/>
      <c r="K70" s="244"/>
      <c r="L70" s="244"/>
      <c r="M70" s="244"/>
      <c r="N70" s="244"/>
      <c r="O70" s="244"/>
      <c r="P70" s="244"/>
      <c r="Q70" s="244"/>
      <c r="R70" s="705"/>
    </row>
    <row r="71" spans="1:18" x14ac:dyDescent="0.2">
      <c r="A71" s="244"/>
      <c r="B71" s="244"/>
      <c r="C71" s="244"/>
      <c r="D71" s="244"/>
      <c r="E71" s="244"/>
      <c r="F71" s="244"/>
      <c r="G71" s="244"/>
      <c r="H71" s="244"/>
      <c r="I71" s="244"/>
      <c r="J71" s="244"/>
      <c r="K71" s="244"/>
      <c r="L71" s="244"/>
      <c r="M71" s="244"/>
      <c r="N71" s="244"/>
      <c r="O71" s="244"/>
      <c r="P71" s="244"/>
      <c r="Q71" s="244"/>
      <c r="R71" s="703"/>
    </row>
    <row r="72" spans="1:18" x14ac:dyDescent="0.2">
      <c r="A72" s="244"/>
      <c r="B72" s="244"/>
      <c r="C72" s="244"/>
      <c r="D72" s="244"/>
      <c r="E72" s="244"/>
      <c r="F72" s="244"/>
      <c r="G72" s="244"/>
      <c r="H72" s="244"/>
      <c r="I72" s="244"/>
      <c r="J72" s="244"/>
      <c r="K72" s="244"/>
      <c r="L72" s="244"/>
      <c r="M72" s="244"/>
      <c r="N72" s="244"/>
      <c r="O72" s="244"/>
      <c r="P72" s="244"/>
      <c r="Q72" s="244"/>
      <c r="R72" s="703"/>
    </row>
    <row r="73" spans="1:18" x14ac:dyDescent="0.2">
      <c r="A73" s="244"/>
      <c r="B73" s="244"/>
      <c r="C73" s="244"/>
      <c r="D73" s="244"/>
      <c r="E73" s="244"/>
      <c r="F73" s="244"/>
      <c r="G73" s="244"/>
      <c r="H73" s="244"/>
      <c r="I73" s="244"/>
      <c r="J73" s="244"/>
      <c r="K73" s="244"/>
      <c r="L73" s="244"/>
      <c r="M73" s="244"/>
      <c r="N73" s="244"/>
      <c r="O73" s="244"/>
      <c r="P73" s="244"/>
      <c r="Q73" s="244"/>
      <c r="R73" s="703"/>
    </row>
    <row r="74" spans="1:18" x14ac:dyDescent="0.2">
      <c r="A74" s="244"/>
      <c r="B74" s="244"/>
      <c r="C74" s="244"/>
      <c r="D74" s="244"/>
      <c r="E74" s="244"/>
      <c r="F74" s="244"/>
      <c r="G74" s="244"/>
      <c r="H74" s="244"/>
      <c r="I74" s="244"/>
      <c r="J74" s="244"/>
      <c r="K74" s="244"/>
      <c r="L74" s="244"/>
      <c r="M74" s="244"/>
      <c r="N74" s="244"/>
      <c r="O74" s="244"/>
      <c r="P74" s="244"/>
      <c r="Q74" s="244"/>
      <c r="R74" s="703"/>
    </row>
    <row r="75" spans="1:18" x14ac:dyDescent="0.2">
      <c r="A75" s="244"/>
      <c r="B75" s="244"/>
      <c r="C75" s="244"/>
      <c r="D75" s="244"/>
      <c r="E75" s="244"/>
      <c r="F75" s="244"/>
      <c r="G75" s="244"/>
      <c r="H75" s="244"/>
      <c r="I75" s="244"/>
      <c r="J75" s="244"/>
      <c r="K75" s="244"/>
      <c r="L75" s="244"/>
      <c r="M75" s="244"/>
      <c r="N75" s="244"/>
      <c r="O75" s="244"/>
      <c r="P75" s="244"/>
      <c r="Q75" s="244"/>
      <c r="R75" s="703"/>
    </row>
    <row r="76" spans="1:18" ht="15.75" x14ac:dyDescent="0.25">
      <c r="A76" s="244"/>
      <c r="B76" s="244"/>
      <c r="C76" s="244"/>
      <c r="D76" s="244"/>
      <c r="E76" s="244"/>
      <c r="F76" s="244"/>
      <c r="G76" s="244"/>
      <c r="H76" s="244"/>
      <c r="I76" s="244"/>
      <c r="J76" s="244"/>
      <c r="K76" s="244"/>
      <c r="L76" s="244"/>
      <c r="M76" s="244"/>
      <c r="N76" s="244"/>
      <c r="O76" s="244"/>
      <c r="P76" s="244"/>
      <c r="Q76" s="244"/>
      <c r="R76" s="704"/>
    </row>
    <row r="77" spans="1:18" x14ac:dyDescent="0.2">
      <c r="A77" s="244"/>
      <c r="B77" s="244"/>
      <c r="C77" s="244"/>
      <c r="D77" s="244"/>
      <c r="E77" s="244"/>
      <c r="F77" s="244"/>
      <c r="G77" s="244"/>
      <c r="H77" s="244"/>
      <c r="I77" s="244"/>
      <c r="J77" s="244"/>
      <c r="K77" s="244"/>
      <c r="L77" s="244"/>
      <c r="M77" s="244"/>
      <c r="N77" s="244"/>
      <c r="O77" s="244"/>
      <c r="P77" s="244"/>
      <c r="Q77" s="244"/>
      <c r="R77" s="703"/>
    </row>
    <row r="78" spans="1:18" x14ac:dyDescent="0.2">
      <c r="A78" s="244"/>
      <c r="B78" s="244"/>
      <c r="C78" s="244"/>
      <c r="D78" s="244"/>
      <c r="E78" s="244"/>
      <c r="F78" s="244"/>
      <c r="G78" s="244"/>
      <c r="H78" s="244"/>
      <c r="I78" s="244"/>
      <c r="J78" s="244"/>
      <c r="K78" s="244"/>
      <c r="L78" s="244"/>
      <c r="M78" s="244"/>
      <c r="N78" s="244"/>
      <c r="O78" s="244"/>
      <c r="P78" s="244"/>
      <c r="Q78" s="244"/>
      <c r="R78" s="703"/>
    </row>
    <row r="79" spans="1:18" x14ac:dyDescent="0.2">
      <c r="A79" s="244"/>
      <c r="B79" s="244"/>
      <c r="C79" s="244"/>
      <c r="D79" s="244"/>
      <c r="E79" s="244"/>
      <c r="F79" s="244"/>
      <c r="G79" s="244"/>
      <c r="H79" s="244"/>
      <c r="I79" s="244"/>
      <c r="J79" s="244"/>
      <c r="K79" s="244"/>
      <c r="L79" s="244"/>
      <c r="M79" s="244"/>
      <c r="N79" s="244"/>
      <c r="O79" s="244"/>
      <c r="P79" s="244"/>
      <c r="Q79" s="244"/>
      <c r="R79" s="703"/>
    </row>
    <row r="80" spans="1:18" x14ac:dyDescent="0.2">
      <c r="A80" s="244"/>
      <c r="B80" s="244"/>
      <c r="C80" s="244"/>
      <c r="D80" s="244"/>
      <c r="E80" s="244"/>
      <c r="F80" s="244"/>
      <c r="G80" s="244"/>
      <c r="H80" s="244"/>
      <c r="I80" s="244"/>
      <c r="J80" s="244"/>
      <c r="K80" s="244"/>
      <c r="L80" s="244"/>
      <c r="M80" s="244"/>
      <c r="N80" s="244"/>
      <c r="O80" s="244"/>
      <c r="P80" s="244"/>
      <c r="Q80" s="244"/>
      <c r="R80" s="703"/>
    </row>
    <row r="81" spans="1:18" x14ac:dyDescent="0.2">
      <c r="A81" s="244"/>
      <c r="B81" s="244"/>
      <c r="C81" s="244"/>
      <c r="D81" s="244"/>
      <c r="E81" s="244"/>
      <c r="F81" s="244"/>
      <c r="G81" s="244"/>
      <c r="H81" s="244"/>
      <c r="I81" s="244"/>
      <c r="J81" s="244"/>
      <c r="K81" s="244"/>
      <c r="L81" s="244"/>
      <c r="M81" s="244"/>
      <c r="N81" s="244"/>
      <c r="O81" s="244"/>
      <c r="P81" s="244"/>
      <c r="Q81" s="244"/>
      <c r="R81" s="703"/>
    </row>
    <row r="82" spans="1:18" x14ac:dyDescent="0.2">
      <c r="R82" s="703"/>
    </row>
    <row r="83" spans="1:18" x14ac:dyDescent="0.2">
      <c r="R83" s="703"/>
    </row>
    <row r="84" spans="1:18" x14ac:dyDescent="0.2">
      <c r="R84" s="703"/>
    </row>
    <row r="85" spans="1:18" x14ac:dyDescent="0.2">
      <c r="R85" s="703"/>
    </row>
    <row r="86" spans="1:18" x14ac:dyDescent="0.2">
      <c r="R86" s="703"/>
    </row>
    <row r="87" spans="1:18" x14ac:dyDescent="0.2">
      <c r="R87" s="703"/>
    </row>
    <row r="88" spans="1:18" x14ac:dyDescent="0.2">
      <c r="R88" s="703"/>
    </row>
    <row r="89" spans="1:18" x14ac:dyDescent="0.2">
      <c r="R89" s="703"/>
    </row>
    <row r="90" spans="1:18" x14ac:dyDescent="0.2">
      <c r="R90" s="703"/>
    </row>
    <row r="91" spans="1:18" x14ac:dyDescent="0.2">
      <c r="R91" s="703"/>
    </row>
    <row r="92" spans="1:18" x14ac:dyDescent="0.2">
      <c r="R92" s="703"/>
    </row>
    <row r="93" spans="1:18" x14ac:dyDescent="0.2">
      <c r="R93" s="703"/>
    </row>
    <row r="94" spans="1:18" x14ac:dyDescent="0.2">
      <c r="R94" s="703"/>
    </row>
    <row r="95" spans="1:18" x14ac:dyDescent="0.2">
      <c r="R95" s="703"/>
    </row>
    <row r="96" spans="1:18" x14ac:dyDescent="0.2">
      <c r="R96" s="703"/>
    </row>
    <row r="97" spans="18:18" x14ac:dyDescent="0.2">
      <c r="R97" s="703"/>
    </row>
    <row r="98" spans="18:18" x14ac:dyDescent="0.2">
      <c r="R98" s="703"/>
    </row>
    <row r="99" spans="18:18" x14ac:dyDescent="0.2">
      <c r="R99" s="703"/>
    </row>
    <row r="100" spans="18:18" x14ac:dyDescent="0.2">
      <c r="R100" s="703"/>
    </row>
    <row r="101" spans="18:18" x14ac:dyDescent="0.2">
      <c r="R101" s="703"/>
    </row>
    <row r="102" spans="18:18" x14ac:dyDescent="0.2">
      <c r="R102" s="703"/>
    </row>
    <row r="103" spans="18:18" x14ac:dyDescent="0.2">
      <c r="R103" s="703"/>
    </row>
    <row r="104" spans="18:18" x14ac:dyDescent="0.2">
      <c r="R104" s="703"/>
    </row>
    <row r="105" spans="18:18" x14ac:dyDescent="0.2">
      <c r="R105" s="703"/>
    </row>
    <row r="106" spans="18:18" x14ac:dyDescent="0.2">
      <c r="R106" s="703"/>
    </row>
    <row r="107" spans="18:18" x14ac:dyDescent="0.2">
      <c r="R107" s="703"/>
    </row>
    <row r="108" spans="18:18" x14ac:dyDescent="0.2">
      <c r="R108" s="702"/>
    </row>
    <row r="109" spans="18:18" x14ac:dyDescent="0.2">
      <c r="R109" s="702"/>
    </row>
    <row r="110" spans="18:18" x14ac:dyDescent="0.2">
      <c r="R110" s="702"/>
    </row>
    <row r="111" spans="18:18" x14ac:dyDescent="0.2">
      <c r="R111" s="702"/>
    </row>
    <row r="112" spans="18:18" x14ac:dyDescent="0.2">
      <c r="R112" s="702"/>
    </row>
    <row r="113" spans="18:18" x14ac:dyDescent="0.2">
      <c r="R113" s="702"/>
    </row>
    <row r="114" spans="18:18" x14ac:dyDescent="0.2">
      <c r="R114" s="702"/>
    </row>
    <row r="115" spans="18:18" x14ac:dyDescent="0.2">
      <c r="R115" s="702"/>
    </row>
    <row r="116" spans="18:18" x14ac:dyDescent="0.2">
      <c r="R116" s="702"/>
    </row>
    <row r="117" spans="18:18" x14ac:dyDescent="0.2">
      <c r="R117" s="702"/>
    </row>
    <row r="118" spans="18:18" x14ac:dyDescent="0.2">
      <c r="R118" s="702"/>
    </row>
    <row r="119" spans="18:18" x14ac:dyDescent="0.2">
      <c r="R119" s="702"/>
    </row>
    <row r="120" spans="18:18" x14ac:dyDescent="0.2">
      <c r="R120" s="702"/>
    </row>
    <row r="121" spans="18:18" x14ac:dyDescent="0.2">
      <c r="R121" s="702"/>
    </row>
    <row r="122" spans="18:18" x14ac:dyDescent="0.2">
      <c r="R122" s="702"/>
    </row>
    <row r="123" spans="18:18" x14ac:dyDescent="0.2">
      <c r="R123" s="702"/>
    </row>
    <row r="124" spans="18:18" x14ac:dyDescent="0.2">
      <c r="R124" s="702"/>
    </row>
    <row r="125" spans="18:18" x14ac:dyDescent="0.2">
      <c r="R125" s="702"/>
    </row>
    <row r="126" spans="18:18" x14ac:dyDescent="0.2">
      <c r="R126" s="702"/>
    </row>
    <row r="127" spans="18:18" x14ac:dyDescent="0.2">
      <c r="R127" s="702"/>
    </row>
    <row r="128" spans="18:18" x14ac:dyDescent="0.2">
      <c r="R128" s="702"/>
    </row>
    <row r="129" spans="18:18" x14ac:dyDescent="0.2">
      <c r="R129" s="702"/>
    </row>
    <row r="130" spans="18:18" x14ac:dyDescent="0.2">
      <c r="R130" s="702"/>
    </row>
    <row r="131" spans="18:18" x14ac:dyDescent="0.2">
      <c r="R131" s="702"/>
    </row>
    <row r="132" spans="18:18" x14ac:dyDescent="0.2">
      <c r="R132" s="702"/>
    </row>
    <row r="133" spans="18:18" x14ac:dyDescent="0.2">
      <c r="R133" s="702"/>
    </row>
    <row r="134" spans="18:18" x14ac:dyDescent="0.2">
      <c r="R134" s="702"/>
    </row>
    <row r="135" spans="18:18" x14ac:dyDescent="0.2">
      <c r="R135" s="702"/>
    </row>
    <row r="136" spans="18:18" x14ac:dyDescent="0.2">
      <c r="R136" s="702"/>
    </row>
    <row r="137" spans="18:18" x14ac:dyDescent="0.2">
      <c r="R137" s="702"/>
    </row>
    <row r="138" spans="18:18" x14ac:dyDescent="0.2">
      <c r="R138" s="702"/>
    </row>
    <row r="139" spans="18:18" x14ac:dyDescent="0.2">
      <c r="R139" s="702"/>
    </row>
    <row r="140" spans="18:18" x14ac:dyDescent="0.2">
      <c r="R140" s="702"/>
    </row>
    <row r="141" spans="18:18" x14ac:dyDescent="0.2">
      <c r="R141" s="702"/>
    </row>
    <row r="142" spans="18:18" x14ac:dyDescent="0.2">
      <c r="R142" s="702"/>
    </row>
    <row r="143" spans="18:18" x14ac:dyDescent="0.2">
      <c r="R143" s="702"/>
    </row>
    <row r="144" spans="18:18" x14ac:dyDescent="0.2">
      <c r="R144" s="702"/>
    </row>
    <row r="145" spans="18:18" x14ac:dyDescent="0.2">
      <c r="R145" s="702"/>
    </row>
    <row r="146" spans="18:18" x14ac:dyDescent="0.2">
      <c r="R146" s="702"/>
    </row>
    <row r="147" spans="18:18" x14ac:dyDescent="0.2">
      <c r="R147" s="702"/>
    </row>
    <row r="148" spans="18:18" x14ac:dyDescent="0.2">
      <c r="R148" s="702"/>
    </row>
    <row r="149" spans="18:18" x14ac:dyDescent="0.2">
      <c r="R149" s="702"/>
    </row>
    <row r="150" spans="18:18" x14ac:dyDescent="0.2">
      <c r="R150" s="702"/>
    </row>
    <row r="151" spans="18:18" x14ac:dyDescent="0.2">
      <c r="R151" s="702"/>
    </row>
    <row r="152" spans="18:18" x14ac:dyDescent="0.2">
      <c r="R152" s="702"/>
    </row>
    <row r="153" spans="18:18" x14ac:dyDescent="0.2">
      <c r="R153" s="702"/>
    </row>
    <row r="154" spans="18:18" x14ac:dyDescent="0.2">
      <c r="R154" s="702"/>
    </row>
    <row r="155" spans="18:18" x14ac:dyDescent="0.2">
      <c r="R155" s="702"/>
    </row>
    <row r="156" spans="18:18" x14ac:dyDescent="0.2">
      <c r="R156" s="702"/>
    </row>
    <row r="157" spans="18:18" x14ac:dyDescent="0.2">
      <c r="R157" s="702"/>
    </row>
    <row r="158" spans="18:18" x14ac:dyDescent="0.2">
      <c r="R158" s="702"/>
    </row>
    <row r="159" spans="18:18" x14ac:dyDescent="0.2">
      <c r="R159" s="702"/>
    </row>
    <row r="160" spans="18:18" x14ac:dyDescent="0.2">
      <c r="R160" s="702"/>
    </row>
    <row r="161" spans="18:18" x14ac:dyDescent="0.2">
      <c r="R161" s="702"/>
    </row>
    <row r="162" spans="18:18" x14ac:dyDescent="0.2">
      <c r="R162" s="702"/>
    </row>
    <row r="163" spans="18:18" x14ac:dyDescent="0.2">
      <c r="R163" s="702"/>
    </row>
    <row r="164" spans="18:18" x14ac:dyDescent="0.2">
      <c r="R164" s="702"/>
    </row>
    <row r="165" spans="18:18" x14ac:dyDescent="0.2">
      <c r="R165" s="702"/>
    </row>
    <row r="166" spans="18:18" x14ac:dyDescent="0.2">
      <c r="R166" s="702"/>
    </row>
    <row r="167" spans="18:18" x14ac:dyDescent="0.2">
      <c r="R167" s="702"/>
    </row>
    <row r="168" spans="18:18" x14ac:dyDescent="0.2">
      <c r="R168" s="702"/>
    </row>
    <row r="169" spans="18:18" x14ac:dyDescent="0.2">
      <c r="R169" s="702"/>
    </row>
    <row r="170" spans="18:18" x14ac:dyDescent="0.2">
      <c r="R170" s="702"/>
    </row>
    <row r="171" spans="18:18" x14ac:dyDescent="0.2">
      <c r="R171" s="702"/>
    </row>
    <row r="172" spans="18:18" x14ac:dyDescent="0.2">
      <c r="R172" s="702"/>
    </row>
    <row r="173" spans="18:18" x14ac:dyDescent="0.2">
      <c r="R173" s="702"/>
    </row>
    <row r="174" spans="18:18" x14ac:dyDescent="0.2">
      <c r="R174" s="702"/>
    </row>
    <row r="175" spans="18:18" x14ac:dyDescent="0.2">
      <c r="R175" s="702"/>
    </row>
    <row r="176" spans="18:18" x14ac:dyDescent="0.2">
      <c r="R176" s="702"/>
    </row>
    <row r="177" spans="18:18" x14ac:dyDescent="0.2">
      <c r="R177" s="702"/>
    </row>
    <row r="178" spans="18:18" x14ac:dyDescent="0.2">
      <c r="R178" s="702"/>
    </row>
    <row r="179" spans="18:18" x14ac:dyDescent="0.2">
      <c r="R179" s="702"/>
    </row>
    <row r="180" spans="18:18" x14ac:dyDescent="0.2">
      <c r="R180" s="702"/>
    </row>
    <row r="181" spans="18:18" x14ac:dyDescent="0.2">
      <c r="R181" s="702"/>
    </row>
    <row r="182" spans="18:18" x14ac:dyDescent="0.2">
      <c r="R182" s="702"/>
    </row>
    <row r="183" spans="18:18" x14ac:dyDescent="0.2">
      <c r="R183" s="702"/>
    </row>
    <row r="184" spans="18:18" x14ac:dyDescent="0.2">
      <c r="R184" s="702"/>
    </row>
    <row r="185" spans="18:18" x14ac:dyDescent="0.2">
      <c r="R185" s="702"/>
    </row>
    <row r="186" spans="18:18" x14ac:dyDescent="0.2">
      <c r="R186" s="702"/>
    </row>
    <row r="187" spans="18:18" x14ac:dyDescent="0.2">
      <c r="R187" s="702"/>
    </row>
    <row r="188" spans="18:18" x14ac:dyDescent="0.2">
      <c r="R188" s="702"/>
    </row>
    <row r="189" spans="18:18" x14ac:dyDescent="0.2">
      <c r="R189" s="702"/>
    </row>
    <row r="190" spans="18:18" x14ac:dyDescent="0.2">
      <c r="R190" s="702"/>
    </row>
    <row r="191" spans="18:18" x14ac:dyDescent="0.2">
      <c r="R191" s="702"/>
    </row>
    <row r="192" spans="18:18" x14ac:dyDescent="0.2">
      <c r="R192" s="702"/>
    </row>
    <row r="193" spans="18:18" x14ac:dyDescent="0.2">
      <c r="R193" s="702"/>
    </row>
    <row r="194" spans="18:18" x14ac:dyDescent="0.2">
      <c r="R194" s="702"/>
    </row>
    <row r="195" spans="18:18" x14ac:dyDescent="0.2">
      <c r="R195" s="702"/>
    </row>
    <row r="196" spans="18:18" x14ac:dyDescent="0.2">
      <c r="R196" s="702"/>
    </row>
    <row r="197" spans="18:18" x14ac:dyDescent="0.2">
      <c r="R197" s="702"/>
    </row>
    <row r="198" spans="18:18" x14ac:dyDescent="0.2">
      <c r="R198" s="702"/>
    </row>
    <row r="199" spans="18:18" x14ac:dyDescent="0.2">
      <c r="R199" s="702"/>
    </row>
    <row r="200" spans="18:18" x14ac:dyDescent="0.2">
      <c r="R200" s="702"/>
    </row>
    <row r="201" spans="18:18" x14ac:dyDescent="0.2">
      <c r="R201" s="702"/>
    </row>
    <row r="202" spans="18:18" x14ac:dyDescent="0.2">
      <c r="R202" s="702"/>
    </row>
    <row r="203" spans="18:18" x14ac:dyDescent="0.2">
      <c r="R203" s="702"/>
    </row>
    <row r="204" spans="18:18" x14ac:dyDescent="0.2">
      <c r="R204" s="702"/>
    </row>
    <row r="205" spans="18:18" x14ac:dyDescent="0.2">
      <c r="R205" s="702"/>
    </row>
    <row r="206" spans="18:18" x14ac:dyDescent="0.2">
      <c r="R206" s="702"/>
    </row>
    <row r="207" spans="18:18" x14ac:dyDescent="0.2">
      <c r="R207" s="702"/>
    </row>
    <row r="208" spans="18:18" x14ac:dyDescent="0.2">
      <c r="R208" s="702"/>
    </row>
    <row r="209" spans="18:18" x14ac:dyDescent="0.2">
      <c r="R209" s="702"/>
    </row>
    <row r="210" spans="18:18" x14ac:dyDescent="0.2">
      <c r="R210" s="702"/>
    </row>
    <row r="211" spans="18:18" x14ac:dyDescent="0.2">
      <c r="R211" s="702"/>
    </row>
    <row r="212" spans="18:18" x14ac:dyDescent="0.2">
      <c r="R212" s="702"/>
    </row>
    <row r="213" spans="18:18" x14ac:dyDescent="0.2">
      <c r="R213" s="702"/>
    </row>
    <row r="214" spans="18:18" x14ac:dyDescent="0.2">
      <c r="R214" s="702"/>
    </row>
    <row r="215" spans="18:18" x14ac:dyDescent="0.2">
      <c r="R215" s="702"/>
    </row>
    <row r="216" spans="18:18" x14ac:dyDescent="0.2">
      <c r="R216" s="702"/>
    </row>
    <row r="217" spans="18:18" x14ac:dyDescent="0.2">
      <c r="R217" s="702"/>
    </row>
    <row r="218" spans="18:18" x14ac:dyDescent="0.2">
      <c r="R218" s="702"/>
    </row>
    <row r="219" spans="18:18" x14ac:dyDescent="0.2">
      <c r="R219" s="702"/>
    </row>
    <row r="220" spans="18:18" x14ac:dyDescent="0.2">
      <c r="R220" s="702"/>
    </row>
    <row r="221" spans="18:18" x14ac:dyDescent="0.2">
      <c r="R221" s="702"/>
    </row>
    <row r="222" spans="18:18" x14ac:dyDescent="0.2">
      <c r="R222" s="702"/>
    </row>
    <row r="223" spans="18:18" x14ac:dyDescent="0.2">
      <c r="R223" s="702"/>
    </row>
    <row r="224" spans="18:18" x14ac:dyDescent="0.2">
      <c r="R224" s="702"/>
    </row>
    <row r="225" spans="18:18" x14ac:dyDescent="0.2">
      <c r="R225" s="702"/>
    </row>
    <row r="226" spans="18:18" x14ac:dyDescent="0.2">
      <c r="R226" s="702"/>
    </row>
    <row r="227" spans="18:18" x14ac:dyDescent="0.2">
      <c r="R227" s="702"/>
    </row>
    <row r="228" spans="18:18" x14ac:dyDescent="0.2">
      <c r="R228" s="702"/>
    </row>
    <row r="229" spans="18:18" x14ac:dyDescent="0.2">
      <c r="R229" s="702"/>
    </row>
    <row r="230" spans="18:18" x14ac:dyDescent="0.2">
      <c r="R230" s="702"/>
    </row>
    <row r="231" spans="18:18" x14ac:dyDescent="0.2">
      <c r="R231" s="702"/>
    </row>
    <row r="232" spans="18:18" x14ac:dyDescent="0.2">
      <c r="R232" s="702"/>
    </row>
    <row r="233" spans="18:18" x14ac:dyDescent="0.2">
      <c r="R233" s="702"/>
    </row>
    <row r="234" spans="18:18" x14ac:dyDescent="0.2">
      <c r="R234" s="702"/>
    </row>
    <row r="235" spans="18:18" x14ac:dyDescent="0.2">
      <c r="R235" s="702"/>
    </row>
    <row r="236" spans="18:18" x14ac:dyDescent="0.2">
      <c r="R236" s="702"/>
    </row>
    <row r="237" spans="18:18" x14ac:dyDescent="0.2">
      <c r="R237" s="702"/>
    </row>
    <row r="238" spans="18:18" x14ac:dyDescent="0.2">
      <c r="R238" s="702"/>
    </row>
    <row r="239" spans="18:18" x14ac:dyDescent="0.2">
      <c r="R239" s="702"/>
    </row>
    <row r="240" spans="18:18" x14ac:dyDescent="0.2">
      <c r="R240" s="702"/>
    </row>
    <row r="241" spans="18:18" x14ac:dyDescent="0.2">
      <c r="R241" s="702"/>
    </row>
    <row r="242" spans="18:18" x14ac:dyDescent="0.2">
      <c r="R242" s="702"/>
    </row>
    <row r="243" spans="18:18" x14ac:dyDescent="0.2">
      <c r="R243" s="702"/>
    </row>
    <row r="244" spans="18:18" x14ac:dyDescent="0.2">
      <c r="R244" s="702"/>
    </row>
    <row r="245" spans="18:18" x14ac:dyDescent="0.2">
      <c r="R245" s="702"/>
    </row>
    <row r="246" spans="18:18" x14ac:dyDescent="0.2">
      <c r="R246" s="702"/>
    </row>
    <row r="247" spans="18:18" x14ac:dyDescent="0.2">
      <c r="R247" s="702"/>
    </row>
    <row r="248" spans="18:18" x14ac:dyDescent="0.2">
      <c r="R248" s="702"/>
    </row>
    <row r="249" spans="18:18" x14ac:dyDescent="0.2">
      <c r="R249" s="702"/>
    </row>
    <row r="250" spans="18:18" x14ac:dyDescent="0.2">
      <c r="R250" s="702"/>
    </row>
    <row r="251" spans="18:18" x14ac:dyDescent="0.2">
      <c r="R251" s="702"/>
    </row>
    <row r="252" spans="18:18" x14ac:dyDescent="0.2">
      <c r="R252" s="702"/>
    </row>
    <row r="253" spans="18:18" x14ac:dyDescent="0.2">
      <c r="R253" s="702"/>
    </row>
    <row r="254" spans="18:18" x14ac:dyDescent="0.2">
      <c r="R254" s="702"/>
    </row>
    <row r="255" spans="18:18" x14ac:dyDescent="0.2">
      <c r="R255" s="702"/>
    </row>
    <row r="256" spans="18:18" x14ac:dyDescent="0.2">
      <c r="R256" s="702"/>
    </row>
    <row r="257" spans="18:18" x14ac:dyDescent="0.2">
      <c r="R257" s="702"/>
    </row>
    <row r="258" spans="18:18" x14ac:dyDescent="0.2">
      <c r="R258" s="702"/>
    </row>
    <row r="259" spans="18:18" x14ac:dyDescent="0.2">
      <c r="R259" s="702"/>
    </row>
    <row r="260" spans="18:18" x14ac:dyDescent="0.2">
      <c r="R260" s="702"/>
    </row>
    <row r="261" spans="18:18" x14ac:dyDescent="0.2">
      <c r="R261" s="702"/>
    </row>
    <row r="262" spans="18:18" x14ac:dyDescent="0.2">
      <c r="R262" s="702"/>
    </row>
    <row r="263" spans="18:18" x14ac:dyDescent="0.2">
      <c r="R263" s="702"/>
    </row>
    <row r="264" spans="18:18" x14ac:dyDescent="0.2">
      <c r="R264" s="702"/>
    </row>
    <row r="265" spans="18:18" x14ac:dyDescent="0.2">
      <c r="R265" s="702"/>
    </row>
    <row r="266" spans="18:18" x14ac:dyDescent="0.2">
      <c r="R266" s="702"/>
    </row>
    <row r="267" spans="18:18" x14ac:dyDescent="0.2">
      <c r="R267" s="702"/>
    </row>
    <row r="268" spans="18:18" x14ac:dyDescent="0.2">
      <c r="R268" s="702"/>
    </row>
    <row r="269" spans="18:18" x14ac:dyDescent="0.2">
      <c r="R269" s="702"/>
    </row>
    <row r="270" spans="18:18" x14ac:dyDescent="0.2">
      <c r="R270" s="702"/>
    </row>
    <row r="271" spans="18:18" x14ac:dyDescent="0.2">
      <c r="R271" s="702"/>
    </row>
    <row r="272" spans="18:18" x14ac:dyDescent="0.2">
      <c r="R272" s="702"/>
    </row>
    <row r="273" spans="18:18" x14ac:dyDescent="0.2">
      <c r="R273" s="702"/>
    </row>
    <row r="274" spans="18:18" x14ac:dyDescent="0.2">
      <c r="R274" s="702"/>
    </row>
    <row r="275" spans="18:18" x14ac:dyDescent="0.2">
      <c r="R275" s="702"/>
    </row>
    <row r="276" spans="18:18" x14ac:dyDescent="0.2">
      <c r="R276" s="702"/>
    </row>
    <row r="277" spans="18:18" x14ac:dyDescent="0.2">
      <c r="R277" s="702"/>
    </row>
    <row r="278" spans="18:18" x14ac:dyDescent="0.2">
      <c r="R278" s="702"/>
    </row>
    <row r="279" spans="18:18" x14ac:dyDescent="0.2">
      <c r="R279" s="702"/>
    </row>
    <row r="280" spans="18:18" x14ac:dyDescent="0.2">
      <c r="R280" s="702"/>
    </row>
    <row r="281" spans="18:18" x14ac:dyDescent="0.2">
      <c r="R281" s="702"/>
    </row>
    <row r="282" spans="18:18" x14ac:dyDescent="0.2">
      <c r="R282" s="702"/>
    </row>
    <row r="283" spans="18:18" x14ac:dyDescent="0.2">
      <c r="R283" s="702"/>
    </row>
    <row r="284" spans="18:18" x14ac:dyDescent="0.2">
      <c r="R284" s="702"/>
    </row>
    <row r="285" spans="18:18" x14ac:dyDescent="0.2">
      <c r="R285" s="702"/>
    </row>
    <row r="286" spans="18:18" x14ac:dyDescent="0.2">
      <c r="R286" s="702"/>
    </row>
    <row r="287" spans="18:18" x14ac:dyDescent="0.2">
      <c r="R287" s="702"/>
    </row>
    <row r="288" spans="18:18" x14ac:dyDescent="0.2">
      <c r="R288" s="702"/>
    </row>
    <row r="289" spans="18:18" x14ac:dyDescent="0.2">
      <c r="R289" s="702"/>
    </row>
    <row r="290" spans="18:18" x14ac:dyDescent="0.2">
      <c r="R290" s="702"/>
    </row>
    <row r="291" spans="18:18" x14ac:dyDescent="0.2">
      <c r="R291" s="702"/>
    </row>
    <row r="292" spans="18:18" x14ac:dyDescent="0.2">
      <c r="R292" s="702"/>
    </row>
    <row r="293" spans="18:18" x14ac:dyDescent="0.2">
      <c r="R293" s="702"/>
    </row>
    <row r="294" spans="18:18" x14ac:dyDescent="0.2">
      <c r="R294" s="702"/>
    </row>
    <row r="295" spans="18:18" x14ac:dyDescent="0.2">
      <c r="R295" s="702"/>
    </row>
    <row r="296" spans="18:18" x14ac:dyDescent="0.2">
      <c r="R296" s="702"/>
    </row>
    <row r="297" spans="18:18" x14ac:dyDescent="0.2">
      <c r="R297" s="702"/>
    </row>
    <row r="298" spans="18:18" x14ac:dyDescent="0.2">
      <c r="R298" s="702"/>
    </row>
    <row r="299" spans="18:18" x14ac:dyDescent="0.2">
      <c r="R299" s="702"/>
    </row>
    <row r="300" spans="18:18" x14ac:dyDescent="0.2">
      <c r="R300" s="702"/>
    </row>
    <row r="301" spans="18:18" x14ac:dyDescent="0.2">
      <c r="R301" s="702"/>
    </row>
    <row r="302" spans="18:18" x14ac:dyDescent="0.2">
      <c r="R302" s="702"/>
    </row>
    <row r="303" spans="18:18" x14ac:dyDescent="0.2">
      <c r="R303" s="702"/>
    </row>
    <row r="304" spans="18:18" x14ac:dyDescent="0.2">
      <c r="R304" s="702"/>
    </row>
    <row r="305" spans="18:18" x14ac:dyDescent="0.2">
      <c r="R305" s="702"/>
    </row>
    <row r="306" spans="18:18" x14ac:dyDescent="0.2">
      <c r="R306" s="702"/>
    </row>
    <row r="307" spans="18:18" x14ac:dyDescent="0.2">
      <c r="R307" s="702"/>
    </row>
    <row r="308" spans="18:18" x14ac:dyDescent="0.2">
      <c r="R308" s="702"/>
    </row>
    <row r="309" spans="18:18" x14ac:dyDescent="0.2">
      <c r="R309" s="702"/>
    </row>
    <row r="310" spans="18:18" x14ac:dyDescent="0.2">
      <c r="R310" s="702"/>
    </row>
    <row r="311" spans="18:18" x14ac:dyDescent="0.2">
      <c r="R311" s="702"/>
    </row>
    <row r="312" spans="18:18" x14ac:dyDescent="0.2">
      <c r="R312" s="702"/>
    </row>
    <row r="313" spans="18:18" x14ac:dyDescent="0.2">
      <c r="R313" s="702"/>
    </row>
    <row r="314" spans="18:18" x14ac:dyDescent="0.2">
      <c r="R314" s="702"/>
    </row>
    <row r="315" spans="18:18" x14ac:dyDescent="0.2">
      <c r="R315" s="702"/>
    </row>
    <row r="316" spans="18:18" x14ac:dyDescent="0.2">
      <c r="R316" s="702"/>
    </row>
    <row r="317" spans="18:18" x14ac:dyDescent="0.2">
      <c r="R317" s="702"/>
    </row>
    <row r="318" spans="18:18" x14ac:dyDescent="0.2">
      <c r="R318" s="702"/>
    </row>
    <row r="319" spans="18:18" x14ac:dyDescent="0.2">
      <c r="R319" s="702"/>
    </row>
    <row r="320" spans="18:18" x14ac:dyDescent="0.2">
      <c r="R320" s="702"/>
    </row>
    <row r="321" spans="18:18" x14ac:dyDescent="0.2">
      <c r="R321" s="702"/>
    </row>
    <row r="322" spans="18:18" x14ac:dyDescent="0.2">
      <c r="R322" s="702"/>
    </row>
    <row r="323" spans="18:18" x14ac:dyDescent="0.2">
      <c r="R323" s="702"/>
    </row>
    <row r="324" spans="18:18" x14ac:dyDescent="0.2">
      <c r="R324" s="702"/>
    </row>
    <row r="325" spans="18:18" x14ac:dyDescent="0.2">
      <c r="R325" s="702"/>
    </row>
    <row r="326" spans="18:18" x14ac:dyDescent="0.2">
      <c r="R326" s="702"/>
    </row>
    <row r="327" spans="18:18" x14ac:dyDescent="0.2">
      <c r="R327" s="702"/>
    </row>
    <row r="328" spans="18:18" x14ac:dyDescent="0.2">
      <c r="R328" s="702"/>
    </row>
    <row r="329" spans="18:18" x14ac:dyDescent="0.2">
      <c r="R329" s="702"/>
    </row>
    <row r="330" spans="18:18" x14ac:dyDescent="0.2">
      <c r="R330" s="702"/>
    </row>
    <row r="331" spans="18:18" x14ac:dyDescent="0.2">
      <c r="R331" s="702"/>
    </row>
    <row r="332" spans="18:18" x14ac:dyDescent="0.2">
      <c r="R332" s="702"/>
    </row>
    <row r="333" spans="18:18" x14ac:dyDescent="0.2">
      <c r="R333" s="702"/>
    </row>
    <row r="334" spans="18:18" x14ac:dyDescent="0.2">
      <c r="R334" s="702"/>
    </row>
    <row r="335" spans="18:18" x14ac:dyDescent="0.2">
      <c r="R335" s="702"/>
    </row>
    <row r="336" spans="18:18" x14ac:dyDescent="0.2">
      <c r="R336" s="702"/>
    </row>
    <row r="337" spans="18:18" x14ac:dyDescent="0.2">
      <c r="R337" s="702"/>
    </row>
    <row r="338" spans="18:18" x14ac:dyDescent="0.2">
      <c r="R338" s="702"/>
    </row>
    <row r="339" spans="18:18" x14ac:dyDescent="0.2">
      <c r="R339" s="702"/>
    </row>
    <row r="340" spans="18:18" x14ac:dyDescent="0.2">
      <c r="R340" s="702"/>
    </row>
    <row r="341" spans="18:18" x14ac:dyDescent="0.2">
      <c r="R341" s="702"/>
    </row>
    <row r="342" spans="18:18" x14ac:dyDescent="0.2">
      <c r="R342" s="702"/>
    </row>
    <row r="343" spans="18:18" x14ac:dyDescent="0.2">
      <c r="R343" s="702"/>
    </row>
    <row r="344" spans="18:18" x14ac:dyDescent="0.2">
      <c r="R344" s="702"/>
    </row>
    <row r="345" spans="18:18" x14ac:dyDescent="0.2">
      <c r="R345" s="702"/>
    </row>
    <row r="346" spans="18:18" x14ac:dyDescent="0.2">
      <c r="R346" s="702"/>
    </row>
    <row r="347" spans="18:18" x14ac:dyDescent="0.2">
      <c r="R347" s="702"/>
    </row>
    <row r="348" spans="18:18" x14ac:dyDescent="0.2">
      <c r="R348" s="702"/>
    </row>
    <row r="349" spans="18:18" x14ac:dyDescent="0.2">
      <c r="R349" s="702"/>
    </row>
    <row r="350" spans="18:18" x14ac:dyDescent="0.2">
      <c r="R350" s="702"/>
    </row>
    <row r="351" spans="18:18" x14ac:dyDescent="0.2">
      <c r="R351" s="702"/>
    </row>
    <row r="352" spans="18:18" x14ac:dyDescent="0.2">
      <c r="R352" s="702"/>
    </row>
    <row r="353" spans="18:18" x14ac:dyDescent="0.2">
      <c r="R353" s="702"/>
    </row>
    <row r="354" spans="18:18" x14ac:dyDescent="0.2">
      <c r="R354" s="702"/>
    </row>
    <row r="355" spans="18:18" x14ac:dyDescent="0.2">
      <c r="R355" s="702"/>
    </row>
    <row r="356" spans="18:18" x14ac:dyDescent="0.2">
      <c r="R356" s="702"/>
    </row>
    <row r="357" spans="18:18" x14ac:dyDescent="0.2">
      <c r="R357" s="702"/>
    </row>
    <row r="358" spans="18:18" x14ac:dyDescent="0.2">
      <c r="R358" s="702"/>
    </row>
    <row r="359" spans="18:18" x14ac:dyDescent="0.2">
      <c r="R359" s="702"/>
    </row>
    <row r="360" spans="18:18" x14ac:dyDescent="0.2">
      <c r="R360" s="702"/>
    </row>
    <row r="361" spans="18:18" x14ac:dyDescent="0.2">
      <c r="R361" s="702"/>
    </row>
    <row r="362" spans="18:18" x14ac:dyDescent="0.2">
      <c r="R362" s="702"/>
    </row>
    <row r="363" spans="18:18" x14ac:dyDescent="0.2">
      <c r="R363" s="702"/>
    </row>
    <row r="364" spans="18:18" x14ac:dyDescent="0.2">
      <c r="R364" s="702"/>
    </row>
    <row r="365" spans="18:18" x14ac:dyDescent="0.2">
      <c r="R365" s="702"/>
    </row>
    <row r="366" spans="18:18" x14ac:dyDescent="0.2">
      <c r="R366" s="702"/>
    </row>
    <row r="367" spans="18:18" x14ac:dyDescent="0.2">
      <c r="R367" s="702"/>
    </row>
    <row r="368" spans="18:18" x14ac:dyDescent="0.2">
      <c r="R368" s="702"/>
    </row>
    <row r="369" spans="18:18" x14ac:dyDescent="0.2">
      <c r="R369" s="702"/>
    </row>
    <row r="370" spans="18:18" x14ac:dyDescent="0.2">
      <c r="R370" s="702"/>
    </row>
    <row r="371" spans="18:18" x14ac:dyDescent="0.2">
      <c r="R371" s="702"/>
    </row>
    <row r="372" spans="18:18" x14ac:dyDescent="0.2">
      <c r="R372" s="702"/>
    </row>
    <row r="373" spans="18:18" x14ac:dyDescent="0.2">
      <c r="R373" s="702"/>
    </row>
    <row r="374" spans="18:18" x14ac:dyDescent="0.2">
      <c r="R374" s="702"/>
    </row>
    <row r="375" spans="18:18" x14ac:dyDescent="0.2">
      <c r="R375" s="702"/>
    </row>
    <row r="376" spans="18:18" x14ac:dyDescent="0.2">
      <c r="R376" s="702"/>
    </row>
    <row r="377" spans="18:18" x14ac:dyDescent="0.2">
      <c r="R377" s="702"/>
    </row>
    <row r="378" spans="18:18" x14ac:dyDescent="0.2">
      <c r="R378" s="702"/>
    </row>
    <row r="379" spans="18:18" x14ac:dyDescent="0.2">
      <c r="R379" s="702"/>
    </row>
    <row r="380" spans="18:18" x14ac:dyDescent="0.2">
      <c r="R380" s="702"/>
    </row>
    <row r="381" spans="18:18" x14ac:dyDescent="0.2">
      <c r="R381" s="702"/>
    </row>
    <row r="382" spans="18:18" x14ac:dyDescent="0.2">
      <c r="R382" s="702"/>
    </row>
    <row r="383" spans="18:18" x14ac:dyDescent="0.2">
      <c r="R383" s="702"/>
    </row>
    <row r="384" spans="18:18" x14ac:dyDescent="0.2">
      <c r="R384" s="702"/>
    </row>
    <row r="385" spans="18:18" x14ac:dyDescent="0.2">
      <c r="R385" s="702"/>
    </row>
    <row r="386" spans="18:18" x14ac:dyDescent="0.2">
      <c r="R386" s="702"/>
    </row>
    <row r="387" spans="18:18" x14ac:dyDescent="0.2">
      <c r="R387" s="702"/>
    </row>
    <row r="388" spans="18:18" x14ac:dyDescent="0.2">
      <c r="R388" s="702"/>
    </row>
    <row r="389" spans="18:18" x14ac:dyDescent="0.2">
      <c r="R389" s="702"/>
    </row>
    <row r="390" spans="18:18" x14ac:dyDescent="0.2">
      <c r="R390" s="702"/>
    </row>
    <row r="391" spans="18:18" x14ac:dyDescent="0.2">
      <c r="R391" s="702"/>
    </row>
    <row r="392" spans="18:18" x14ac:dyDescent="0.2">
      <c r="R392" s="702"/>
    </row>
    <row r="393" spans="18:18" x14ac:dyDescent="0.2">
      <c r="R393" s="702"/>
    </row>
    <row r="394" spans="18:18" x14ac:dyDescent="0.2">
      <c r="R394" s="702"/>
    </row>
    <row r="395" spans="18:18" x14ac:dyDescent="0.2">
      <c r="R395" s="702"/>
    </row>
    <row r="396" spans="18:18" x14ac:dyDescent="0.2">
      <c r="R396" s="702"/>
    </row>
    <row r="397" spans="18:18" x14ac:dyDescent="0.2">
      <c r="R397" s="702"/>
    </row>
    <row r="398" spans="18:18" x14ac:dyDescent="0.2">
      <c r="R398" s="702"/>
    </row>
    <row r="399" spans="18:18" x14ac:dyDescent="0.2">
      <c r="R399" s="702"/>
    </row>
    <row r="400" spans="18:18" x14ac:dyDescent="0.2">
      <c r="R400" s="702"/>
    </row>
    <row r="401" spans="18:18" x14ac:dyDescent="0.2">
      <c r="R401" s="702"/>
    </row>
    <row r="402" spans="18:18" x14ac:dyDescent="0.2">
      <c r="R402" s="702"/>
    </row>
    <row r="403" spans="18:18" x14ac:dyDescent="0.2">
      <c r="R403" s="702"/>
    </row>
    <row r="404" spans="18:18" x14ac:dyDescent="0.2">
      <c r="R404" s="702"/>
    </row>
    <row r="405" spans="18:18" x14ac:dyDescent="0.2">
      <c r="R405" s="702"/>
    </row>
    <row r="406" spans="18:18" x14ac:dyDescent="0.2">
      <c r="R406" s="702"/>
    </row>
    <row r="407" spans="18:18" x14ac:dyDescent="0.2">
      <c r="R407" s="702"/>
    </row>
    <row r="408" spans="18:18" x14ac:dyDescent="0.2">
      <c r="R408" s="702"/>
    </row>
    <row r="409" spans="18:18" x14ac:dyDescent="0.2">
      <c r="R409" s="702"/>
    </row>
    <row r="410" spans="18:18" x14ac:dyDescent="0.2">
      <c r="R410" s="702"/>
    </row>
    <row r="411" spans="18:18" x14ac:dyDescent="0.2">
      <c r="R411" s="702"/>
    </row>
    <row r="412" spans="18:18" x14ac:dyDescent="0.2">
      <c r="R412" s="702"/>
    </row>
    <row r="413" spans="18:18" x14ac:dyDescent="0.2">
      <c r="R413" s="702"/>
    </row>
    <row r="414" spans="18:18" x14ac:dyDescent="0.2">
      <c r="R414" s="702"/>
    </row>
    <row r="415" spans="18:18" x14ac:dyDescent="0.2">
      <c r="R415" s="702"/>
    </row>
    <row r="416" spans="18:18" x14ac:dyDescent="0.2">
      <c r="R416" s="702"/>
    </row>
    <row r="417" spans="18:18" x14ac:dyDescent="0.2">
      <c r="R417" s="702"/>
    </row>
    <row r="418" spans="18:18" x14ac:dyDescent="0.2">
      <c r="R418" s="702"/>
    </row>
    <row r="419" spans="18:18" x14ac:dyDescent="0.2">
      <c r="R419" s="702"/>
    </row>
    <row r="420" spans="18:18" x14ac:dyDescent="0.2">
      <c r="R420" s="702"/>
    </row>
    <row r="421" spans="18:18" x14ac:dyDescent="0.2">
      <c r="R421" s="702"/>
    </row>
    <row r="422" spans="18:18" x14ac:dyDescent="0.2">
      <c r="R422" s="702"/>
    </row>
    <row r="423" spans="18:18" x14ac:dyDescent="0.2">
      <c r="R423" s="702"/>
    </row>
    <row r="424" spans="18:18" x14ac:dyDescent="0.2">
      <c r="R424" s="702"/>
    </row>
    <row r="425" spans="18:18" x14ac:dyDescent="0.2">
      <c r="R425" s="702"/>
    </row>
    <row r="426" spans="18:18" x14ac:dyDescent="0.2">
      <c r="R426" s="702"/>
    </row>
    <row r="427" spans="18:18" x14ac:dyDescent="0.2">
      <c r="R427" s="702"/>
    </row>
    <row r="428" spans="18:18" x14ac:dyDescent="0.2">
      <c r="R428" s="702"/>
    </row>
    <row r="429" spans="18:18" x14ac:dyDescent="0.2">
      <c r="R429" s="702"/>
    </row>
    <row r="430" spans="18:18" x14ac:dyDescent="0.2">
      <c r="R430" s="702"/>
    </row>
    <row r="431" spans="18:18" x14ac:dyDescent="0.2">
      <c r="R431" s="702"/>
    </row>
    <row r="432" spans="18:18" x14ac:dyDescent="0.2">
      <c r="R432" s="702"/>
    </row>
    <row r="433" spans="18:18" x14ac:dyDescent="0.2">
      <c r="R433" s="702"/>
    </row>
    <row r="434" spans="18:18" x14ac:dyDescent="0.2">
      <c r="R434" s="702"/>
    </row>
    <row r="435" spans="18:18" x14ac:dyDescent="0.2">
      <c r="R435" s="702"/>
    </row>
    <row r="436" spans="18:18" x14ac:dyDescent="0.2">
      <c r="R436" s="702"/>
    </row>
    <row r="437" spans="18:18" x14ac:dyDescent="0.2">
      <c r="R437" s="702"/>
    </row>
    <row r="438" spans="18:18" x14ac:dyDescent="0.2">
      <c r="R438" s="702"/>
    </row>
    <row r="439" spans="18:18" x14ac:dyDescent="0.2">
      <c r="R439" s="702"/>
    </row>
    <row r="440" spans="18:18" x14ac:dyDescent="0.2">
      <c r="R440" s="702"/>
    </row>
    <row r="441" spans="18:18" x14ac:dyDescent="0.2">
      <c r="R441" s="702"/>
    </row>
    <row r="442" spans="18:18" x14ac:dyDescent="0.2">
      <c r="R442" s="702"/>
    </row>
    <row r="443" spans="18:18" x14ac:dyDescent="0.2">
      <c r="R443" s="702"/>
    </row>
    <row r="444" spans="18:18" x14ac:dyDescent="0.2">
      <c r="R444" s="702"/>
    </row>
    <row r="445" spans="18:18" x14ac:dyDescent="0.2">
      <c r="R445" s="702"/>
    </row>
    <row r="446" spans="18:18" x14ac:dyDescent="0.2">
      <c r="R446" s="702"/>
    </row>
    <row r="447" spans="18:18" x14ac:dyDescent="0.2">
      <c r="R447" s="702"/>
    </row>
    <row r="448" spans="18:18" x14ac:dyDescent="0.2">
      <c r="R448" s="702"/>
    </row>
    <row r="449" spans="18:18" x14ac:dyDescent="0.2">
      <c r="R449" s="702"/>
    </row>
    <row r="450" spans="18:18" x14ac:dyDescent="0.2">
      <c r="R450" s="702"/>
    </row>
    <row r="451" spans="18:18" x14ac:dyDescent="0.2">
      <c r="R451" s="702"/>
    </row>
    <row r="452" spans="18:18" x14ac:dyDescent="0.2">
      <c r="R452" s="702"/>
    </row>
    <row r="453" spans="18:18" x14ac:dyDescent="0.2">
      <c r="R453" s="702"/>
    </row>
  </sheetData>
  <sheetProtection selectLockedCells="1"/>
  <mergeCells count="2">
    <mergeCell ref="A1:Q1"/>
    <mergeCell ref="O3:P3"/>
  </mergeCells>
  <conditionalFormatting sqref="A5:Q5 A19:Q81 Q6:Q18">
    <cfRule type="expression" dxfId="7" priority="14">
      <formula>MODE=2</formula>
    </cfRule>
  </conditionalFormatting>
  <hyperlinks>
    <hyperlink ref="O2" r:id="rId1" xr:uid="{00000000-0004-0000-0100-000000000000}"/>
    <hyperlink ref="C3" r:id="rId2" xr:uid="{00000000-0004-0000-0100-000001000000}"/>
  </hyperlinks>
  <pageMargins left="0.7" right="0.7" top="0.75" bottom="0.75" header="0.3" footer="0.3"/>
  <pageSetup orientation="portrait" r:id="rId3"/>
  <drawing r:id="rId4"/>
  <legacyDrawing r:id="rId5"/>
  <oleObjects>
    <mc:AlternateContent xmlns:mc="http://schemas.openxmlformats.org/markup-compatibility/2006">
      <mc:Choice Requires="x14">
        <oleObject progId="Visio.Drawing.11" shapeId="797704" r:id="rId6">
          <objectPr defaultSize="0" autoPict="0" r:id="rId7">
            <anchor moveWithCells="1" sizeWithCells="1">
              <from>
                <xdr:col>0</xdr:col>
                <xdr:colOff>533400</xdr:colOff>
                <xdr:row>18</xdr:row>
                <xdr:rowOff>38100</xdr:rowOff>
              </from>
              <to>
                <xdr:col>6</xdr:col>
                <xdr:colOff>342900</xdr:colOff>
                <xdr:row>35</xdr:row>
                <xdr:rowOff>95250</xdr:rowOff>
              </to>
            </anchor>
          </objectPr>
        </oleObject>
      </mc:Choice>
      <mc:Fallback>
        <oleObject progId="Visio.Drawing.11" shapeId="797704" r:id="rId6"/>
      </mc:Fallback>
    </mc:AlternateContent>
    <mc:AlternateContent xmlns:mc="http://schemas.openxmlformats.org/markup-compatibility/2006">
      <mc:Choice Requires="x14">
        <oleObject progId="Visio.Drawing.15" shapeId="797852" r:id="rId8">
          <objectPr defaultSize="0" autoPict="0" r:id="rId9">
            <anchor moveWithCells="1">
              <from>
                <xdr:col>8</xdr:col>
                <xdr:colOff>419100</xdr:colOff>
                <xdr:row>19</xdr:row>
                <xdr:rowOff>38100</xdr:rowOff>
              </from>
              <to>
                <xdr:col>14</xdr:col>
                <xdr:colOff>19050</xdr:colOff>
                <xdr:row>32</xdr:row>
                <xdr:rowOff>133350</xdr:rowOff>
              </to>
            </anchor>
          </objectPr>
        </oleObject>
      </mc:Choice>
      <mc:Fallback>
        <oleObject progId="Visio.Drawing.15" shapeId="797852"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R452"/>
  <sheetViews>
    <sheetView topLeftCell="C1" zoomScale="115" zoomScaleNormal="115" workbookViewId="0">
      <selection activeCell="G34" sqref="G34"/>
    </sheetView>
  </sheetViews>
  <sheetFormatPr defaultRowHeight="12.75" x14ac:dyDescent="0.2"/>
  <cols>
    <col min="4" max="4" width="4.28515625" customWidth="1"/>
    <col min="16" max="16" width="20.28515625" customWidth="1"/>
    <col min="17" max="17" width="71.5703125" customWidth="1"/>
    <col min="18" max="18" width="30.42578125" style="79" customWidth="1"/>
  </cols>
  <sheetData>
    <row r="1" spans="1:18" ht="40.5" x14ac:dyDescent="0.2">
      <c r="A1" s="796" t="s">
        <v>805</v>
      </c>
      <c r="B1" s="797"/>
      <c r="C1" s="797"/>
      <c r="D1" s="797"/>
      <c r="E1" s="797"/>
      <c r="F1" s="797"/>
      <c r="G1" s="797"/>
      <c r="H1" s="797"/>
      <c r="I1" s="797"/>
      <c r="J1" s="797"/>
      <c r="K1" s="797"/>
      <c r="L1" s="797"/>
      <c r="M1" s="797"/>
      <c r="N1" s="797"/>
      <c r="O1" s="797"/>
      <c r="P1" s="797"/>
      <c r="Q1" s="797"/>
      <c r="R1" s="484"/>
    </row>
    <row r="2" spans="1:18" ht="17.649999999999999" customHeight="1" x14ac:dyDescent="0.45">
      <c r="A2" s="487"/>
      <c r="B2" s="488"/>
      <c r="C2" s="488"/>
      <c r="D2" s="488"/>
      <c r="E2" s="488"/>
      <c r="F2" s="488"/>
      <c r="G2" s="488"/>
      <c r="H2" s="488"/>
      <c r="I2" s="488"/>
      <c r="J2" s="488"/>
      <c r="K2" s="488"/>
      <c r="L2" s="488"/>
      <c r="M2" s="488"/>
      <c r="N2" s="488"/>
      <c r="O2" s="502" t="s">
        <v>585</v>
      </c>
      <c r="P2" s="488"/>
      <c r="Q2" s="488"/>
      <c r="R2" s="484"/>
    </row>
    <row r="3" spans="1:18" ht="16.149999999999999" customHeight="1" x14ac:dyDescent="0.45">
      <c r="A3" s="489" t="s">
        <v>232</v>
      </c>
      <c r="B3" s="490"/>
      <c r="C3" s="501" t="s">
        <v>233</v>
      </c>
      <c r="D3" s="491"/>
      <c r="E3" s="119"/>
      <c r="F3" s="495" t="s">
        <v>145</v>
      </c>
      <c r="G3" s="496"/>
      <c r="H3" s="488"/>
      <c r="I3" s="488"/>
      <c r="J3" s="496"/>
      <c r="K3" s="497"/>
      <c r="L3" s="498"/>
      <c r="M3" s="484"/>
      <c r="N3" s="484"/>
      <c r="O3" s="786" t="s">
        <v>51</v>
      </c>
      <c r="P3" s="786"/>
      <c r="Q3" s="484" t="s">
        <v>165</v>
      </c>
      <c r="R3" s="484"/>
    </row>
    <row r="4" spans="1:18" ht="14.65" customHeight="1" thickBot="1" x14ac:dyDescent="0.35">
      <c r="A4" s="492"/>
      <c r="B4" s="493"/>
      <c r="C4" s="494"/>
      <c r="D4" s="494"/>
      <c r="E4" s="494"/>
      <c r="F4" s="494"/>
      <c r="G4" s="494"/>
      <c r="H4" s="494"/>
      <c r="I4" s="494"/>
      <c r="J4" s="494"/>
      <c r="K4" s="494"/>
      <c r="L4" s="494"/>
      <c r="M4" s="499"/>
      <c r="N4" s="499"/>
      <c r="O4" s="499"/>
      <c r="P4" s="499"/>
      <c r="Q4" s="500"/>
      <c r="R4" s="484"/>
    </row>
    <row r="5" spans="1:18" x14ac:dyDescent="0.2">
      <c r="A5" s="134"/>
      <c r="B5" s="134"/>
      <c r="C5" s="134"/>
      <c r="D5" s="134"/>
      <c r="E5" s="134"/>
      <c r="F5" s="134"/>
      <c r="G5" s="134"/>
      <c r="H5" s="134"/>
      <c r="I5" s="134"/>
      <c r="J5" s="134"/>
      <c r="K5" s="134"/>
      <c r="L5" s="134"/>
      <c r="M5" s="134"/>
      <c r="N5" s="134"/>
      <c r="O5" s="134"/>
      <c r="P5" s="134"/>
      <c r="Q5" s="134"/>
      <c r="R5" s="484"/>
    </row>
    <row r="6" spans="1:18" x14ac:dyDescent="0.2">
      <c r="A6" s="134"/>
      <c r="B6" s="134"/>
      <c r="C6" s="134"/>
      <c r="D6" s="134"/>
      <c r="E6" s="134"/>
      <c r="F6" s="134"/>
      <c r="G6" s="134"/>
      <c r="H6" s="134"/>
      <c r="I6" s="134"/>
      <c r="J6" s="134"/>
      <c r="K6" s="134"/>
      <c r="L6" s="134"/>
      <c r="M6" s="134"/>
      <c r="N6" s="134"/>
      <c r="O6" s="134"/>
      <c r="P6" s="134"/>
      <c r="Q6" s="134"/>
      <c r="R6" s="484"/>
    </row>
    <row r="7" spans="1:18" ht="13.5" thickBot="1" x14ac:dyDescent="0.25">
      <c r="A7" s="644"/>
      <c r="B7" s="607" t="s">
        <v>813</v>
      </c>
      <c r="C7" s="134"/>
      <c r="D7" s="134"/>
      <c r="E7" s="134"/>
      <c r="F7" s="134"/>
      <c r="G7" s="134"/>
      <c r="H7" s="134"/>
      <c r="I7" s="134"/>
      <c r="J7" s="134"/>
      <c r="K7" s="134"/>
      <c r="L7" s="134"/>
      <c r="M7" s="134"/>
      <c r="N7" s="134"/>
      <c r="O7" s="134"/>
      <c r="P7" s="134"/>
      <c r="Q7" s="134"/>
      <c r="R7" s="484"/>
    </row>
    <row r="8" spans="1:18" x14ac:dyDescent="0.2">
      <c r="A8" s="134"/>
      <c r="B8" s="654" t="s">
        <v>812</v>
      </c>
      <c r="C8" s="658" t="str">
        <f>CHOOSE(INFILTER_TYPE,"","0.01-1","0.1-10")</f>
        <v/>
      </c>
      <c r="D8" s="161" t="s">
        <v>214</v>
      </c>
      <c r="E8" s="655"/>
      <c r="F8" s="654" t="s">
        <v>809</v>
      </c>
      <c r="G8" s="293">
        <v>1</v>
      </c>
      <c r="H8" s="161" t="s">
        <v>214</v>
      </c>
      <c r="I8" s="134"/>
      <c r="J8" s="134"/>
      <c r="K8" s="134"/>
      <c r="L8" s="134"/>
      <c r="M8" s="134"/>
      <c r="N8" s="134"/>
      <c r="O8" s="134"/>
      <c r="P8" s="134"/>
      <c r="Q8" s="134"/>
      <c r="R8" s="484"/>
    </row>
    <row r="9" spans="1:18" x14ac:dyDescent="0.2">
      <c r="A9" s="134"/>
      <c r="B9" s="124" t="str">
        <f>CHOOSE(INFILTER_TYPE,"","Suggested Cinj","Suggested Cf")</f>
        <v/>
      </c>
      <c r="C9" s="127" t="str">
        <f>CHOOSE(INFILTER_TYPE,"",'Standard Value Calculator'!S24,'Standard Value Calculator'!S23)</f>
        <v/>
      </c>
      <c r="D9" s="162" t="s">
        <v>215</v>
      </c>
      <c r="E9" s="134"/>
      <c r="F9" s="607" t="str">
        <f>CHOOSE(INFILTER_TYPE,"","Chosen Cinj","Chosen Cf")</f>
        <v/>
      </c>
      <c r="G9" s="128">
        <v>6.8000000000000005E-2</v>
      </c>
      <c r="H9" s="162" t="s">
        <v>215</v>
      </c>
      <c r="I9" s="134"/>
      <c r="J9" s="134"/>
      <c r="K9" s="134"/>
      <c r="L9" s="134"/>
      <c r="M9" s="134"/>
      <c r="N9" s="134"/>
      <c r="O9" s="134"/>
      <c r="P9" s="134"/>
      <c r="Q9" s="134"/>
      <c r="R9" s="484"/>
    </row>
    <row r="10" spans="1:18" x14ac:dyDescent="0.2">
      <c r="A10" s="134"/>
      <c r="B10" s="124" t="s">
        <v>807</v>
      </c>
      <c r="C10" s="124" t="str">
        <f>CHOOSE(INFILTER_TYPE,"",CHOOSE(OSC,"DNP",'Standard Value Calculator'!S25),'Standard Value Calculator'!S28)</f>
        <v/>
      </c>
      <c r="D10" s="162" t="s">
        <v>215</v>
      </c>
      <c r="E10" s="134"/>
      <c r="F10" s="607" t="s">
        <v>810</v>
      </c>
      <c r="G10" s="128">
        <v>3.3000000000000002E-2</v>
      </c>
      <c r="H10" s="162" t="s">
        <v>215</v>
      </c>
      <c r="I10" s="134"/>
      <c r="J10" s="134"/>
      <c r="K10" s="134"/>
      <c r="L10" s="134"/>
      <c r="M10" s="134"/>
      <c r="N10" s="134"/>
      <c r="O10" s="134"/>
      <c r="P10" s="134"/>
      <c r="Q10" s="134"/>
      <c r="R10" s="484"/>
    </row>
    <row r="11" spans="1:18" ht="13.5" thickBot="1" x14ac:dyDescent="0.25">
      <c r="A11" s="657"/>
      <c r="B11" s="648" t="s">
        <v>808</v>
      </c>
      <c r="C11" s="554" t="str">
        <f>CHOOSE(INFILTER_TYPE,"",'Standard Value Calculator'!S26,Rdamp_PassiveStd)</f>
        <v/>
      </c>
      <c r="D11" s="260" t="s">
        <v>138</v>
      </c>
      <c r="E11" s="643"/>
      <c r="F11" s="656" t="s">
        <v>811</v>
      </c>
      <c r="G11" s="246">
        <v>43.2</v>
      </c>
      <c r="H11" s="260" t="s">
        <v>138</v>
      </c>
      <c r="I11" s="134"/>
      <c r="J11" s="134"/>
      <c r="K11" s="134"/>
      <c r="L11" s="134"/>
      <c r="M11" s="134"/>
      <c r="N11" s="134"/>
      <c r="O11" s="134"/>
      <c r="P11" s="134"/>
      <c r="Q11" s="134"/>
      <c r="R11" s="484"/>
    </row>
    <row r="12" spans="1:18" x14ac:dyDescent="0.2">
      <c r="A12" s="134"/>
      <c r="B12" s="134"/>
      <c r="C12" s="134"/>
      <c r="D12" s="134"/>
      <c r="E12" s="655"/>
      <c r="F12" s="124" t="s">
        <v>784</v>
      </c>
      <c r="G12" s="127">
        <f>-'Variable Management'!B303</f>
        <v>0</v>
      </c>
      <c r="H12" s="162" t="s">
        <v>804</v>
      </c>
      <c r="I12" s="134"/>
      <c r="J12" s="134"/>
      <c r="K12" s="134"/>
      <c r="L12" s="134"/>
      <c r="M12" s="134"/>
      <c r="N12" s="134"/>
      <c r="O12" s="134"/>
      <c r="P12" s="134"/>
      <c r="Q12" s="134"/>
      <c r="R12" s="484"/>
    </row>
    <row r="13" spans="1:18" x14ac:dyDescent="0.2">
      <c r="A13" s="134"/>
      <c r="B13" s="134"/>
      <c r="C13" s="134"/>
      <c r="D13" s="134"/>
      <c r="E13" s="582"/>
      <c r="F13" s="124" t="s">
        <v>787</v>
      </c>
      <c r="G13" s="127">
        <f>VinRipple_dBuV</f>
        <v>101.11425394500608</v>
      </c>
      <c r="H13" s="162" t="s">
        <v>786</v>
      </c>
      <c r="I13" s="134"/>
      <c r="J13" s="134"/>
      <c r="K13" s="134"/>
      <c r="L13" s="134"/>
      <c r="M13" s="134"/>
      <c r="N13" s="134"/>
      <c r="O13" s="134"/>
      <c r="P13" s="134"/>
      <c r="Q13" s="134"/>
      <c r="R13" s="484"/>
    </row>
    <row r="14" spans="1:18" ht="13.5" thickBot="1" x14ac:dyDescent="0.25">
      <c r="A14" s="134"/>
      <c r="B14" s="134"/>
      <c r="C14" s="134"/>
      <c r="D14" s="134"/>
      <c r="E14" s="659"/>
      <c r="F14" s="648" t="s">
        <v>803</v>
      </c>
      <c r="G14" s="554">
        <f>'Variable Management'!B304</f>
        <v>101.11425394500608</v>
      </c>
      <c r="H14" s="260" t="s">
        <v>786</v>
      </c>
      <c r="I14" s="134"/>
      <c r="J14" s="134"/>
      <c r="K14" s="134"/>
      <c r="L14" s="134"/>
      <c r="M14" s="134"/>
      <c r="N14" s="134"/>
      <c r="O14" s="134"/>
      <c r="P14" s="134"/>
      <c r="Q14" s="134"/>
      <c r="R14" s="484"/>
    </row>
    <row r="15" spans="1:18" x14ac:dyDescent="0.2">
      <c r="A15" s="134"/>
      <c r="B15" s="134"/>
      <c r="C15" s="134"/>
      <c r="D15" s="134"/>
      <c r="E15" s="134"/>
      <c r="F15" s="134"/>
      <c r="G15" s="134"/>
      <c r="H15" s="134"/>
      <c r="I15" s="134"/>
      <c r="J15" s="134"/>
      <c r="K15" s="134"/>
      <c r="L15" s="134"/>
      <c r="M15" s="134"/>
      <c r="N15" s="134"/>
      <c r="O15" s="134"/>
      <c r="P15" s="134"/>
      <c r="Q15" s="134"/>
      <c r="R15" s="484"/>
    </row>
    <row r="16" spans="1:18" x14ac:dyDescent="0.2">
      <c r="A16" s="134"/>
      <c r="B16" s="134"/>
      <c r="C16" s="134"/>
      <c r="D16" s="134"/>
      <c r="E16" s="134"/>
      <c r="F16" s="134"/>
      <c r="G16" s="134"/>
      <c r="H16" s="134"/>
      <c r="I16" s="134"/>
      <c r="J16" s="134"/>
      <c r="K16" s="134"/>
      <c r="L16" s="134"/>
      <c r="M16" s="134"/>
      <c r="N16" s="134"/>
      <c r="O16" s="134"/>
      <c r="P16" s="134"/>
      <c r="Q16" s="134"/>
      <c r="R16" s="484"/>
    </row>
    <row r="17" spans="1:18" x14ac:dyDescent="0.2">
      <c r="A17" s="134"/>
      <c r="B17" s="134"/>
      <c r="C17" s="134"/>
      <c r="D17" s="134"/>
      <c r="E17" s="134"/>
      <c r="F17" s="134"/>
      <c r="G17" s="134"/>
      <c r="H17" s="134"/>
      <c r="I17" s="134"/>
      <c r="J17" s="134"/>
      <c r="K17" s="134"/>
      <c r="L17" s="134"/>
      <c r="M17" s="134"/>
      <c r="N17" s="134"/>
      <c r="O17" s="134"/>
      <c r="P17" s="134"/>
      <c r="Q17" s="134"/>
      <c r="R17" s="484"/>
    </row>
    <row r="18" spans="1:18" x14ac:dyDescent="0.2">
      <c r="A18" s="134"/>
      <c r="B18" s="134"/>
      <c r="C18" s="134"/>
      <c r="D18" s="134"/>
      <c r="E18" s="134"/>
      <c r="F18" s="134"/>
      <c r="G18" s="134"/>
      <c r="H18" s="134"/>
      <c r="I18" s="134"/>
      <c r="J18" s="134"/>
      <c r="K18" s="134"/>
      <c r="L18" s="134"/>
      <c r="M18" s="134"/>
      <c r="N18" s="134"/>
      <c r="O18" s="134"/>
      <c r="P18" s="134"/>
      <c r="Q18" s="134"/>
      <c r="R18" s="484"/>
    </row>
    <row r="19" spans="1:18" x14ac:dyDescent="0.2">
      <c r="A19" s="134"/>
      <c r="B19" s="134"/>
      <c r="C19" s="134"/>
      <c r="D19" s="134"/>
      <c r="E19" s="134"/>
      <c r="F19" s="134"/>
      <c r="G19" s="134"/>
      <c r="H19" s="134"/>
      <c r="I19" s="134"/>
      <c r="J19" s="134"/>
      <c r="K19" s="134"/>
      <c r="L19" s="134"/>
      <c r="M19" s="134"/>
      <c r="N19" s="134"/>
      <c r="O19" s="134"/>
      <c r="P19" s="134"/>
      <c r="Q19" s="134"/>
      <c r="R19" s="484"/>
    </row>
    <row r="20" spans="1:18" x14ac:dyDescent="0.2">
      <c r="A20" s="134"/>
      <c r="B20" s="134"/>
      <c r="C20" s="134"/>
      <c r="D20" s="134"/>
      <c r="E20" s="134"/>
      <c r="F20" s="134"/>
      <c r="G20" s="134"/>
      <c r="H20" s="134"/>
      <c r="I20" s="134"/>
      <c r="J20" s="134"/>
      <c r="K20" s="134"/>
      <c r="L20" s="134"/>
      <c r="M20" s="134"/>
      <c r="N20" s="134"/>
      <c r="O20" s="134"/>
      <c r="P20" s="134"/>
      <c r="Q20" s="134"/>
      <c r="R20" s="484"/>
    </row>
    <row r="21" spans="1:18" x14ac:dyDescent="0.2">
      <c r="A21" s="134"/>
      <c r="B21" s="134"/>
      <c r="C21" s="134"/>
      <c r="D21" s="134"/>
      <c r="E21" s="134"/>
      <c r="F21" s="134"/>
      <c r="G21" s="134"/>
      <c r="H21" s="134"/>
      <c r="I21" s="134"/>
      <c r="J21" s="134"/>
      <c r="K21" s="134"/>
      <c r="L21" s="134"/>
      <c r="M21" s="134"/>
      <c r="N21" s="134"/>
      <c r="O21" s="134"/>
      <c r="P21" s="134"/>
      <c r="Q21" s="134"/>
      <c r="R21" s="484"/>
    </row>
    <row r="22" spans="1:18" x14ac:dyDescent="0.2">
      <c r="A22" s="134"/>
      <c r="B22" s="134"/>
      <c r="C22" s="134"/>
      <c r="D22" s="134"/>
      <c r="E22" s="134"/>
      <c r="F22" s="134"/>
      <c r="G22" s="134"/>
      <c r="H22" s="134"/>
      <c r="I22" s="134"/>
      <c r="J22" s="134"/>
      <c r="K22" s="134"/>
      <c r="L22" s="134"/>
      <c r="M22" s="134"/>
      <c r="N22" s="134"/>
      <c r="O22" s="134"/>
      <c r="P22" s="134"/>
      <c r="Q22" s="134"/>
      <c r="R22" s="484"/>
    </row>
    <row r="23" spans="1:18" x14ac:dyDescent="0.2">
      <c r="A23" s="134"/>
      <c r="B23" s="134"/>
      <c r="C23" s="134"/>
      <c r="D23" s="134"/>
      <c r="E23" s="134"/>
      <c r="F23" s="134"/>
      <c r="G23" s="134"/>
      <c r="H23" s="134"/>
      <c r="I23" s="134"/>
      <c r="J23" s="134"/>
      <c r="K23" s="134"/>
      <c r="L23" s="134"/>
      <c r="M23" s="134"/>
      <c r="N23" s="134"/>
      <c r="O23" s="134"/>
      <c r="P23" s="134"/>
      <c r="Q23" s="134"/>
      <c r="R23" s="484"/>
    </row>
    <row r="24" spans="1:18" x14ac:dyDescent="0.2">
      <c r="A24" s="134"/>
      <c r="B24" s="134"/>
      <c r="C24" s="134"/>
      <c r="D24" s="134"/>
      <c r="E24" s="134"/>
      <c r="F24" s="134"/>
      <c r="G24" s="134"/>
      <c r="H24" s="134"/>
      <c r="I24" s="134"/>
      <c r="J24" s="134"/>
      <c r="K24" s="134"/>
      <c r="L24" s="134"/>
      <c r="M24" s="134"/>
      <c r="N24" s="134"/>
      <c r="O24" s="134"/>
      <c r="P24" s="134"/>
      <c r="Q24" s="134"/>
      <c r="R24" s="484"/>
    </row>
    <row r="25" spans="1:18" x14ac:dyDescent="0.2">
      <c r="A25" s="134"/>
      <c r="B25" s="134"/>
      <c r="C25" s="134"/>
      <c r="D25" s="134"/>
      <c r="E25" s="134"/>
      <c r="F25" s="134"/>
      <c r="G25" s="134"/>
      <c r="H25" s="134"/>
      <c r="I25" s="134"/>
      <c r="J25" s="134"/>
      <c r="K25" s="134"/>
      <c r="L25" s="134"/>
      <c r="M25" s="134"/>
      <c r="N25" s="134"/>
      <c r="O25" s="134"/>
      <c r="P25" s="134"/>
      <c r="Q25" s="134"/>
      <c r="R25" s="484"/>
    </row>
    <row r="26" spans="1:18" x14ac:dyDescent="0.2">
      <c r="A26" s="134"/>
      <c r="B26" s="134"/>
      <c r="C26" s="134"/>
      <c r="D26" s="134"/>
      <c r="E26" s="134"/>
      <c r="F26" s="134"/>
      <c r="G26" s="134"/>
      <c r="H26" s="134"/>
      <c r="I26" s="134"/>
      <c r="J26" s="134"/>
      <c r="K26" s="134"/>
      <c r="L26" s="134"/>
      <c r="M26" s="134"/>
      <c r="N26" s="134"/>
      <c r="O26" s="134"/>
      <c r="P26" s="134"/>
      <c r="Q26" s="134"/>
      <c r="R26" s="484"/>
    </row>
    <row r="27" spans="1:18" x14ac:dyDescent="0.2">
      <c r="A27" s="134"/>
      <c r="B27" s="134"/>
      <c r="C27" s="134"/>
      <c r="D27" s="134"/>
      <c r="E27" s="134"/>
      <c r="F27" s="134"/>
      <c r="G27" s="134"/>
      <c r="H27" s="134"/>
      <c r="I27" s="134"/>
      <c r="J27" s="134"/>
      <c r="K27" s="134"/>
      <c r="L27" s="134"/>
      <c r="M27" s="134"/>
      <c r="N27" s="134"/>
      <c r="O27" s="134"/>
      <c r="P27" s="134"/>
      <c r="Q27" s="134"/>
      <c r="R27" s="484"/>
    </row>
    <row r="28" spans="1:18" x14ac:dyDescent="0.2">
      <c r="A28" s="134"/>
      <c r="B28" s="134"/>
      <c r="C28" s="134"/>
      <c r="D28" s="134"/>
      <c r="E28" s="134"/>
      <c r="F28" s="134"/>
      <c r="G28" s="134"/>
      <c r="H28" s="134"/>
      <c r="I28" s="134"/>
      <c r="J28" s="134"/>
      <c r="K28" s="134"/>
      <c r="L28" s="134"/>
      <c r="M28" s="134"/>
      <c r="N28" s="134"/>
      <c r="O28" s="134"/>
      <c r="P28" s="134"/>
      <c r="Q28" s="134"/>
      <c r="R28" s="484"/>
    </row>
    <row r="29" spans="1:18" x14ac:dyDescent="0.2">
      <c r="A29" s="134"/>
      <c r="B29" s="134"/>
      <c r="C29" s="134"/>
      <c r="D29" s="134"/>
      <c r="E29" s="134"/>
      <c r="F29" s="134"/>
      <c r="G29" s="134"/>
      <c r="H29" s="134"/>
      <c r="I29" s="134"/>
      <c r="J29" s="134"/>
      <c r="K29" s="134"/>
      <c r="L29" s="134"/>
      <c r="M29" s="134"/>
      <c r="N29" s="134"/>
      <c r="O29" s="134"/>
      <c r="P29" s="134"/>
      <c r="Q29" s="134"/>
      <c r="R29" s="484"/>
    </row>
    <row r="30" spans="1:18" x14ac:dyDescent="0.2">
      <c r="A30" s="134"/>
      <c r="B30" s="134"/>
      <c r="C30" s="134"/>
      <c r="D30" s="134"/>
      <c r="E30" s="134"/>
      <c r="F30" s="134"/>
      <c r="G30" s="134"/>
      <c r="H30" s="134"/>
      <c r="I30" s="134"/>
      <c r="J30" s="134"/>
      <c r="K30" s="134"/>
      <c r="L30" s="134"/>
      <c r="M30" s="134"/>
      <c r="N30" s="134"/>
      <c r="O30" s="134"/>
      <c r="P30" s="134"/>
      <c r="Q30" s="134"/>
      <c r="R30" s="484"/>
    </row>
    <row r="31" spans="1:18" x14ac:dyDescent="0.2">
      <c r="A31" s="134"/>
      <c r="B31" s="134"/>
      <c r="C31" s="134"/>
      <c r="D31" s="134"/>
      <c r="E31" s="134"/>
      <c r="F31" s="134"/>
      <c r="G31" s="134"/>
      <c r="H31" s="134"/>
      <c r="I31" s="134"/>
      <c r="J31" s="134"/>
      <c r="K31" s="134"/>
      <c r="L31" s="134"/>
      <c r="M31" s="134"/>
      <c r="N31" s="134"/>
      <c r="O31" s="134"/>
      <c r="P31" s="134"/>
      <c r="Q31" s="134"/>
      <c r="R31" s="484"/>
    </row>
    <row r="32" spans="1:18" x14ac:dyDescent="0.2">
      <c r="A32" s="134"/>
      <c r="B32" s="134"/>
      <c r="C32" s="134"/>
      <c r="D32" s="134"/>
      <c r="E32" s="134"/>
      <c r="F32" s="134"/>
      <c r="G32" s="134"/>
      <c r="H32" s="134"/>
      <c r="I32" s="134"/>
      <c r="J32" s="134"/>
      <c r="K32" s="134"/>
      <c r="L32" s="134"/>
      <c r="M32" s="134"/>
      <c r="N32" s="134"/>
      <c r="O32" s="134"/>
      <c r="P32" s="134"/>
      <c r="Q32" s="134"/>
      <c r="R32" s="484"/>
    </row>
    <row r="33" spans="1:18" x14ac:dyDescent="0.2">
      <c r="A33" s="134"/>
      <c r="B33" s="134"/>
      <c r="C33" s="134"/>
      <c r="D33" s="134"/>
      <c r="E33" s="134"/>
      <c r="F33" s="134"/>
      <c r="G33" s="134"/>
      <c r="H33" s="134"/>
      <c r="I33" s="134"/>
      <c r="J33" s="134"/>
      <c r="K33" s="134"/>
      <c r="L33" s="134"/>
      <c r="M33" s="134"/>
      <c r="N33" s="134"/>
      <c r="O33" s="134"/>
      <c r="P33" s="134"/>
      <c r="Q33" s="134"/>
      <c r="R33" s="484"/>
    </row>
    <row r="34" spans="1:18" x14ac:dyDescent="0.2">
      <c r="A34" s="134"/>
      <c r="B34" s="134"/>
      <c r="C34" s="134"/>
      <c r="D34" s="134"/>
      <c r="E34" s="134"/>
      <c r="F34" s="134"/>
      <c r="G34" s="134"/>
      <c r="H34" s="134"/>
      <c r="I34" s="134"/>
      <c r="J34" s="134"/>
      <c r="K34" s="134"/>
      <c r="L34" s="134"/>
      <c r="M34" s="134"/>
      <c r="N34" s="134"/>
      <c r="O34" s="134"/>
      <c r="P34" s="134"/>
      <c r="Q34" s="134"/>
      <c r="R34" s="484"/>
    </row>
    <row r="35" spans="1:18" x14ac:dyDescent="0.2">
      <c r="A35" s="134"/>
      <c r="B35" s="134"/>
      <c r="C35" s="134"/>
      <c r="D35" s="134"/>
      <c r="E35" s="134"/>
      <c r="F35" s="134"/>
      <c r="G35" s="134"/>
      <c r="H35" s="134"/>
      <c r="I35" s="134"/>
      <c r="J35" s="134"/>
      <c r="K35" s="134"/>
      <c r="L35" s="134"/>
      <c r="M35" s="134"/>
      <c r="N35" s="134"/>
      <c r="O35" s="134"/>
      <c r="P35" s="134"/>
      <c r="Q35" s="134"/>
      <c r="R35" s="484"/>
    </row>
    <row r="36" spans="1:18" x14ac:dyDescent="0.2">
      <c r="A36" s="134"/>
      <c r="B36" s="134"/>
      <c r="C36" s="134"/>
      <c r="D36" s="134"/>
      <c r="E36" s="134"/>
      <c r="F36" s="134"/>
      <c r="G36" s="134"/>
      <c r="H36" s="134"/>
      <c r="I36" s="134"/>
      <c r="J36" s="134"/>
      <c r="K36" s="134"/>
      <c r="L36" s="134"/>
      <c r="M36" s="134"/>
      <c r="N36" s="134"/>
      <c r="O36" s="134"/>
      <c r="P36" s="134"/>
      <c r="Q36" s="134"/>
      <c r="R36" s="484"/>
    </row>
    <row r="37" spans="1:18" x14ac:dyDescent="0.2">
      <c r="A37" s="134"/>
      <c r="B37" s="134"/>
      <c r="C37" s="134"/>
      <c r="D37" s="134"/>
      <c r="E37" s="134"/>
      <c r="F37" s="134"/>
      <c r="G37" s="134"/>
      <c r="H37" s="134"/>
      <c r="I37" s="134"/>
      <c r="J37" s="134"/>
      <c r="K37" s="134"/>
      <c r="L37" s="134"/>
      <c r="M37" s="134"/>
      <c r="N37" s="134"/>
      <c r="O37" s="134"/>
      <c r="P37" s="134"/>
      <c r="Q37" s="134"/>
      <c r="R37" s="484"/>
    </row>
    <row r="38" spans="1:18" x14ac:dyDescent="0.2">
      <c r="A38" s="134"/>
      <c r="B38" s="134"/>
      <c r="C38" s="134"/>
      <c r="D38" s="134"/>
      <c r="E38" s="134"/>
      <c r="F38" s="134"/>
      <c r="G38" s="134"/>
      <c r="H38" s="134"/>
      <c r="I38" s="134"/>
      <c r="J38" s="134"/>
      <c r="K38" s="134"/>
      <c r="L38" s="134"/>
      <c r="M38" s="134"/>
      <c r="N38" s="134"/>
      <c r="O38" s="134"/>
      <c r="P38" s="134"/>
      <c r="Q38" s="134"/>
      <c r="R38" s="484"/>
    </row>
    <row r="39" spans="1:18" x14ac:dyDescent="0.2">
      <c r="A39" s="134"/>
      <c r="B39" s="134"/>
      <c r="C39" s="134"/>
      <c r="D39" s="134"/>
      <c r="E39" s="134"/>
      <c r="F39" s="134"/>
      <c r="G39" s="134"/>
      <c r="H39" s="134"/>
      <c r="I39" s="134"/>
      <c r="J39" s="134"/>
      <c r="K39" s="134"/>
      <c r="L39" s="134"/>
      <c r="M39" s="134"/>
      <c r="N39" s="134"/>
      <c r="O39" s="134"/>
      <c r="P39" s="134"/>
      <c r="Q39" s="134"/>
      <c r="R39" s="484"/>
    </row>
    <row r="40" spans="1:18" x14ac:dyDescent="0.2">
      <c r="A40" s="134"/>
      <c r="B40" s="134"/>
      <c r="C40" s="134"/>
      <c r="D40" s="134"/>
      <c r="E40" s="134"/>
      <c r="F40" s="134"/>
      <c r="G40" s="134"/>
      <c r="H40" s="134"/>
      <c r="I40" s="134"/>
      <c r="J40" s="134"/>
      <c r="K40" s="134"/>
      <c r="L40" s="134"/>
      <c r="M40" s="134"/>
      <c r="N40" s="134"/>
      <c r="O40" s="134"/>
      <c r="P40" s="134"/>
      <c r="Q40" s="134"/>
      <c r="R40" s="484"/>
    </row>
    <row r="41" spans="1:18" x14ac:dyDescent="0.2">
      <c r="A41" s="134"/>
      <c r="B41" s="134"/>
      <c r="C41" s="134"/>
      <c r="D41" s="134"/>
      <c r="E41" s="134"/>
      <c r="F41" s="134"/>
      <c r="G41" s="134"/>
      <c r="H41" s="134"/>
      <c r="I41" s="134"/>
      <c r="J41" s="134"/>
      <c r="K41" s="134"/>
      <c r="L41" s="134"/>
      <c r="M41" s="134"/>
      <c r="N41" s="134"/>
      <c r="O41" s="134"/>
      <c r="P41" s="134"/>
      <c r="Q41" s="134"/>
      <c r="R41" s="484"/>
    </row>
    <row r="42" spans="1:18" x14ac:dyDescent="0.2">
      <c r="A42" s="134"/>
      <c r="B42" s="134"/>
      <c r="C42" s="134"/>
      <c r="D42" s="134"/>
      <c r="E42" s="134"/>
      <c r="F42" s="134"/>
      <c r="G42" s="134"/>
      <c r="H42" s="134"/>
      <c r="I42" s="134"/>
      <c r="J42" s="134"/>
      <c r="K42" s="134"/>
      <c r="L42" s="134"/>
      <c r="M42" s="134"/>
      <c r="N42" s="134"/>
      <c r="O42" s="134"/>
      <c r="P42" s="134"/>
      <c r="Q42" s="134"/>
      <c r="R42" s="484"/>
    </row>
    <row r="43" spans="1:18" x14ac:dyDescent="0.2">
      <c r="A43" s="134"/>
      <c r="B43" s="134"/>
      <c r="C43" s="134"/>
      <c r="D43" s="134"/>
      <c r="E43" s="134"/>
      <c r="F43" s="134"/>
      <c r="G43" s="134"/>
      <c r="H43" s="134"/>
      <c r="I43" s="134"/>
      <c r="J43" s="134"/>
      <c r="K43" s="134"/>
      <c r="L43" s="134"/>
      <c r="M43" s="134"/>
      <c r="N43" s="134"/>
      <c r="O43" s="134"/>
      <c r="P43" s="134"/>
      <c r="Q43" s="134"/>
      <c r="R43" s="484"/>
    </row>
    <row r="44" spans="1:18" x14ac:dyDescent="0.2">
      <c r="A44" s="134"/>
      <c r="B44" s="134"/>
      <c r="C44" s="134"/>
      <c r="D44" s="134"/>
      <c r="E44" s="134"/>
      <c r="F44" s="134"/>
      <c r="G44" s="134"/>
      <c r="H44" s="134"/>
      <c r="I44" s="134"/>
      <c r="J44" s="134"/>
      <c r="K44" s="134"/>
      <c r="L44" s="134"/>
      <c r="M44" s="134"/>
      <c r="N44" s="134"/>
      <c r="O44" s="134"/>
      <c r="P44" s="134"/>
      <c r="Q44" s="134"/>
      <c r="R44" s="484"/>
    </row>
    <row r="45" spans="1:18" x14ac:dyDescent="0.2">
      <c r="A45" s="134"/>
      <c r="B45" s="134"/>
      <c r="C45" s="134"/>
      <c r="D45" s="134"/>
      <c r="E45" s="134"/>
      <c r="F45" s="134"/>
      <c r="G45" s="134"/>
      <c r="H45" s="134"/>
      <c r="I45" s="134"/>
      <c r="J45" s="134"/>
      <c r="K45" s="134"/>
      <c r="L45" s="134"/>
      <c r="M45" s="134"/>
      <c r="N45" s="134"/>
      <c r="O45" s="134"/>
      <c r="P45" s="134"/>
      <c r="Q45" s="134"/>
      <c r="R45" s="484"/>
    </row>
    <row r="46" spans="1:18" x14ac:dyDescent="0.2">
      <c r="A46" s="134"/>
      <c r="B46" s="134"/>
      <c r="C46" s="134"/>
      <c r="D46" s="134"/>
      <c r="E46" s="134"/>
      <c r="F46" s="134"/>
      <c r="G46" s="134"/>
      <c r="H46" s="134"/>
      <c r="I46" s="134"/>
      <c r="J46" s="134"/>
      <c r="K46" s="134"/>
      <c r="L46" s="134"/>
      <c r="M46" s="134"/>
      <c r="N46" s="134"/>
      <c r="O46" s="134"/>
      <c r="P46" s="134"/>
      <c r="Q46" s="134"/>
      <c r="R46" s="484"/>
    </row>
    <row r="47" spans="1:18" x14ac:dyDescent="0.2">
      <c r="A47" s="134"/>
      <c r="B47" s="134"/>
      <c r="C47" s="134"/>
      <c r="D47" s="134"/>
      <c r="E47" s="134"/>
      <c r="F47" s="134"/>
      <c r="G47" s="134"/>
      <c r="H47" s="134"/>
      <c r="I47" s="134"/>
      <c r="J47" s="134"/>
      <c r="K47" s="134"/>
      <c r="L47" s="134"/>
      <c r="M47" s="134"/>
      <c r="N47" s="134"/>
      <c r="O47" s="134"/>
      <c r="P47" s="134"/>
      <c r="Q47" s="134"/>
      <c r="R47" s="484"/>
    </row>
    <row r="48" spans="1:18" x14ac:dyDescent="0.2">
      <c r="A48" s="134"/>
      <c r="B48" s="134"/>
      <c r="C48" s="134"/>
      <c r="D48" s="134"/>
      <c r="E48" s="134"/>
      <c r="F48" s="134"/>
      <c r="G48" s="134"/>
      <c r="H48" s="134"/>
      <c r="I48" s="134"/>
      <c r="J48" s="134"/>
      <c r="K48" s="134"/>
      <c r="L48" s="134"/>
      <c r="M48" s="134"/>
      <c r="N48" s="134"/>
      <c r="O48" s="134"/>
      <c r="P48" s="134"/>
      <c r="Q48" s="134"/>
      <c r="R48" s="484"/>
    </row>
    <row r="49" spans="1:18" x14ac:dyDescent="0.2">
      <c r="A49" s="134"/>
      <c r="B49" s="134"/>
      <c r="C49" s="134"/>
      <c r="D49" s="134"/>
      <c r="E49" s="134"/>
      <c r="F49" s="134"/>
      <c r="G49" s="134"/>
      <c r="H49" s="134"/>
      <c r="I49" s="134"/>
      <c r="J49" s="134"/>
      <c r="K49" s="134"/>
      <c r="L49" s="134"/>
      <c r="M49" s="134"/>
      <c r="N49" s="134"/>
      <c r="O49" s="134"/>
      <c r="P49" s="134"/>
      <c r="Q49" s="134"/>
      <c r="R49" s="484"/>
    </row>
    <row r="50" spans="1:18" x14ac:dyDescent="0.2">
      <c r="A50" s="134"/>
      <c r="B50" s="134"/>
      <c r="C50" s="134"/>
      <c r="D50" s="134"/>
      <c r="E50" s="134"/>
      <c r="F50" s="134"/>
      <c r="G50" s="134"/>
      <c r="H50" s="134"/>
      <c r="I50" s="134"/>
      <c r="J50" s="134"/>
      <c r="K50" s="134"/>
      <c r="L50" s="134"/>
      <c r="M50" s="134"/>
      <c r="N50" s="134"/>
      <c r="O50" s="134"/>
      <c r="P50" s="134"/>
      <c r="Q50" s="134"/>
      <c r="R50" s="484"/>
    </row>
    <row r="51" spans="1:18" x14ac:dyDescent="0.2">
      <c r="A51" s="134"/>
      <c r="B51" s="134"/>
      <c r="C51" s="134"/>
      <c r="D51" s="134"/>
      <c r="E51" s="134"/>
      <c r="F51" s="134"/>
      <c r="G51" s="134"/>
      <c r="H51" s="134"/>
      <c r="I51" s="134"/>
      <c r="J51" s="134"/>
      <c r="K51" s="134"/>
      <c r="L51" s="134"/>
      <c r="M51" s="134"/>
      <c r="N51" s="134"/>
      <c r="O51" s="134"/>
      <c r="P51" s="134"/>
      <c r="Q51" s="134"/>
      <c r="R51" s="484"/>
    </row>
    <row r="52" spans="1:18" x14ac:dyDescent="0.2">
      <c r="A52" s="134"/>
      <c r="B52" s="134"/>
      <c r="C52" s="134"/>
      <c r="D52" s="134"/>
      <c r="E52" s="134"/>
      <c r="F52" s="134"/>
      <c r="G52" s="134"/>
      <c r="H52" s="134"/>
      <c r="I52" s="134"/>
      <c r="J52" s="134"/>
      <c r="K52" s="134"/>
      <c r="L52" s="134"/>
      <c r="M52" s="134"/>
      <c r="N52" s="134"/>
      <c r="O52" s="134"/>
      <c r="P52" s="134"/>
      <c r="Q52" s="134"/>
      <c r="R52" s="484"/>
    </row>
    <row r="53" spans="1:18" x14ac:dyDescent="0.2">
      <c r="A53" s="134"/>
      <c r="B53" s="134"/>
      <c r="C53" s="134"/>
      <c r="D53" s="134"/>
      <c r="E53" s="134"/>
      <c r="F53" s="134"/>
      <c r="G53" s="134"/>
      <c r="H53" s="134"/>
      <c r="I53" s="134"/>
      <c r="J53" s="134"/>
      <c r="K53" s="134"/>
      <c r="L53" s="134"/>
      <c r="M53" s="134"/>
      <c r="N53" s="134"/>
      <c r="O53" s="134"/>
      <c r="P53" s="134"/>
      <c r="Q53" s="134"/>
      <c r="R53" s="484"/>
    </row>
    <row r="54" spans="1:18" x14ac:dyDescent="0.2">
      <c r="A54" s="134"/>
      <c r="B54" s="134"/>
      <c r="C54" s="134"/>
      <c r="D54" s="134"/>
      <c r="E54" s="134"/>
      <c r="F54" s="134"/>
      <c r="G54" s="134"/>
      <c r="H54" s="134"/>
      <c r="I54" s="134"/>
      <c r="J54" s="134"/>
      <c r="K54" s="134"/>
      <c r="L54" s="134"/>
      <c r="M54" s="134"/>
      <c r="N54" s="134"/>
      <c r="O54" s="134"/>
      <c r="P54" s="134"/>
      <c r="Q54" s="134"/>
      <c r="R54" s="484"/>
    </row>
    <row r="55" spans="1:18" x14ac:dyDescent="0.2">
      <c r="A55" s="134"/>
      <c r="B55" s="134"/>
      <c r="C55" s="134"/>
      <c r="D55" s="134"/>
      <c r="E55" s="134"/>
      <c r="F55" s="134"/>
      <c r="G55" s="134"/>
      <c r="H55" s="134"/>
      <c r="I55" s="134"/>
      <c r="J55" s="134"/>
      <c r="K55" s="134"/>
      <c r="L55" s="134"/>
      <c r="M55" s="134"/>
      <c r="N55" s="134"/>
      <c r="O55" s="134"/>
      <c r="P55" s="134"/>
      <c r="Q55" s="134"/>
      <c r="R55" s="484"/>
    </row>
    <row r="56" spans="1:18" x14ac:dyDescent="0.2">
      <c r="A56" s="134"/>
      <c r="B56" s="134"/>
      <c r="C56" s="134"/>
      <c r="D56" s="134"/>
      <c r="E56" s="134"/>
      <c r="F56" s="134"/>
      <c r="G56" s="134"/>
      <c r="H56" s="134"/>
      <c r="I56" s="134"/>
      <c r="J56" s="134"/>
      <c r="K56" s="134"/>
      <c r="L56" s="134"/>
      <c r="M56" s="134"/>
      <c r="N56" s="134"/>
      <c r="O56" s="134"/>
      <c r="P56" s="134"/>
      <c r="Q56" s="134"/>
      <c r="R56" s="484"/>
    </row>
    <row r="57" spans="1:18" x14ac:dyDescent="0.2">
      <c r="A57" s="134"/>
      <c r="B57" s="134"/>
      <c r="C57" s="134"/>
      <c r="D57" s="134"/>
      <c r="E57" s="134"/>
      <c r="F57" s="134"/>
      <c r="G57" s="134"/>
      <c r="H57" s="134"/>
      <c r="I57" s="134"/>
      <c r="J57" s="134"/>
      <c r="K57" s="134"/>
      <c r="L57" s="134"/>
      <c r="M57" s="134"/>
      <c r="N57" s="134"/>
      <c r="O57" s="134"/>
      <c r="P57" s="134"/>
      <c r="Q57" s="134"/>
      <c r="R57" s="484"/>
    </row>
    <row r="58" spans="1:18" x14ac:dyDescent="0.2">
      <c r="A58" s="134"/>
      <c r="B58" s="134"/>
      <c r="C58" s="134"/>
      <c r="D58" s="134"/>
      <c r="E58" s="134"/>
      <c r="F58" s="134"/>
      <c r="G58" s="134"/>
      <c r="H58" s="134"/>
      <c r="I58" s="134"/>
      <c r="J58" s="134"/>
      <c r="K58" s="134"/>
      <c r="L58" s="134"/>
      <c r="M58" s="134"/>
      <c r="N58" s="134"/>
      <c r="O58" s="134"/>
      <c r="P58" s="134"/>
      <c r="Q58" s="134"/>
      <c r="R58" s="484"/>
    </row>
    <row r="59" spans="1:18" x14ac:dyDescent="0.2">
      <c r="A59" s="134"/>
      <c r="B59" s="134"/>
      <c r="C59" s="134"/>
      <c r="D59" s="134"/>
      <c r="E59" s="134"/>
      <c r="F59" s="134"/>
      <c r="G59" s="134"/>
      <c r="H59" s="134"/>
      <c r="I59" s="134"/>
      <c r="J59" s="134"/>
      <c r="K59" s="134"/>
      <c r="L59" s="134"/>
      <c r="M59" s="134"/>
      <c r="N59" s="134"/>
      <c r="O59" s="134"/>
      <c r="P59" s="134"/>
      <c r="Q59" s="134"/>
      <c r="R59" s="484"/>
    </row>
    <row r="60" spans="1:18" x14ac:dyDescent="0.2">
      <c r="A60" s="134"/>
      <c r="B60" s="134"/>
      <c r="C60" s="134"/>
      <c r="D60" s="134"/>
      <c r="E60" s="134"/>
      <c r="F60" s="134"/>
      <c r="G60" s="134"/>
      <c r="H60" s="134"/>
      <c r="I60" s="134"/>
      <c r="J60" s="134"/>
      <c r="K60" s="134"/>
      <c r="L60" s="134"/>
      <c r="M60" s="134"/>
      <c r="N60" s="134"/>
      <c r="O60" s="134"/>
      <c r="P60" s="134"/>
      <c r="Q60" s="134"/>
      <c r="R60" s="483"/>
    </row>
    <row r="61" spans="1:18" x14ac:dyDescent="0.2">
      <c r="A61" s="134"/>
      <c r="B61" s="134"/>
      <c r="C61" s="134"/>
      <c r="D61" s="134"/>
      <c r="E61" s="134"/>
      <c r="F61" s="134"/>
      <c r="G61" s="134"/>
      <c r="H61" s="134"/>
      <c r="I61" s="134"/>
      <c r="J61" s="134"/>
      <c r="K61" s="134"/>
      <c r="L61" s="134"/>
      <c r="M61" s="134"/>
      <c r="N61" s="134"/>
      <c r="O61" s="134"/>
      <c r="P61" s="134"/>
      <c r="Q61" s="134"/>
      <c r="R61" s="483"/>
    </row>
    <row r="62" spans="1:18" x14ac:dyDescent="0.2">
      <c r="A62" s="134"/>
      <c r="B62" s="134"/>
      <c r="C62" s="134"/>
      <c r="D62" s="134"/>
      <c r="E62" s="134"/>
      <c r="F62" s="134"/>
      <c r="G62" s="134"/>
      <c r="H62" s="134"/>
      <c r="I62" s="134"/>
      <c r="J62" s="134"/>
      <c r="K62" s="134"/>
      <c r="L62" s="134"/>
      <c r="M62" s="134"/>
      <c r="N62" s="134"/>
      <c r="O62" s="134"/>
      <c r="P62" s="134"/>
      <c r="Q62" s="134"/>
      <c r="R62" s="483"/>
    </row>
    <row r="63" spans="1:18" x14ac:dyDescent="0.2">
      <c r="A63" s="134"/>
      <c r="B63" s="134"/>
      <c r="C63" s="134"/>
      <c r="D63" s="134"/>
      <c r="E63" s="134"/>
      <c r="F63" s="134"/>
      <c r="G63" s="134"/>
      <c r="H63" s="134"/>
      <c r="I63" s="134"/>
      <c r="J63" s="134"/>
      <c r="K63" s="134"/>
      <c r="L63" s="134"/>
      <c r="M63" s="134"/>
      <c r="N63" s="134"/>
      <c r="O63" s="134"/>
      <c r="P63" s="134"/>
      <c r="Q63" s="134"/>
      <c r="R63" s="483"/>
    </row>
    <row r="64" spans="1:18" x14ac:dyDescent="0.2">
      <c r="A64" s="134"/>
      <c r="B64" s="134"/>
      <c r="C64" s="134"/>
      <c r="D64" s="134"/>
      <c r="E64" s="134"/>
      <c r="F64" s="134"/>
      <c r="G64" s="134"/>
      <c r="H64" s="134"/>
      <c r="I64" s="134"/>
      <c r="J64" s="134"/>
      <c r="K64" s="134"/>
      <c r="L64" s="134"/>
      <c r="M64" s="134"/>
      <c r="N64" s="134"/>
      <c r="O64" s="134"/>
      <c r="P64" s="134"/>
      <c r="Q64" s="134"/>
      <c r="R64" s="483"/>
    </row>
    <row r="65" spans="1:18" x14ac:dyDescent="0.2">
      <c r="A65" s="134"/>
      <c r="B65" s="134"/>
      <c r="C65" s="134"/>
      <c r="D65" s="134"/>
      <c r="E65" s="134"/>
      <c r="F65" s="134"/>
      <c r="G65" s="134"/>
      <c r="H65" s="134"/>
      <c r="I65" s="134"/>
      <c r="J65" s="134"/>
      <c r="K65" s="134"/>
      <c r="L65" s="134"/>
      <c r="M65" s="134"/>
      <c r="N65" s="134"/>
      <c r="O65" s="134"/>
      <c r="P65" s="134"/>
      <c r="Q65" s="134"/>
      <c r="R65" s="483"/>
    </row>
    <row r="66" spans="1:18" x14ac:dyDescent="0.2">
      <c r="A66" s="134"/>
      <c r="B66" s="134"/>
      <c r="C66" s="134"/>
      <c r="D66" s="134"/>
      <c r="E66" s="134"/>
      <c r="F66" s="134"/>
      <c r="G66" s="134"/>
      <c r="H66" s="134"/>
      <c r="I66" s="134"/>
      <c r="J66" s="134"/>
      <c r="K66" s="134"/>
      <c r="L66" s="134"/>
      <c r="M66" s="134"/>
      <c r="N66" s="134"/>
      <c r="O66" s="134"/>
      <c r="P66" s="134"/>
      <c r="Q66" s="134"/>
      <c r="R66" s="483"/>
    </row>
    <row r="67" spans="1:18" x14ac:dyDescent="0.2">
      <c r="A67" s="134"/>
      <c r="B67" s="134"/>
      <c r="C67" s="134"/>
      <c r="D67" s="134"/>
      <c r="E67" s="134"/>
      <c r="F67" s="134"/>
      <c r="G67" s="134"/>
      <c r="H67" s="134"/>
      <c r="I67" s="134"/>
      <c r="J67" s="134"/>
      <c r="K67" s="134"/>
      <c r="L67" s="134"/>
      <c r="M67" s="134"/>
      <c r="N67" s="134"/>
      <c r="O67" s="134"/>
      <c r="P67" s="134"/>
      <c r="Q67" s="134"/>
      <c r="R67" s="483"/>
    </row>
    <row r="68" spans="1:18" x14ac:dyDescent="0.2">
      <c r="A68" s="134"/>
      <c r="B68" s="134"/>
      <c r="C68" s="134"/>
      <c r="D68" s="134"/>
      <c r="E68" s="134"/>
      <c r="F68" s="134"/>
      <c r="G68" s="134"/>
      <c r="H68" s="134"/>
      <c r="I68" s="134"/>
      <c r="J68" s="134"/>
      <c r="K68" s="134"/>
      <c r="L68" s="134"/>
      <c r="M68" s="134"/>
      <c r="N68" s="134"/>
      <c r="O68" s="134"/>
      <c r="P68" s="134"/>
      <c r="Q68" s="134"/>
      <c r="R68" s="483"/>
    </row>
    <row r="69" spans="1:18" x14ac:dyDescent="0.2">
      <c r="A69" s="134"/>
      <c r="B69" s="134"/>
      <c r="C69" s="134"/>
      <c r="D69" s="134"/>
      <c r="E69" s="134"/>
      <c r="F69" s="134"/>
      <c r="G69" s="134"/>
      <c r="H69" s="134"/>
      <c r="I69" s="134"/>
      <c r="J69" s="134"/>
      <c r="K69" s="134"/>
      <c r="L69" s="134"/>
      <c r="M69" s="134"/>
      <c r="N69" s="134"/>
      <c r="O69" s="134"/>
      <c r="P69" s="134"/>
      <c r="Q69" s="134"/>
      <c r="R69" s="485"/>
    </row>
    <row r="70" spans="1:18" x14ac:dyDescent="0.2">
      <c r="A70" s="134"/>
      <c r="B70" s="134"/>
      <c r="C70" s="134"/>
      <c r="D70" s="134"/>
      <c r="E70" s="134"/>
      <c r="F70" s="134"/>
      <c r="G70" s="134"/>
      <c r="H70" s="134"/>
      <c r="I70" s="134"/>
      <c r="J70" s="134"/>
      <c r="K70" s="134"/>
      <c r="L70" s="134"/>
      <c r="M70" s="134"/>
      <c r="N70" s="134"/>
      <c r="O70" s="134"/>
      <c r="P70" s="134"/>
      <c r="Q70" s="134"/>
      <c r="R70" s="483"/>
    </row>
    <row r="71" spans="1:18" x14ac:dyDescent="0.2">
      <c r="A71" s="134"/>
      <c r="B71" s="134"/>
      <c r="C71" s="134"/>
      <c r="D71" s="134"/>
      <c r="E71" s="134"/>
      <c r="F71" s="134"/>
      <c r="G71" s="134"/>
      <c r="H71" s="134"/>
      <c r="I71" s="134"/>
      <c r="J71" s="134"/>
      <c r="K71" s="134"/>
      <c r="L71" s="134"/>
      <c r="M71" s="134"/>
      <c r="N71" s="134"/>
      <c r="O71" s="134"/>
      <c r="P71" s="134"/>
      <c r="Q71" s="134"/>
      <c r="R71" s="483"/>
    </row>
    <row r="72" spans="1:18" x14ac:dyDescent="0.2">
      <c r="A72" s="134"/>
      <c r="B72" s="134"/>
      <c r="C72" s="134"/>
      <c r="D72" s="134"/>
      <c r="E72" s="134"/>
      <c r="F72" s="134"/>
      <c r="G72" s="134"/>
      <c r="H72" s="134"/>
      <c r="I72" s="134"/>
      <c r="J72" s="134"/>
      <c r="K72" s="134"/>
      <c r="L72" s="134"/>
      <c r="M72" s="134"/>
      <c r="N72" s="134"/>
      <c r="O72" s="134"/>
      <c r="P72" s="134"/>
      <c r="Q72" s="134"/>
      <c r="R72" s="483"/>
    </row>
    <row r="73" spans="1:18" x14ac:dyDescent="0.2">
      <c r="A73" s="134"/>
      <c r="B73" s="134"/>
      <c r="C73" s="134"/>
      <c r="D73" s="134"/>
      <c r="E73" s="134"/>
      <c r="F73" s="134"/>
      <c r="G73" s="134"/>
      <c r="H73" s="134"/>
      <c r="I73" s="134"/>
      <c r="J73" s="134"/>
      <c r="K73" s="134"/>
      <c r="L73" s="134"/>
      <c r="M73" s="134"/>
      <c r="N73" s="134"/>
      <c r="O73" s="134"/>
      <c r="P73" s="134"/>
      <c r="Q73" s="134"/>
      <c r="R73" s="483"/>
    </row>
    <row r="74" spans="1:18" x14ac:dyDescent="0.2">
      <c r="A74" s="134"/>
      <c r="B74" s="134"/>
      <c r="C74" s="134"/>
      <c r="D74" s="134"/>
      <c r="E74" s="134"/>
      <c r="F74" s="134"/>
      <c r="G74" s="134"/>
      <c r="H74" s="134"/>
      <c r="I74" s="134"/>
      <c r="J74" s="134"/>
      <c r="K74" s="134"/>
      <c r="L74" s="134"/>
      <c r="M74" s="134"/>
      <c r="N74" s="134"/>
      <c r="O74" s="134"/>
      <c r="P74" s="134"/>
      <c r="Q74" s="134"/>
      <c r="R74" s="483"/>
    </row>
    <row r="75" spans="1:18" ht="15.75" x14ac:dyDescent="0.25">
      <c r="A75" s="134"/>
      <c r="B75" s="134"/>
      <c r="C75" s="134"/>
      <c r="D75" s="134"/>
      <c r="E75" s="134"/>
      <c r="F75" s="134"/>
      <c r="G75" s="134"/>
      <c r="H75" s="134"/>
      <c r="I75" s="134"/>
      <c r="J75" s="134"/>
      <c r="K75" s="134"/>
      <c r="L75" s="134"/>
      <c r="M75" s="134"/>
      <c r="N75" s="134"/>
      <c r="O75" s="134"/>
      <c r="P75" s="134"/>
      <c r="Q75" s="134"/>
      <c r="R75" s="486"/>
    </row>
    <row r="76" spans="1:18" x14ac:dyDescent="0.2">
      <c r="A76" s="134"/>
      <c r="B76" s="134"/>
      <c r="C76" s="134"/>
      <c r="D76" s="134"/>
      <c r="E76" s="134"/>
      <c r="F76" s="134"/>
      <c r="G76" s="134"/>
      <c r="H76" s="134"/>
      <c r="I76" s="134"/>
      <c r="J76" s="134"/>
      <c r="K76" s="134"/>
      <c r="L76" s="134"/>
      <c r="M76" s="134"/>
      <c r="N76" s="134"/>
      <c r="O76" s="134"/>
      <c r="P76" s="134"/>
      <c r="Q76" s="134"/>
      <c r="R76" s="483"/>
    </row>
    <row r="77" spans="1:18" x14ac:dyDescent="0.2">
      <c r="A77" s="134"/>
      <c r="B77" s="134"/>
      <c r="C77" s="134"/>
      <c r="D77" s="134"/>
      <c r="E77" s="134"/>
      <c r="F77" s="134"/>
      <c r="G77" s="134"/>
      <c r="H77" s="134"/>
      <c r="I77" s="134"/>
      <c r="J77" s="134"/>
      <c r="K77" s="134"/>
      <c r="L77" s="134"/>
      <c r="M77" s="134"/>
      <c r="N77" s="134"/>
      <c r="O77" s="134"/>
      <c r="P77" s="134"/>
      <c r="Q77" s="134"/>
      <c r="R77" s="483"/>
    </row>
    <row r="78" spans="1:18" x14ac:dyDescent="0.2">
      <c r="A78" s="134"/>
      <c r="B78" s="134"/>
      <c r="C78" s="134"/>
      <c r="D78" s="134"/>
      <c r="E78" s="134"/>
      <c r="F78" s="134"/>
      <c r="G78" s="134"/>
      <c r="H78" s="134"/>
      <c r="I78" s="134"/>
      <c r="J78" s="134"/>
      <c r="K78" s="134"/>
      <c r="L78" s="134"/>
      <c r="M78" s="134"/>
      <c r="N78" s="134"/>
      <c r="O78" s="134"/>
      <c r="P78" s="134"/>
      <c r="Q78" s="134"/>
      <c r="R78" s="483"/>
    </row>
    <row r="79" spans="1:18" x14ac:dyDescent="0.2">
      <c r="A79" s="134"/>
      <c r="B79" s="134"/>
      <c r="C79" s="134"/>
      <c r="D79" s="134"/>
      <c r="E79" s="134"/>
      <c r="F79" s="134"/>
      <c r="G79" s="134"/>
      <c r="H79" s="134"/>
      <c r="I79" s="134"/>
      <c r="J79" s="134"/>
      <c r="K79" s="134"/>
      <c r="L79" s="134"/>
      <c r="M79" s="134"/>
      <c r="N79" s="134"/>
      <c r="O79" s="134"/>
      <c r="P79" s="134"/>
      <c r="Q79" s="134"/>
      <c r="R79" s="483"/>
    </row>
    <row r="80" spans="1:18" x14ac:dyDescent="0.2">
      <c r="A80" s="134"/>
      <c r="B80" s="134"/>
      <c r="C80" s="134"/>
      <c r="D80" s="134"/>
      <c r="E80" s="134"/>
      <c r="F80" s="134"/>
      <c r="G80" s="134"/>
      <c r="H80" s="134"/>
      <c r="I80" s="134"/>
      <c r="J80" s="134"/>
      <c r="K80" s="134"/>
      <c r="L80" s="134"/>
      <c r="M80" s="134"/>
      <c r="N80" s="134"/>
      <c r="O80" s="134"/>
      <c r="P80" s="134"/>
      <c r="Q80" s="134"/>
      <c r="R80" s="483"/>
    </row>
    <row r="81" spans="18:18" x14ac:dyDescent="0.2">
      <c r="R81" s="483"/>
    </row>
    <row r="82" spans="18:18" x14ac:dyDescent="0.2">
      <c r="R82" s="483"/>
    </row>
    <row r="83" spans="18:18" x14ac:dyDescent="0.2">
      <c r="R83" s="483"/>
    </row>
    <row r="84" spans="18:18" x14ac:dyDescent="0.2">
      <c r="R84" s="483"/>
    </row>
    <row r="85" spans="18:18" x14ac:dyDescent="0.2">
      <c r="R85" s="483"/>
    </row>
    <row r="86" spans="18:18" x14ac:dyDescent="0.2">
      <c r="R86" s="483"/>
    </row>
    <row r="87" spans="18:18" x14ac:dyDescent="0.2">
      <c r="R87" s="483"/>
    </row>
    <row r="88" spans="18:18" x14ac:dyDescent="0.2">
      <c r="R88" s="483"/>
    </row>
    <row r="89" spans="18:18" x14ac:dyDescent="0.2">
      <c r="R89" s="483"/>
    </row>
    <row r="90" spans="18:18" x14ac:dyDescent="0.2">
      <c r="R90" s="483"/>
    </row>
    <row r="91" spans="18:18" x14ac:dyDescent="0.2">
      <c r="R91" s="483"/>
    </row>
    <row r="92" spans="18:18" x14ac:dyDescent="0.2">
      <c r="R92" s="483"/>
    </row>
    <row r="93" spans="18:18" x14ac:dyDescent="0.2">
      <c r="R93" s="483"/>
    </row>
    <row r="94" spans="18:18" x14ac:dyDescent="0.2">
      <c r="R94" s="483"/>
    </row>
    <row r="95" spans="18:18" x14ac:dyDescent="0.2">
      <c r="R95" s="483"/>
    </row>
    <row r="96" spans="18:18" x14ac:dyDescent="0.2">
      <c r="R96" s="483"/>
    </row>
    <row r="97" spans="18:18" x14ac:dyDescent="0.2">
      <c r="R97" s="483"/>
    </row>
    <row r="98" spans="18:18" x14ac:dyDescent="0.2">
      <c r="R98" s="483"/>
    </row>
    <row r="99" spans="18:18" x14ac:dyDescent="0.2">
      <c r="R99" s="483"/>
    </row>
    <row r="100" spans="18:18" x14ac:dyDescent="0.2">
      <c r="R100" s="483"/>
    </row>
    <row r="101" spans="18:18" x14ac:dyDescent="0.2">
      <c r="R101" s="483"/>
    </row>
    <row r="102" spans="18:18" x14ac:dyDescent="0.2">
      <c r="R102" s="483"/>
    </row>
    <row r="103" spans="18:18" x14ac:dyDescent="0.2">
      <c r="R103" s="483"/>
    </row>
    <row r="104" spans="18:18" x14ac:dyDescent="0.2">
      <c r="R104" s="483"/>
    </row>
    <row r="105" spans="18:18" x14ac:dyDescent="0.2">
      <c r="R105" s="483"/>
    </row>
    <row r="106" spans="18:18" x14ac:dyDescent="0.2">
      <c r="R106" s="483"/>
    </row>
    <row r="107" spans="18:18" x14ac:dyDescent="0.2">
      <c r="R107" s="54"/>
    </row>
    <row r="108" spans="18:18" x14ac:dyDescent="0.2">
      <c r="R108" s="54"/>
    </row>
    <row r="109" spans="18:18" x14ac:dyDescent="0.2">
      <c r="R109" s="54"/>
    </row>
    <row r="110" spans="18:18" x14ac:dyDescent="0.2">
      <c r="R110" s="54"/>
    </row>
    <row r="111" spans="18:18" x14ac:dyDescent="0.2">
      <c r="R111" s="54"/>
    </row>
    <row r="112" spans="18:18" x14ac:dyDescent="0.2">
      <c r="R112" s="54"/>
    </row>
    <row r="113" spans="18:18" x14ac:dyDescent="0.2">
      <c r="R113" s="54"/>
    </row>
    <row r="114" spans="18:18" x14ac:dyDescent="0.2">
      <c r="R114" s="54"/>
    </row>
    <row r="115" spans="18:18" x14ac:dyDescent="0.2">
      <c r="R115" s="54"/>
    </row>
    <row r="116" spans="18:18" x14ac:dyDescent="0.2">
      <c r="R116" s="54"/>
    </row>
    <row r="117" spans="18:18" x14ac:dyDescent="0.2">
      <c r="R117" s="54"/>
    </row>
    <row r="118" spans="18:18" x14ac:dyDescent="0.2">
      <c r="R118" s="54"/>
    </row>
    <row r="119" spans="18:18" x14ac:dyDescent="0.2">
      <c r="R119" s="54"/>
    </row>
    <row r="120" spans="18:18" x14ac:dyDescent="0.2">
      <c r="R120" s="54"/>
    </row>
    <row r="121" spans="18:18" x14ac:dyDescent="0.2">
      <c r="R121" s="54"/>
    </row>
    <row r="122" spans="18:18" x14ac:dyDescent="0.2">
      <c r="R122" s="54"/>
    </row>
    <row r="123" spans="18:18" x14ac:dyDescent="0.2">
      <c r="R123" s="54"/>
    </row>
    <row r="124" spans="18:18" x14ac:dyDescent="0.2">
      <c r="R124" s="54"/>
    </row>
    <row r="125" spans="18:18" x14ac:dyDescent="0.2">
      <c r="R125" s="54"/>
    </row>
    <row r="126" spans="18:18" x14ac:dyDescent="0.2">
      <c r="R126" s="54"/>
    </row>
    <row r="127" spans="18:18" x14ac:dyDescent="0.2">
      <c r="R127" s="54"/>
    </row>
    <row r="128" spans="18:18" x14ac:dyDescent="0.2">
      <c r="R128" s="54"/>
    </row>
    <row r="129" spans="18:18" x14ac:dyDescent="0.2">
      <c r="R129" s="54"/>
    </row>
    <row r="130" spans="18:18" x14ac:dyDescent="0.2">
      <c r="R130" s="54"/>
    </row>
    <row r="131" spans="18:18" x14ac:dyDescent="0.2">
      <c r="R131" s="54"/>
    </row>
    <row r="132" spans="18:18" x14ac:dyDescent="0.2">
      <c r="R132" s="54"/>
    </row>
    <row r="133" spans="18:18" x14ac:dyDescent="0.2">
      <c r="R133" s="54"/>
    </row>
    <row r="134" spans="18:18" x14ac:dyDescent="0.2">
      <c r="R134" s="54"/>
    </row>
    <row r="135" spans="18:18" x14ac:dyDescent="0.2">
      <c r="R135" s="54"/>
    </row>
    <row r="136" spans="18:18" x14ac:dyDescent="0.2">
      <c r="R136" s="54"/>
    </row>
    <row r="137" spans="18:18" x14ac:dyDescent="0.2">
      <c r="R137" s="54"/>
    </row>
    <row r="138" spans="18:18" x14ac:dyDescent="0.2">
      <c r="R138" s="54"/>
    </row>
    <row r="139" spans="18:18" x14ac:dyDescent="0.2">
      <c r="R139" s="54"/>
    </row>
    <row r="140" spans="18:18" x14ac:dyDescent="0.2">
      <c r="R140" s="54"/>
    </row>
    <row r="141" spans="18:18" x14ac:dyDescent="0.2">
      <c r="R141" s="54"/>
    </row>
    <row r="142" spans="18:18" x14ac:dyDescent="0.2">
      <c r="R142" s="54"/>
    </row>
    <row r="143" spans="18:18" x14ac:dyDescent="0.2">
      <c r="R143" s="54"/>
    </row>
    <row r="144" spans="18:18" x14ac:dyDescent="0.2">
      <c r="R144" s="54"/>
    </row>
    <row r="145" spans="18:18" x14ac:dyDescent="0.2">
      <c r="R145" s="54"/>
    </row>
    <row r="146" spans="18:18" x14ac:dyDescent="0.2">
      <c r="R146" s="54"/>
    </row>
    <row r="147" spans="18:18" x14ac:dyDescent="0.2">
      <c r="R147" s="54"/>
    </row>
    <row r="148" spans="18:18" x14ac:dyDescent="0.2">
      <c r="R148" s="54"/>
    </row>
    <row r="149" spans="18:18" x14ac:dyDescent="0.2">
      <c r="R149" s="54"/>
    </row>
    <row r="150" spans="18:18" x14ac:dyDescent="0.2">
      <c r="R150" s="54"/>
    </row>
    <row r="151" spans="18:18" x14ac:dyDescent="0.2">
      <c r="R151" s="54"/>
    </row>
    <row r="152" spans="18:18" x14ac:dyDescent="0.2">
      <c r="R152" s="54"/>
    </row>
    <row r="153" spans="18:18" x14ac:dyDescent="0.2">
      <c r="R153" s="54"/>
    </row>
    <row r="154" spans="18:18" x14ac:dyDescent="0.2">
      <c r="R154" s="54"/>
    </row>
    <row r="155" spans="18:18" x14ac:dyDescent="0.2">
      <c r="R155" s="54"/>
    </row>
    <row r="156" spans="18:18" x14ac:dyDescent="0.2">
      <c r="R156" s="54"/>
    </row>
    <row r="157" spans="18:18" x14ac:dyDescent="0.2">
      <c r="R157" s="54"/>
    </row>
    <row r="158" spans="18:18" x14ac:dyDescent="0.2">
      <c r="R158" s="54"/>
    </row>
    <row r="159" spans="18:18" x14ac:dyDescent="0.2">
      <c r="R159" s="54"/>
    </row>
    <row r="160" spans="18:18" x14ac:dyDescent="0.2">
      <c r="R160" s="54"/>
    </row>
    <row r="161" spans="18:18" x14ac:dyDescent="0.2">
      <c r="R161" s="54"/>
    </row>
    <row r="162" spans="18:18" x14ac:dyDescent="0.2">
      <c r="R162" s="54"/>
    </row>
    <row r="163" spans="18:18" x14ac:dyDescent="0.2">
      <c r="R163" s="54"/>
    </row>
    <row r="164" spans="18:18" x14ac:dyDescent="0.2">
      <c r="R164" s="54"/>
    </row>
    <row r="165" spans="18:18" x14ac:dyDescent="0.2">
      <c r="R165" s="54"/>
    </row>
    <row r="166" spans="18:18" x14ac:dyDescent="0.2">
      <c r="R166" s="54"/>
    </row>
    <row r="167" spans="18:18" x14ac:dyDescent="0.2">
      <c r="R167" s="54"/>
    </row>
    <row r="168" spans="18:18" x14ac:dyDescent="0.2">
      <c r="R168" s="54"/>
    </row>
    <row r="169" spans="18:18" x14ac:dyDescent="0.2">
      <c r="R169" s="54"/>
    </row>
    <row r="170" spans="18:18" x14ac:dyDescent="0.2">
      <c r="R170" s="54"/>
    </row>
    <row r="171" spans="18:18" x14ac:dyDescent="0.2">
      <c r="R171" s="54"/>
    </row>
    <row r="172" spans="18:18" x14ac:dyDescent="0.2">
      <c r="R172" s="54"/>
    </row>
    <row r="173" spans="18:18" x14ac:dyDescent="0.2">
      <c r="R173" s="54"/>
    </row>
    <row r="174" spans="18:18" x14ac:dyDescent="0.2">
      <c r="R174" s="54"/>
    </row>
    <row r="175" spans="18:18" x14ac:dyDescent="0.2">
      <c r="R175" s="54"/>
    </row>
    <row r="176" spans="18:18" x14ac:dyDescent="0.2">
      <c r="R176" s="54"/>
    </row>
    <row r="177" spans="18:18" x14ac:dyDescent="0.2">
      <c r="R177" s="54"/>
    </row>
    <row r="178" spans="18:18" x14ac:dyDescent="0.2">
      <c r="R178" s="54"/>
    </row>
    <row r="179" spans="18:18" x14ac:dyDescent="0.2">
      <c r="R179" s="54"/>
    </row>
    <row r="180" spans="18:18" x14ac:dyDescent="0.2">
      <c r="R180" s="54"/>
    </row>
    <row r="181" spans="18:18" x14ac:dyDescent="0.2">
      <c r="R181" s="54"/>
    </row>
    <row r="182" spans="18:18" x14ac:dyDescent="0.2">
      <c r="R182" s="54"/>
    </row>
    <row r="183" spans="18:18" x14ac:dyDescent="0.2">
      <c r="R183" s="54"/>
    </row>
    <row r="184" spans="18:18" x14ac:dyDescent="0.2">
      <c r="R184" s="54"/>
    </row>
    <row r="185" spans="18:18" x14ac:dyDescent="0.2">
      <c r="R185" s="54"/>
    </row>
    <row r="186" spans="18:18" x14ac:dyDescent="0.2">
      <c r="R186" s="54"/>
    </row>
    <row r="187" spans="18:18" x14ac:dyDescent="0.2">
      <c r="R187" s="54"/>
    </row>
    <row r="188" spans="18:18" x14ac:dyDescent="0.2">
      <c r="R188" s="54"/>
    </row>
    <row r="189" spans="18:18" x14ac:dyDescent="0.2">
      <c r="R189" s="54"/>
    </row>
    <row r="190" spans="18:18" x14ac:dyDescent="0.2">
      <c r="R190" s="54"/>
    </row>
    <row r="191" spans="18:18" x14ac:dyDescent="0.2">
      <c r="R191" s="54"/>
    </row>
    <row r="192" spans="18:18" x14ac:dyDescent="0.2">
      <c r="R192" s="54"/>
    </row>
    <row r="193" spans="18:18" x14ac:dyDescent="0.2">
      <c r="R193" s="54"/>
    </row>
    <row r="194" spans="18:18" x14ac:dyDescent="0.2">
      <c r="R194" s="54"/>
    </row>
    <row r="195" spans="18:18" x14ac:dyDescent="0.2">
      <c r="R195" s="54"/>
    </row>
    <row r="196" spans="18:18" x14ac:dyDescent="0.2">
      <c r="R196" s="54"/>
    </row>
    <row r="197" spans="18:18" x14ac:dyDescent="0.2">
      <c r="R197" s="54"/>
    </row>
    <row r="198" spans="18:18" x14ac:dyDescent="0.2">
      <c r="R198" s="54"/>
    </row>
    <row r="199" spans="18:18" x14ac:dyDescent="0.2">
      <c r="R199" s="54"/>
    </row>
    <row r="200" spans="18:18" x14ac:dyDescent="0.2">
      <c r="R200" s="54"/>
    </row>
    <row r="201" spans="18:18" x14ac:dyDescent="0.2">
      <c r="R201" s="54"/>
    </row>
    <row r="202" spans="18:18" x14ac:dyDescent="0.2">
      <c r="R202" s="54"/>
    </row>
    <row r="203" spans="18:18" x14ac:dyDescent="0.2">
      <c r="R203" s="54"/>
    </row>
    <row r="204" spans="18:18" x14ac:dyDescent="0.2">
      <c r="R204" s="54"/>
    </row>
    <row r="205" spans="18:18" x14ac:dyDescent="0.2">
      <c r="R205" s="54"/>
    </row>
    <row r="206" spans="18:18" x14ac:dyDescent="0.2">
      <c r="R206" s="54"/>
    </row>
    <row r="207" spans="18:18" x14ac:dyDescent="0.2">
      <c r="R207" s="54"/>
    </row>
    <row r="208" spans="18:18" x14ac:dyDescent="0.2">
      <c r="R208" s="54"/>
    </row>
    <row r="209" spans="18:18" x14ac:dyDescent="0.2">
      <c r="R209" s="54"/>
    </row>
    <row r="210" spans="18:18" x14ac:dyDescent="0.2">
      <c r="R210" s="54"/>
    </row>
    <row r="211" spans="18:18" x14ac:dyDescent="0.2">
      <c r="R211" s="54"/>
    </row>
    <row r="212" spans="18:18" x14ac:dyDescent="0.2">
      <c r="R212" s="54"/>
    </row>
    <row r="213" spans="18:18" x14ac:dyDescent="0.2">
      <c r="R213" s="54"/>
    </row>
    <row r="214" spans="18:18" x14ac:dyDescent="0.2">
      <c r="R214" s="54"/>
    </row>
    <row r="215" spans="18:18" x14ac:dyDescent="0.2">
      <c r="R215" s="54"/>
    </row>
    <row r="216" spans="18:18" x14ac:dyDescent="0.2">
      <c r="R216" s="54"/>
    </row>
    <row r="217" spans="18:18" x14ac:dyDescent="0.2">
      <c r="R217" s="54"/>
    </row>
    <row r="218" spans="18:18" x14ac:dyDescent="0.2">
      <c r="R218" s="54"/>
    </row>
    <row r="219" spans="18:18" x14ac:dyDescent="0.2">
      <c r="R219" s="54"/>
    </row>
    <row r="220" spans="18:18" x14ac:dyDescent="0.2">
      <c r="R220" s="54"/>
    </row>
    <row r="221" spans="18:18" x14ac:dyDescent="0.2">
      <c r="R221" s="54"/>
    </row>
    <row r="222" spans="18:18" x14ac:dyDescent="0.2">
      <c r="R222" s="54"/>
    </row>
    <row r="223" spans="18:18" x14ac:dyDescent="0.2">
      <c r="R223" s="54"/>
    </row>
    <row r="224" spans="18:18" x14ac:dyDescent="0.2">
      <c r="R224" s="54"/>
    </row>
    <row r="225" spans="18:18" x14ac:dyDescent="0.2">
      <c r="R225" s="54"/>
    </row>
    <row r="226" spans="18:18" x14ac:dyDescent="0.2">
      <c r="R226" s="54"/>
    </row>
    <row r="227" spans="18:18" x14ac:dyDescent="0.2">
      <c r="R227" s="54"/>
    </row>
    <row r="228" spans="18:18" x14ac:dyDescent="0.2">
      <c r="R228" s="54"/>
    </row>
    <row r="229" spans="18:18" x14ac:dyDescent="0.2">
      <c r="R229" s="54"/>
    </row>
    <row r="230" spans="18:18" x14ac:dyDescent="0.2">
      <c r="R230" s="54"/>
    </row>
    <row r="231" spans="18:18" x14ac:dyDescent="0.2">
      <c r="R231" s="54"/>
    </row>
    <row r="232" spans="18:18" x14ac:dyDescent="0.2">
      <c r="R232" s="54"/>
    </row>
    <row r="233" spans="18:18" x14ac:dyDescent="0.2">
      <c r="R233" s="54"/>
    </row>
    <row r="234" spans="18:18" x14ac:dyDescent="0.2">
      <c r="R234" s="54"/>
    </row>
    <row r="235" spans="18:18" x14ac:dyDescent="0.2">
      <c r="R235" s="54"/>
    </row>
    <row r="236" spans="18:18" x14ac:dyDescent="0.2">
      <c r="R236" s="54"/>
    </row>
    <row r="237" spans="18:18" x14ac:dyDescent="0.2">
      <c r="R237" s="54"/>
    </row>
    <row r="238" spans="18:18" x14ac:dyDescent="0.2">
      <c r="R238" s="54"/>
    </row>
    <row r="239" spans="18:18" x14ac:dyDescent="0.2">
      <c r="R239" s="54"/>
    </row>
    <row r="240" spans="18:18" x14ac:dyDescent="0.2">
      <c r="R240" s="54"/>
    </row>
    <row r="241" spans="18:18" x14ac:dyDescent="0.2">
      <c r="R241" s="54"/>
    </row>
    <row r="242" spans="18:18" x14ac:dyDescent="0.2">
      <c r="R242" s="54"/>
    </row>
    <row r="243" spans="18:18" x14ac:dyDescent="0.2">
      <c r="R243" s="54"/>
    </row>
    <row r="244" spans="18:18" x14ac:dyDescent="0.2">
      <c r="R244" s="54"/>
    </row>
    <row r="245" spans="18:18" x14ac:dyDescent="0.2">
      <c r="R245" s="54"/>
    </row>
    <row r="246" spans="18:18" x14ac:dyDescent="0.2">
      <c r="R246" s="54"/>
    </row>
    <row r="247" spans="18:18" x14ac:dyDescent="0.2">
      <c r="R247" s="54"/>
    </row>
    <row r="248" spans="18:18" x14ac:dyDescent="0.2">
      <c r="R248" s="54"/>
    </row>
    <row r="249" spans="18:18" x14ac:dyDescent="0.2">
      <c r="R249" s="54"/>
    </row>
    <row r="250" spans="18:18" x14ac:dyDescent="0.2">
      <c r="R250" s="54"/>
    </row>
    <row r="251" spans="18:18" x14ac:dyDescent="0.2">
      <c r="R251" s="54"/>
    </row>
    <row r="252" spans="18:18" x14ac:dyDescent="0.2">
      <c r="R252" s="54"/>
    </row>
    <row r="253" spans="18:18" x14ac:dyDescent="0.2">
      <c r="R253" s="54"/>
    </row>
    <row r="254" spans="18:18" x14ac:dyDescent="0.2">
      <c r="R254" s="54"/>
    </row>
    <row r="255" spans="18:18" x14ac:dyDescent="0.2">
      <c r="R255" s="54"/>
    </row>
    <row r="256" spans="18:18" x14ac:dyDescent="0.2">
      <c r="R256" s="54"/>
    </row>
    <row r="257" spans="18:18" x14ac:dyDescent="0.2">
      <c r="R257" s="54"/>
    </row>
    <row r="258" spans="18:18" x14ac:dyDescent="0.2">
      <c r="R258" s="54"/>
    </row>
    <row r="259" spans="18:18" x14ac:dyDescent="0.2">
      <c r="R259" s="54"/>
    </row>
    <row r="260" spans="18:18" x14ac:dyDescent="0.2">
      <c r="R260" s="54"/>
    </row>
    <row r="261" spans="18:18" x14ac:dyDescent="0.2">
      <c r="R261" s="54"/>
    </row>
    <row r="262" spans="18:18" x14ac:dyDescent="0.2">
      <c r="R262" s="54"/>
    </row>
    <row r="263" spans="18:18" x14ac:dyDescent="0.2">
      <c r="R263" s="54"/>
    </row>
    <row r="264" spans="18:18" x14ac:dyDescent="0.2">
      <c r="R264" s="54"/>
    </row>
    <row r="265" spans="18:18" x14ac:dyDescent="0.2">
      <c r="R265" s="54"/>
    </row>
    <row r="266" spans="18:18" x14ac:dyDescent="0.2">
      <c r="R266" s="54"/>
    </row>
    <row r="267" spans="18:18" x14ac:dyDescent="0.2">
      <c r="R267" s="54"/>
    </row>
    <row r="268" spans="18:18" x14ac:dyDescent="0.2">
      <c r="R268" s="54"/>
    </row>
    <row r="269" spans="18:18" x14ac:dyDescent="0.2">
      <c r="R269" s="54"/>
    </row>
    <row r="270" spans="18:18" x14ac:dyDescent="0.2">
      <c r="R270" s="54"/>
    </row>
    <row r="271" spans="18:18" x14ac:dyDescent="0.2">
      <c r="R271" s="54"/>
    </row>
    <row r="272" spans="18:18" x14ac:dyDescent="0.2">
      <c r="R272" s="54"/>
    </row>
    <row r="273" spans="18:18" x14ac:dyDescent="0.2">
      <c r="R273" s="54"/>
    </row>
    <row r="274" spans="18:18" x14ac:dyDescent="0.2">
      <c r="R274" s="54"/>
    </row>
    <row r="275" spans="18:18" x14ac:dyDescent="0.2">
      <c r="R275" s="54"/>
    </row>
    <row r="276" spans="18:18" x14ac:dyDescent="0.2">
      <c r="R276" s="54"/>
    </row>
    <row r="277" spans="18:18" x14ac:dyDescent="0.2">
      <c r="R277" s="54"/>
    </row>
    <row r="278" spans="18:18" x14ac:dyDescent="0.2">
      <c r="R278" s="54"/>
    </row>
    <row r="279" spans="18:18" x14ac:dyDescent="0.2">
      <c r="R279" s="54"/>
    </row>
    <row r="280" spans="18:18" x14ac:dyDescent="0.2">
      <c r="R280" s="54"/>
    </row>
    <row r="281" spans="18:18" x14ac:dyDescent="0.2">
      <c r="R281" s="54"/>
    </row>
    <row r="282" spans="18:18" x14ac:dyDescent="0.2">
      <c r="R282" s="54"/>
    </row>
    <row r="283" spans="18:18" x14ac:dyDescent="0.2">
      <c r="R283" s="54"/>
    </row>
    <row r="284" spans="18:18" x14ac:dyDescent="0.2">
      <c r="R284" s="54"/>
    </row>
    <row r="285" spans="18:18" x14ac:dyDescent="0.2">
      <c r="R285" s="54"/>
    </row>
    <row r="286" spans="18:18" x14ac:dyDescent="0.2">
      <c r="R286" s="54"/>
    </row>
    <row r="287" spans="18:18" x14ac:dyDescent="0.2">
      <c r="R287" s="54"/>
    </row>
    <row r="288" spans="18:18" x14ac:dyDescent="0.2">
      <c r="R288" s="54"/>
    </row>
    <row r="289" spans="18:18" x14ac:dyDescent="0.2">
      <c r="R289" s="54"/>
    </row>
    <row r="290" spans="18:18" x14ac:dyDescent="0.2">
      <c r="R290" s="54"/>
    </row>
    <row r="291" spans="18:18" x14ac:dyDescent="0.2">
      <c r="R291" s="54"/>
    </row>
    <row r="292" spans="18:18" x14ac:dyDescent="0.2">
      <c r="R292" s="54"/>
    </row>
    <row r="293" spans="18:18" x14ac:dyDescent="0.2">
      <c r="R293" s="54"/>
    </row>
    <row r="294" spans="18:18" x14ac:dyDescent="0.2">
      <c r="R294" s="54"/>
    </row>
    <row r="295" spans="18:18" x14ac:dyDescent="0.2">
      <c r="R295" s="54"/>
    </row>
    <row r="296" spans="18:18" x14ac:dyDescent="0.2">
      <c r="R296" s="54"/>
    </row>
    <row r="297" spans="18:18" x14ac:dyDescent="0.2">
      <c r="R297" s="54"/>
    </row>
    <row r="298" spans="18:18" x14ac:dyDescent="0.2">
      <c r="R298" s="54"/>
    </row>
    <row r="299" spans="18:18" x14ac:dyDescent="0.2">
      <c r="R299" s="54"/>
    </row>
    <row r="300" spans="18:18" x14ac:dyDescent="0.2">
      <c r="R300" s="54"/>
    </row>
    <row r="301" spans="18:18" x14ac:dyDescent="0.2">
      <c r="R301" s="54"/>
    </row>
    <row r="302" spans="18:18" x14ac:dyDescent="0.2">
      <c r="R302" s="54"/>
    </row>
    <row r="303" spans="18:18" x14ac:dyDescent="0.2">
      <c r="R303" s="54"/>
    </row>
    <row r="304" spans="18:18" x14ac:dyDescent="0.2">
      <c r="R304" s="54"/>
    </row>
    <row r="305" spans="18:18" x14ac:dyDescent="0.2">
      <c r="R305" s="54"/>
    </row>
    <row r="306" spans="18:18" x14ac:dyDescent="0.2">
      <c r="R306" s="54"/>
    </row>
    <row r="307" spans="18:18" x14ac:dyDescent="0.2">
      <c r="R307" s="54"/>
    </row>
    <row r="308" spans="18:18" x14ac:dyDescent="0.2">
      <c r="R308" s="54"/>
    </row>
    <row r="309" spans="18:18" x14ac:dyDescent="0.2">
      <c r="R309" s="54"/>
    </row>
    <row r="310" spans="18:18" x14ac:dyDescent="0.2">
      <c r="R310" s="54"/>
    </row>
    <row r="311" spans="18:18" x14ac:dyDescent="0.2">
      <c r="R311" s="54"/>
    </row>
    <row r="312" spans="18:18" x14ac:dyDescent="0.2">
      <c r="R312" s="54"/>
    </row>
    <row r="313" spans="18:18" x14ac:dyDescent="0.2">
      <c r="R313" s="54"/>
    </row>
    <row r="314" spans="18:18" x14ac:dyDescent="0.2">
      <c r="R314" s="54"/>
    </row>
    <row r="315" spans="18:18" x14ac:dyDescent="0.2">
      <c r="R315" s="54"/>
    </row>
    <row r="316" spans="18:18" x14ac:dyDescent="0.2">
      <c r="R316" s="54"/>
    </row>
    <row r="317" spans="18:18" x14ac:dyDescent="0.2">
      <c r="R317" s="54"/>
    </row>
    <row r="318" spans="18:18" x14ac:dyDescent="0.2">
      <c r="R318" s="54"/>
    </row>
    <row r="319" spans="18:18" x14ac:dyDescent="0.2">
      <c r="R319" s="54"/>
    </row>
    <row r="320" spans="18:18" x14ac:dyDescent="0.2">
      <c r="R320" s="54"/>
    </row>
    <row r="321" spans="18:18" x14ac:dyDescent="0.2">
      <c r="R321" s="54"/>
    </row>
    <row r="322" spans="18:18" x14ac:dyDescent="0.2">
      <c r="R322" s="54"/>
    </row>
    <row r="323" spans="18:18" x14ac:dyDescent="0.2">
      <c r="R323" s="54"/>
    </row>
    <row r="324" spans="18:18" x14ac:dyDescent="0.2">
      <c r="R324" s="54"/>
    </row>
    <row r="325" spans="18:18" x14ac:dyDescent="0.2">
      <c r="R325" s="54"/>
    </row>
    <row r="326" spans="18:18" x14ac:dyDescent="0.2">
      <c r="R326" s="54"/>
    </row>
    <row r="327" spans="18:18" x14ac:dyDescent="0.2">
      <c r="R327" s="54"/>
    </row>
    <row r="328" spans="18:18" x14ac:dyDescent="0.2">
      <c r="R328" s="54"/>
    </row>
    <row r="329" spans="18:18" x14ac:dyDescent="0.2">
      <c r="R329" s="54"/>
    </row>
    <row r="330" spans="18:18" x14ac:dyDescent="0.2">
      <c r="R330" s="54"/>
    </row>
    <row r="331" spans="18:18" x14ac:dyDescent="0.2">
      <c r="R331" s="54"/>
    </row>
    <row r="332" spans="18:18" x14ac:dyDescent="0.2">
      <c r="R332" s="54"/>
    </row>
    <row r="333" spans="18:18" x14ac:dyDescent="0.2">
      <c r="R333" s="54"/>
    </row>
    <row r="334" spans="18:18" x14ac:dyDescent="0.2">
      <c r="R334" s="54"/>
    </row>
    <row r="335" spans="18:18" x14ac:dyDescent="0.2">
      <c r="R335" s="54"/>
    </row>
    <row r="336" spans="18:18" x14ac:dyDescent="0.2">
      <c r="R336" s="54"/>
    </row>
    <row r="337" spans="18:18" x14ac:dyDescent="0.2">
      <c r="R337" s="54"/>
    </row>
    <row r="338" spans="18:18" x14ac:dyDescent="0.2">
      <c r="R338" s="54"/>
    </row>
    <row r="339" spans="18:18" x14ac:dyDescent="0.2">
      <c r="R339" s="54"/>
    </row>
    <row r="340" spans="18:18" x14ac:dyDescent="0.2">
      <c r="R340" s="54"/>
    </row>
    <row r="341" spans="18:18" x14ac:dyDescent="0.2">
      <c r="R341" s="54"/>
    </row>
    <row r="342" spans="18:18" x14ac:dyDescent="0.2">
      <c r="R342" s="54"/>
    </row>
    <row r="343" spans="18:18" x14ac:dyDescent="0.2">
      <c r="R343" s="54"/>
    </row>
    <row r="344" spans="18:18" x14ac:dyDescent="0.2">
      <c r="R344" s="54"/>
    </row>
    <row r="345" spans="18:18" x14ac:dyDescent="0.2">
      <c r="R345" s="54"/>
    </row>
    <row r="346" spans="18:18" x14ac:dyDescent="0.2">
      <c r="R346" s="54"/>
    </row>
    <row r="347" spans="18:18" x14ac:dyDescent="0.2">
      <c r="R347" s="54"/>
    </row>
    <row r="348" spans="18:18" x14ac:dyDescent="0.2">
      <c r="R348" s="54"/>
    </row>
    <row r="349" spans="18:18" x14ac:dyDescent="0.2">
      <c r="R349" s="54"/>
    </row>
    <row r="350" spans="18:18" x14ac:dyDescent="0.2">
      <c r="R350" s="54"/>
    </row>
    <row r="351" spans="18:18" x14ac:dyDescent="0.2">
      <c r="R351" s="54"/>
    </row>
    <row r="352" spans="18:18" x14ac:dyDescent="0.2">
      <c r="R352" s="54"/>
    </row>
    <row r="353" spans="18:18" x14ac:dyDescent="0.2">
      <c r="R353" s="54"/>
    </row>
    <row r="354" spans="18:18" x14ac:dyDescent="0.2">
      <c r="R354" s="54"/>
    </row>
    <row r="355" spans="18:18" x14ac:dyDescent="0.2">
      <c r="R355" s="54"/>
    </row>
    <row r="356" spans="18:18" x14ac:dyDescent="0.2">
      <c r="R356" s="54"/>
    </row>
    <row r="357" spans="18:18" x14ac:dyDescent="0.2">
      <c r="R357" s="54"/>
    </row>
    <row r="358" spans="18:18" x14ac:dyDescent="0.2">
      <c r="R358" s="54"/>
    </row>
    <row r="359" spans="18:18" x14ac:dyDescent="0.2">
      <c r="R359" s="54"/>
    </row>
    <row r="360" spans="18:18" x14ac:dyDescent="0.2">
      <c r="R360" s="54"/>
    </row>
    <row r="361" spans="18:18" x14ac:dyDescent="0.2">
      <c r="R361" s="54"/>
    </row>
    <row r="362" spans="18:18" x14ac:dyDescent="0.2">
      <c r="R362" s="54"/>
    </row>
    <row r="363" spans="18:18" x14ac:dyDescent="0.2">
      <c r="R363" s="54"/>
    </row>
    <row r="364" spans="18:18" x14ac:dyDescent="0.2">
      <c r="R364" s="54"/>
    </row>
    <row r="365" spans="18:18" x14ac:dyDescent="0.2">
      <c r="R365" s="54"/>
    </row>
    <row r="366" spans="18:18" x14ac:dyDescent="0.2">
      <c r="R366" s="54"/>
    </row>
    <row r="367" spans="18:18" x14ac:dyDescent="0.2">
      <c r="R367" s="54"/>
    </row>
    <row r="368" spans="18:18" x14ac:dyDescent="0.2">
      <c r="R368" s="54"/>
    </row>
    <row r="369" spans="18:18" x14ac:dyDescent="0.2">
      <c r="R369" s="54"/>
    </row>
    <row r="370" spans="18:18" x14ac:dyDescent="0.2">
      <c r="R370" s="54"/>
    </row>
    <row r="371" spans="18:18" x14ac:dyDescent="0.2">
      <c r="R371" s="54"/>
    </row>
    <row r="372" spans="18:18" x14ac:dyDescent="0.2">
      <c r="R372" s="54"/>
    </row>
    <row r="373" spans="18:18" x14ac:dyDescent="0.2">
      <c r="R373" s="54"/>
    </row>
    <row r="374" spans="18:18" x14ac:dyDescent="0.2">
      <c r="R374" s="54"/>
    </row>
    <row r="375" spans="18:18" x14ac:dyDescent="0.2">
      <c r="R375" s="54"/>
    </row>
    <row r="376" spans="18:18" x14ac:dyDescent="0.2">
      <c r="R376" s="54"/>
    </row>
    <row r="377" spans="18:18" x14ac:dyDescent="0.2">
      <c r="R377" s="54"/>
    </row>
    <row r="378" spans="18:18" x14ac:dyDescent="0.2">
      <c r="R378" s="54"/>
    </row>
    <row r="379" spans="18:18" x14ac:dyDescent="0.2">
      <c r="R379" s="54"/>
    </row>
    <row r="380" spans="18:18" x14ac:dyDescent="0.2">
      <c r="R380" s="54"/>
    </row>
    <row r="381" spans="18:18" x14ac:dyDescent="0.2">
      <c r="R381" s="54"/>
    </row>
    <row r="382" spans="18:18" x14ac:dyDescent="0.2">
      <c r="R382" s="54"/>
    </row>
    <row r="383" spans="18:18" x14ac:dyDescent="0.2">
      <c r="R383" s="54"/>
    </row>
    <row r="384" spans="18:18" x14ac:dyDescent="0.2">
      <c r="R384" s="54"/>
    </row>
    <row r="385" spans="18:18" x14ac:dyDescent="0.2">
      <c r="R385" s="54"/>
    </row>
    <row r="386" spans="18:18" x14ac:dyDescent="0.2">
      <c r="R386" s="54"/>
    </row>
    <row r="387" spans="18:18" x14ac:dyDescent="0.2">
      <c r="R387" s="54"/>
    </row>
    <row r="388" spans="18:18" x14ac:dyDescent="0.2">
      <c r="R388" s="54"/>
    </row>
    <row r="389" spans="18:18" x14ac:dyDescent="0.2">
      <c r="R389" s="54"/>
    </row>
    <row r="390" spans="18:18" x14ac:dyDescent="0.2">
      <c r="R390" s="54"/>
    </row>
    <row r="391" spans="18:18" x14ac:dyDescent="0.2">
      <c r="R391" s="54"/>
    </row>
    <row r="392" spans="18:18" x14ac:dyDescent="0.2">
      <c r="R392" s="54"/>
    </row>
    <row r="393" spans="18:18" x14ac:dyDescent="0.2">
      <c r="R393" s="54"/>
    </row>
    <row r="394" spans="18:18" x14ac:dyDescent="0.2">
      <c r="R394" s="54"/>
    </row>
    <row r="395" spans="18:18" x14ac:dyDescent="0.2">
      <c r="R395" s="54"/>
    </row>
    <row r="396" spans="18:18" x14ac:dyDescent="0.2">
      <c r="R396" s="54"/>
    </row>
    <row r="397" spans="18:18" x14ac:dyDescent="0.2">
      <c r="R397" s="54"/>
    </row>
    <row r="398" spans="18:18" x14ac:dyDescent="0.2">
      <c r="R398" s="54"/>
    </row>
    <row r="399" spans="18:18" x14ac:dyDescent="0.2">
      <c r="R399" s="54"/>
    </row>
    <row r="400" spans="18:18" x14ac:dyDescent="0.2">
      <c r="R400" s="54"/>
    </row>
    <row r="401" spans="18:18" x14ac:dyDescent="0.2">
      <c r="R401" s="54"/>
    </row>
    <row r="402" spans="18:18" x14ac:dyDescent="0.2">
      <c r="R402" s="54"/>
    </row>
    <row r="403" spans="18:18" x14ac:dyDescent="0.2">
      <c r="R403" s="54"/>
    </row>
    <row r="404" spans="18:18" x14ac:dyDescent="0.2">
      <c r="R404" s="54"/>
    </row>
    <row r="405" spans="18:18" x14ac:dyDescent="0.2">
      <c r="R405" s="54"/>
    </row>
    <row r="406" spans="18:18" x14ac:dyDescent="0.2">
      <c r="R406" s="54"/>
    </row>
    <row r="407" spans="18:18" x14ac:dyDescent="0.2">
      <c r="R407" s="54"/>
    </row>
    <row r="408" spans="18:18" x14ac:dyDescent="0.2">
      <c r="R408" s="54"/>
    </row>
    <row r="409" spans="18:18" x14ac:dyDescent="0.2">
      <c r="R409" s="54"/>
    </row>
    <row r="410" spans="18:18" x14ac:dyDescent="0.2">
      <c r="R410" s="54"/>
    </row>
    <row r="411" spans="18:18" x14ac:dyDescent="0.2">
      <c r="R411" s="54"/>
    </row>
    <row r="412" spans="18:18" x14ac:dyDescent="0.2">
      <c r="R412" s="54"/>
    </row>
    <row r="413" spans="18:18" x14ac:dyDescent="0.2">
      <c r="R413" s="54"/>
    </row>
    <row r="414" spans="18:18" x14ac:dyDescent="0.2">
      <c r="R414" s="54"/>
    </row>
    <row r="415" spans="18:18" x14ac:dyDescent="0.2">
      <c r="R415" s="54"/>
    </row>
    <row r="416" spans="18:18" x14ac:dyDescent="0.2">
      <c r="R416" s="54"/>
    </row>
    <row r="417" spans="18:18" x14ac:dyDescent="0.2">
      <c r="R417" s="54"/>
    </row>
    <row r="418" spans="18:18" x14ac:dyDescent="0.2">
      <c r="R418" s="54"/>
    </row>
    <row r="419" spans="18:18" x14ac:dyDescent="0.2">
      <c r="R419" s="54"/>
    </row>
    <row r="420" spans="18:18" x14ac:dyDescent="0.2">
      <c r="R420" s="54"/>
    </row>
    <row r="421" spans="18:18" x14ac:dyDescent="0.2">
      <c r="R421" s="54"/>
    </row>
    <row r="422" spans="18:18" x14ac:dyDescent="0.2">
      <c r="R422" s="54"/>
    </row>
    <row r="423" spans="18:18" x14ac:dyDescent="0.2">
      <c r="R423" s="54"/>
    </row>
    <row r="424" spans="18:18" x14ac:dyDescent="0.2">
      <c r="R424" s="54"/>
    </row>
    <row r="425" spans="18:18" x14ac:dyDescent="0.2">
      <c r="R425" s="54"/>
    </row>
    <row r="426" spans="18:18" x14ac:dyDescent="0.2">
      <c r="R426" s="54"/>
    </row>
    <row r="427" spans="18:18" x14ac:dyDescent="0.2">
      <c r="R427" s="54"/>
    </row>
    <row r="428" spans="18:18" x14ac:dyDescent="0.2">
      <c r="R428" s="54"/>
    </row>
    <row r="429" spans="18:18" x14ac:dyDescent="0.2">
      <c r="R429" s="54"/>
    </row>
    <row r="430" spans="18:18" x14ac:dyDescent="0.2">
      <c r="R430" s="54"/>
    </row>
    <row r="431" spans="18:18" x14ac:dyDescent="0.2">
      <c r="R431" s="54"/>
    </row>
    <row r="432" spans="18:18" x14ac:dyDescent="0.2">
      <c r="R432" s="54"/>
    </row>
    <row r="433" spans="18:18" x14ac:dyDescent="0.2">
      <c r="R433" s="54"/>
    </row>
    <row r="434" spans="18:18" x14ac:dyDescent="0.2">
      <c r="R434" s="54"/>
    </row>
    <row r="435" spans="18:18" x14ac:dyDescent="0.2">
      <c r="R435" s="54"/>
    </row>
    <row r="436" spans="18:18" x14ac:dyDescent="0.2">
      <c r="R436" s="54"/>
    </row>
    <row r="437" spans="18:18" x14ac:dyDescent="0.2">
      <c r="R437" s="54"/>
    </row>
    <row r="438" spans="18:18" x14ac:dyDescent="0.2">
      <c r="R438" s="54"/>
    </row>
    <row r="439" spans="18:18" x14ac:dyDescent="0.2">
      <c r="R439" s="54"/>
    </row>
    <row r="440" spans="18:18" x14ac:dyDescent="0.2">
      <c r="R440" s="54"/>
    </row>
    <row r="441" spans="18:18" x14ac:dyDescent="0.2">
      <c r="R441" s="54"/>
    </row>
    <row r="442" spans="18:18" x14ac:dyDescent="0.2">
      <c r="R442" s="54"/>
    </row>
    <row r="443" spans="18:18" x14ac:dyDescent="0.2">
      <c r="R443" s="54"/>
    </row>
    <row r="444" spans="18:18" x14ac:dyDescent="0.2">
      <c r="R444" s="54"/>
    </row>
    <row r="445" spans="18:18" x14ac:dyDescent="0.2">
      <c r="R445" s="54"/>
    </row>
    <row r="446" spans="18:18" x14ac:dyDescent="0.2">
      <c r="R446" s="54"/>
    </row>
    <row r="447" spans="18:18" x14ac:dyDescent="0.2">
      <c r="R447" s="54"/>
    </row>
    <row r="448" spans="18:18" x14ac:dyDescent="0.2">
      <c r="R448" s="54"/>
    </row>
    <row r="449" spans="18:18" x14ac:dyDescent="0.2">
      <c r="R449" s="54"/>
    </row>
    <row r="450" spans="18:18" x14ac:dyDescent="0.2">
      <c r="R450" s="54"/>
    </row>
    <row r="451" spans="18:18" x14ac:dyDescent="0.2">
      <c r="R451" s="54"/>
    </row>
    <row r="452" spans="18:18" x14ac:dyDescent="0.2">
      <c r="R452" s="54"/>
    </row>
  </sheetData>
  <mergeCells count="2">
    <mergeCell ref="A1:Q1"/>
    <mergeCell ref="O3:P3"/>
  </mergeCells>
  <conditionalFormatting sqref="B8:D11 F12:H14">
    <cfRule type="expression" dxfId="6" priority="6" stopIfTrue="1">
      <formula>INFILTER_TYPE=1</formula>
    </cfRule>
  </conditionalFormatting>
  <conditionalFormatting sqref="A5:Q7 E9:F11 I8:Q14 A15:Q80 A8:A11 A12:E14">
    <cfRule type="expression" dxfId="5" priority="5">
      <formula>MODE=2</formula>
    </cfRule>
  </conditionalFormatting>
  <conditionalFormatting sqref="G8:G11">
    <cfRule type="expression" dxfId="4" priority="4" stopIfTrue="1">
      <formula>INFILTER_TYPE=1</formula>
    </cfRule>
  </conditionalFormatting>
  <conditionalFormatting sqref="F8">
    <cfRule type="expression" dxfId="3" priority="3" stopIfTrue="1">
      <formula>INFILTER_TYPE=1</formula>
    </cfRule>
  </conditionalFormatting>
  <conditionalFormatting sqref="E8">
    <cfRule type="expression" dxfId="2" priority="2">
      <formula>MODE=2</formula>
    </cfRule>
  </conditionalFormatting>
  <conditionalFormatting sqref="H8:H11">
    <cfRule type="expression" dxfId="1" priority="1" stopIfTrue="1">
      <formula>INFILTER_TYPE=1</formula>
    </cfRule>
  </conditionalFormatting>
  <hyperlinks>
    <hyperlink ref="O2" r:id="rId1" xr:uid="{00000000-0004-0000-0200-000000000000}"/>
    <hyperlink ref="C3" r:id="rId2" xr:uid="{00000000-0004-0000-0200-000001000000}"/>
  </hyperlinks>
  <pageMargins left="0.7" right="0.7" top="0.75" bottom="0.75" header="0.3" footer="0.3"/>
  <pageSetup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M61"/>
  <sheetViews>
    <sheetView topLeftCell="A27" zoomScaleNormal="100" workbookViewId="0">
      <selection activeCell="A37" sqref="A37"/>
    </sheetView>
  </sheetViews>
  <sheetFormatPr defaultRowHeight="12.75" x14ac:dyDescent="0.2"/>
  <cols>
    <col min="1" max="1" width="9.5703125" style="211" customWidth="1"/>
    <col min="2" max="2" width="20.28515625" style="211" customWidth="1"/>
    <col min="3" max="3" width="16.140625" style="211" customWidth="1"/>
    <col min="4" max="4" width="20.140625" style="211" customWidth="1"/>
    <col min="5" max="5" width="17.28515625" style="211" customWidth="1"/>
    <col min="6" max="6" width="20.5703125" style="211" bestFit="1" customWidth="1"/>
    <col min="7" max="7" width="9.7109375" style="211" customWidth="1"/>
    <col min="8" max="8" width="16.140625" style="211" customWidth="1"/>
    <col min="9" max="9" width="17" style="211" customWidth="1"/>
    <col min="10" max="10" width="14.42578125" style="211" customWidth="1"/>
    <col min="11" max="11" width="26.42578125" style="211" customWidth="1"/>
    <col min="12" max="12" width="9.140625" style="211"/>
    <col min="13" max="13" width="9.140625" style="212"/>
    <col min="14" max="256" width="9.140625" style="211"/>
    <col min="257" max="257" width="8.7109375" style="211" bestFit="1" customWidth="1"/>
    <col min="258" max="258" width="13.28515625" style="211" customWidth="1"/>
    <col min="259" max="259" width="16.140625" style="211" bestFit="1" customWidth="1"/>
    <col min="260" max="260" width="23.5703125" style="211" customWidth="1"/>
    <col min="261" max="261" width="17.28515625" style="211" customWidth="1"/>
    <col min="262" max="262" width="20.5703125" style="211" bestFit="1" customWidth="1"/>
    <col min="263" max="263" width="17.140625" style="211" customWidth="1"/>
    <col min="264" max="264" width="21.7109375" style="211" bestFit="1" customWidth="1"/>
    <col min="265" max="265" width="17.140625" style="211" bestFit="1" customWidth="1"/>
    <col min="266" max="266" width="18.140625" style="211" bestFit="1" customWidth="1"/>
    <col min="267" max="267" width="26.42578125" style="211" customWidth="1"/>
    <col min="268" max="512" width="9.140625" style="211"/>
    <col min="513" max="513" width="8.7109375" style="211" bestFit="1" customWidth="1"/>
    <col min="514" max="514" width="13.28515625" style="211" customWidth="1"/>
    <col min="515" max="515" width="16.140625" style="211" bestFit="1" customWidth="1"/>
    <col min="516" max="516" width="23.5703125" style="211" customWidth="1"/>
    <col min="517" max="517" width="17.28515625" style="211" customWidth="1"/>
    <col min="518" max="518" width="20.5703125" style="211" bestFit="1" customWidth="1"/>
    <col min="519" max="519" width="17.140625" style="211" customWidth="1"/>
    <col min="520" max="520" width="21.7109375" style="211" bestFit="1" customWidth="1"/>
    <col min="521" max="521" width="17.140625" style="211" bestFit="1" customWidth="1"/>
    <col min="522" max="522" width="18.140625" style="211" bestFit="1" customWidth="1"/>
    <col min="523" max="523" width="26.42578125" style="211" customWidth="1"/>
    <col min="524" max="768" width="9.140625" style="211"/>
    <col min="769" max="769" width="8.7109375" style="211" bestFit="1" customWidth="1"/>
    <col min="770" max="770" width="13.28515625" style="211" customWidth="1"/>
    <col min="771" max="771" width="16.140625" style="211" bestFit="1" customWidth="1"/>
    <col min="772" max="772" width="23.5703125" style="211" customWidth="1"/>
    <col min="773" max="773" width="17.28515625" style="211" customWidth="1"/>
    <col min="774" max="774" width="20.5703125" style="211" bestFit="1" customWidth="1"/>
    <col min="775" max="775" width="17.140625" style="211" customWidth="1"/>
    <col min="776" max="776" width="21.7109375" style="211" bestFit="1" customWidth="1"/>
    <col min="777" max="777" width="17.140625" style="211" bestFit="1" customWidth="1"/>
    <col min="778" max="778" width="18.140625" style="211" bestFit="1" customWidth="1"/>
    <col min="779" max="779" width="26.42578125" style="211" customWidth="1"/>
    <col min="780" max="1024" width="9.140625" style="211"/>
    <col min="1025" max="1025" width="8.7109375" style="211" bestFit="1" customWidth="1"/>
    <col min="1026" max="1026" width="13.28515625" style="211" customWidth="1"/>
    <col min="1027" max="1027" width="16.140625" style="211" bestFit="1" customWidth="1"/>
    <col min="1028" max="1028" width="23.5703125" style="211" customWidth="1"/>
    <col min="1029" max="1029" width="17.28515625" style="211" customWidth="1"/>
    <col min="1030" max="1030" width="20.5703125" style="211" bestFit="1" customWidth="1"/>
    <col min="1031" max="1031" width="17.140625" style="211" customWidth="1"/>
    <col min="1032" max="1032" width="21.7109375" style="211" bestFit="1" customWidth="1"/>
    <col min="1033" max="1033" width="17.140625" style="211" bestFit="1" customWidth="1"/>
    <col min="1034" max="1034" width="18.140625" style="211" bestFit="1" customWidth="1"/>
    <col min="1035" max="1035" width="26.42578125" style="211" customWidth="1"/>
    <col min="1036" max="1280" width="9.140625" style="211"/>
    <col min="1281" max="1281" width="8.7109375" style="211" bestFit="1" customWidth="1"/>
    <col min="1282" max="1282" width="13.28515625" style="211" customWidth="1"/>
    <col min="1283" max="1283" width="16.140625" style="211" bestFit="1" customWidth="1"/>
    <col min="1284" max="1284" width="23.5703125" style="211" customWidth="1"/>
    <col min="1285" max="1285" width="17.28515625" style="211" customWidth="1"/>
    <col min="1286" max="1286" width="20.5703125" style="211" bestFit="1" customWidth="1"/>
    <col min="1287" max="1287" width="17.140625" style="211" customWidth="1"/>
    <col min="1288" max="1288" width="21.7109375" style="211" bestFit="1" customWidth="1"/>
    <col min="1289" max="1289" width="17.140625" style="211" bestFit="1" customWidth="1"/>
    <col min="1290" max="1290" width="18.140625" style="211" bestFit="1" customWidth="1"/>
    <col min="1291" max="1291" width="26.42578125" style="211" customWidth="1"/>
    <col min="1292" max="1536" width="9.140625" style="211"/>
    <col min="1537" max="1537" width="8.7109375" style="211" bestFit="1" customWidth="1"/>
    <col min="1538" max="1538" width="13.28515625" style="211" customWidth="1"/>
    <col min="1539" max="1539" width="16.140625" style="211" bestFit="1" customWidth="1"/>
    <col min="1540" max="1540" width="23.5703125" style="211" customWidth="1"/>
    <col min="1541" max="1541" width="17.28515625" style="211" customWidth="1"/>
    <col min="1542" max="1542" width="20.5703125" style="211" bestFit="1" customWidth="1"/>
    <col min="1543" max="1543" width="17.140625" style="211" customWidth="1"/>
    <col min="1544" max="1544" width="21.7109375" style="211" bestFit="1" customWidth="1"/>
    <col min="1545" max="1545" width="17.140625" style="211" bestFit="1" customWidth="1"/>
    <col min="1546" max="1546" width="18.140625" style="211" bestFit="1" customWidth="1"/>
    <col min="1547" max="1547" width="26.42578125" style="211" customWidth="1"/>
    <col min="1548" max="1792" width="9.140625" style="211"/>
    <col min="1793" max="1793" width="8.7109375" style="211" bestFit="1" customWidth="1"/>
    <col min="1794" max="1794" width="13.28515625" style="211" customWidth="1"/>
    <col min="1795" max="1795" width="16.140625" style="211" bestFit="1" customWidth="1"/>
    <col min="1796" max="1796" width="23.5703125" style="211" customWidth="1"/>
    <col min="1797" max="1797" width="17.28515625" style="211" customWidth="1"/>
    <col min="1798" max="1798" width="20.5703125" style="211" bestFit="1" customWidth="1"/>
    <col min="1799" max="1799" width="17.140625" style="211" customWidth="1"/>
    <col min="1800" max="1800" width="21.7109375" style="211" bestFit="1" customWidth="1"/>
    <col min="1801" max="1801" width="17.140625" style="211" bestFit="1" customWidth="1"/>
    <col min="1802" max="1802" width="18.140625" style="211" bestFit="1" customWidth="1"/>
    <col min="1803" max="1803" width="26.42578125" style="211" customWidth="1"/>
    <col min="1804" max="2048" width="9.140625" style="211"/>
    <col min="2049" max="2049" width="8.7109375" style="211" bestFit="1" customWidth="1"/>
    <col min="2050" max="2050" width="13.28515625" style="211" customWidth="1"/>
    <col min="2051" max="2051" width="16.140625" style="211" bestFit="1" customWidth="1"/>
    <col min="2052" max="2052" width="23.5703125" style="211" customWidth="1"/>
    <col min="2053" max="2053" width="17.28515625" style="211" customWidth="1"/>
    <col min="2054" max="2054" width="20.5703125" style="211" bestFit="1" customWidth="1"/>
    <col min="2055" max="2055" width="17.140625" style="211" customWidth="1"/>
    <col min="2056" max="2056" width="21.7109375" style="211" bestFit="1" customWidth="1"/>
    <col min="2057" max="2057" width="17.140625" style="211" bestFit="1" customWidth="1"/>
    <col min="2058" max="2058" width="18.140625" style="211" bestFit="1" customWidth="1"/>
    <col min="2059" max="2059" width="26.42578125" style="211" customWidth="1"/>
    <col min="2060" max="2304" width="9.140625" style="211"/>
    <col min="2305" max="2305" width="8.7109375" style="211" bestFit="1" customWidth="1"/>
    <col min="2306" max="2306" width="13.28515625" style="211" customWidth="1"/>
    <col min="2307" max="2307" width="16.140625" style="211" bestFit="1" customWidth="1"/>
    <col min="2308" max="2308" width="23.5703125" style="211" customWidth="1"/>
    <col min="2309" max="2309" width="17.28515625" style="211" customWidth="1"/>
    <col min="2310" max="2310" width="20.5703125" style="211" bestFit="1" customWidth="1"/>
    <col min="2311" max="2311" width="17.140625" style="211" customWidth="1"/>
    <col min="2312" max="2312" width="21.7109375" style="211" bestFit="1" customWidth="1"/>
    <col min="2313" max="2313" width="17.140625" style="211" bestFit="1" customWidth="1"/>
    <col min="2314" max="2314" width="18.140625" style="211" bestFit="1" customWidth="1"/>
    <col min="2315" max="2315" width="26.42578125" style="211" customWidth="1"/>
    <col min="2316" max="2560" width="9.140625" style="211"/>
    <col min="2561" max="2561" width="8.7109375" style="211" bestFit="1" customWidth="1"/>
    <col min="2562" max="2562" width="13.28515625" style="211" customWidth="1"/>
    <col min="2563" max="2563" width="16.140625" style="211" bestFit="1" customWidth="1"/>
    <col min="2564" max="2564" width="23.5703125" style="211" customWidth="1"/>
    <col min="2565" max="2565" width="17.28515625" style="211" customWidth="1"/>
    <col min="2566" max="2566" width="20.5703125" style="211" bestFit="1" customWidth="1"/>
    <col min="2567" max="2567" width="17.140625" style="211" customWidth="1"/>
    <col min="2568" max="2568" width="21.7109375" style="211" bestFit="1" customWidth="1"/>
    <col min="2569" max="2569" width="17.140625" style="211" bestFit="1" customWidth="1"/>
    <col min="2570" max="2570" width="18.140625" style="211" bestFit="1" customWidth="1"/>
    <col min="2571" max="2571" width="26.42578125" style="211" customWidth="1"/>
    <col min="2572" max="2816" width="9.140625" style="211"/>
    <col min="2817" max="2817" width="8.7109375" style="211" bestFit="1" customWidth="1"/>
    <col min="2818" max="2818" width="13.28515625" style="211" customWidth="1"/>
    <col min="2819" max="2819" width="16.140625" style="211" bestFit="1" customWidth="1"/>
    <col min="2820" max="2820" width="23.5703125" style="211" customWidth="1"/>
    <col min="2821" max="2821" width="17.28515625" style="211" customWidth="1"/>
    <col min="2822" max="2822" width="20.5703125" style="211" bestFit="1" customWidth="1"/>
    <col min="2823" max="2823" width="17.140625" style="211" customWidth="1"/>
    <col min="2824" max="2824" width="21.7109375" style="211" bestFit="1" customWidth="1"/>
    <col min="2825" max="2825" width="17.140625" style="211" bestFit="1" customWidth="1"/>
    <col min="2826" max="2826" width="18.140625" style="211" bestFit="1" customWidth="1"/>
    <col min="2827" max="2827" width="26.42578125" style="211" customWidth="1"/>
    <col min="2828" max="3072" width="9.140625" style="211"/>
    <col min="3073" max="3073" width="8.7109375" style="211" bestFit="1" customWidth="1"/>
    <col min="3074" max="3074" width="13.28515625" style="211" customWidth="1"/>
    <col min="3075" max="3075" width="16.140625" style="211" bestFit="1" customWidth="1"/>
    <col min="3076" max="3076" width="23.5703125" style="211" customWidth="1"/>
    <col min="3077" max="3077" width="17.28515625" style="211" customWidth="1"/>
    <col min="3078" max="3078" width="20.5703125" style="211" bestFit="1" customWidth="1"/>
    <col min="3079" max="3079" width="17.140625" style="211" customWidth="1"/>
    <col min="3080" max="3080" width="21.7109375" style="211" bestFit="1" customWidth="1"/>
    <col min="3081" max="3081" width="17.140625" style="211" bestFit="1" customWidth="1"/>
    <col min="3082" max="3082" width="18.140625" style="211" bestFit="1" customWidth="1"/>
    <col min="3083" max="3083" width="26.42578125" style="211" customWidth="1"/>
    <col min="3084" max="3328" width="9.140625" style="211"/>
    <col min="3329" max="3329" width="8.7109375" style="211" bestFit="1" customWidth="1"/>
    <col min="3330" max="3330" width="13.28515625" style="211" customWidth="1"/>
    <col min="3331" max="3331" width="16.140625" style="211" bestFit="1" customWidth="1"/>
    <col min="3332" max="3332" width="23.5703125" style="211" customWidth="1"/>
    <col min="3333" max="3333" width="17.28515625" style="211" customWidth="1"/>
    <col min="3334" max="3334" width="20.5703125" style="211" bestFit="1" customWidth="1"/>
    <col min="3335" max="3335" width="17.140625" style="211" customWidth="1"/>
    <col min="3336" max="3336" width="21.7109375" style="211" bestFit="1" customWidth="1"/>
    <col min="3337" max="3337" width="17.140625" style="211" bestFit="1" customWidth="1"/>
    <col min="3338" max="3338" width="18.140625" style="211" bestFit="1" customWidth="1"/>
    <col min="3339" max="3339" width="26.42578125" style="211" customWidth="1"/>
    <col min="3340" max="3584" width="9.140625" style="211"/>
    <col min="3585" max="3585" width="8.7109375" style="211" bestFit="1" customWidth="1"/>
    <col min="3586" max="3586" width="13.28515625" style="211" customWidth="1"/>
    <col min="3587" max="3587" width="16.140625" style="211" bestFit="1" customWidth="1"/>
    <col min="3588" max="3588" width="23.5703125" style="211" customWidth="1"/>
    <col min="3589" max="3589" width="17.28515625" style="211" customWidth="1"/>
    <col min="3590" max="3590" width="20.5703125" style="211" bestFit="1" customWidth="1"/>
    <col min="3591" max="3591" width="17.140625" style="211" customWidth="1"/>
    <col min="3592" max="3592" width="21.7109375" style="211" bestFit="1" customWidth="1"/>
    <col min="3593" max="3593" width="17.140625" style="211" bestFit="1" customWidth="1"/>
    <col min="3594" max="3594" width="18.140625" style="211" bestFit="1" customWidth="1"/>
    <col min="3595" max="3595" width="26.42578125" style="211" customWidth="1"/>
    <col min="3596" max="3840" width="9.140625" style="211"/>
    <col min="3841" max="3841" width="8.7109375" style="211" bestFit="1" customWidth="1"/>
    <col min="3842" max="3842" width="13.28515625" style="211" customWidth="1"/>
    <col min="3843" max="3843" width="16.140625" style="211" bestFit="1" customWidth="1"/>
    <col min="3844" max="3844" width="23.5703125" style="211" customWidth="1"/>
    <col min="3845" max="3845" width="17.28515625" style="211" customWidth="1"/>
    <col min="3846" max="3846" width="20.5703125" style="211" bestFit="1" customWidth="1"/>
    <col min="3847" max="3847" width="17.140625" style="211" customWidth="1"/>
    <col min="3848" max="3848" width="21.7109375" style="211" bestFit="1" customWidth="1"/>
    <col min="3849" max="3849" width="17.140625" style="211" bestFit="1" customWidth="1"/>
    <col min="3850" max="3850" width="18.140625" style="211" bestFit="1" customWidth="1"/>
    <col min="3851" max="3851" width="26.42578125" style="211" customWidth="1"/>
    <col min="3852" max="4096" width="9.140625" style="211"/>
    <col min="4097" max="4097" width="8.7109375" style="211" bestFit="1" customWidth="1"/>
    <col min="4098" max="4098" width="13.28515625" style="211" customWidth="1"/>
    <col min="4099" max="4099" width="16.140625" style="211" bestFit="1" customWidth="1"/>
    <col min="4100" max="4100" width="23.5703125" style="211" customWidth="1"/>
    <col min="4101" max="4101" width="17.28515625" style="211" customWidth="1"/>
    <col min="4102" max="4102" width="20.5703125" style="211" bestFit="1" customWidth="1"/>
    <col min="4103" max="4103" width="17.140625" style="211" customWidth="1"/>
    <col min="4104" max="4104" width="21.7109375" style="211" bestFit="1" customWidth="1"/>
    <col min="4105" max="4105" width="17.140625" style="211" bestFit="1" customWidth="1"/>
    <col min="4106" max="4106" width="18.140625" style="211" bestFit="1" customWidth="1"/>
    <col min="4107" max="4107" width="26.42578125" style="211" customWidth="1"/>
    <col min="4108" max="4352" width="9.140625" style="211"/>
    <col min="4353" max="4353" width="8.7109375" style="211" bestFit="1" customWidth="1"/>
    <col min="4354" max="4354" width="13.28515625" style="211" customWidth="1"/>
    <col min="4355" max="4355" width="16.140625" style="211" bestFit="1" customWidth="1"/>
    <col min="4356" max="4356" width="23.5703125" style="211" customWidth="1"/>
    <col min="4357" max="4357" width="17.28515625" style="211" customWidth="1"/>
    <col min="4358" max="4358" width="20.5703125" style="211" bestFit="1" customWidth="1"/>
    <col min="4359" max="4359" width="17.140625" style="211" customWidth="1"/>
    <col min="4360" max="4360" width="21.7109375" style="211" bestFit="1" customWidth="1"/>
    <col min="4361" max="4361" width="17.140625" style="211" bestFit="1" customWidth="1"/>
    <col min="4362" max="4362" width="18.140625" style="211" bestFit="1" customWidth="1"/>
    <col min="4363" max="4363" width="26.42578125" style="211" customWidth="1"/>
    <col min="4364" max="4608" width="9.140625" style="211"/>
    <col min="4609" max="4609" width="8.7109375" style="211" bestFit="1" customWidth="1"/>
    <col min="4610" max="4610" width="13.28515625" style="211" customWidth="1"/>
    <col min="4611" max="4611" width="16.140625" style="211" bestFit="1" customWidth="1"/>
    <col min="4612" max="4612" width="23.5703125" style="211" customWidth="1"/>
    <col min="4613" max="4613" width="17.28515625" style="211" customWidth="1"/>
    <col min="4614" max="4614" width="20.5703125" style="211" bestFit="1" customWidth="1"/>
    <col min="4615" max="4615" width="17.140625" style="211" customWidth="1"/>
    <col min="4616" max="4616" width="21.7109375" style="211" bestFit="1" customWidth="1"/>
    <col min="4617" max="4617" width="17.140625" style="211" bestFit="1" customWidth="1"/>
    <col min="4618" max="4618" width="18.140625" style="211" bestFit="1" customWidth="1"/>
    <col min="4619" max="4619" width="26.42578125" style="211" customWidth="1"/>
    <col min="4620" max="4864" width="9.140625" style="211"/>
    <col min="4865" max="4865" width="8.7109375" style="211" bestFit="1" customWidth="1"/>
    <col min="4866" max="4866" width="13.28515625" style="211" customWidth="1"/>
    <col min="4867" max="4867" width="16.140625" style="211" bestFit="1" customWidth="1"/>
    <col min="4868" max="4868" width="23.5703125" style="211" customWidth="1"/>
    <col min="4869" max="4869" width="17.28515625" style="211" customWidth="1"/>
    <col min="4870" max="4870" width="20.5703125" style="211" bestFit="1" customWidth="1"/>
    <col min="4871" max="4871" width="17.140625" style="211" customWidth="1"/>
    <col min="4872" max="4872" width="21.7109375" style="211" bestFit="1" customWidth="1"/>
    <col min="4873" max="4873" width="17.140625" style="211" bestFit="1" customWidth="1"/>
    <col min="4874" max="4874" width="18.140625" style="211" bestFit="1" customWidth="1"/>
    <col min="4875" max="4875" width="26.42578125" style="211" customWidth="1"/>
    <col min="4876" max="5120" width="9.140625" style="211"/>
    <col min="5121" max="5121" width="8.7109375" style="211" bestFit="1" customWidth="1"/>
    <col min="5122" max="5122" width="13.28515625" style="211" customWidth="1"/>
    <col min="5123" max="5123" width="16.140625" style="211" bestFit="1" customWidth="1"/>
    <col min="5124" max="5124" width="23.5703125" style="211" customWidth="1"/>
    <col min="5125" max="5125" width="17.28515625" style="211" customWidth="1"/>
    <col min="5126" max="5126" width="20.5703125" style="211" bestFit="1" customWidth="1"/>
    <col min="5127" max="5127" width="17.140625" style="211" customWidth="1"/>
    <col min="5128" max="5128" width="21.7109375" style="211" bestFit="1" customWidth="1"/>
    <col min="5129" max="5129" width="17.140625" style="211" bestFit="1" customWidth="1"/>
    <col min="5130" max="5130" width="18.140625" style="211" bestFit="1" customWidth="1"/>
    <col min="5131" max="5131" width="26.42578125" style="211" customWidth="1"/>
    <col min="5132" max="5376" width="9.140625" style="211"/>
    <col min="5377" max="5377" width="8.7109375" style="211" bestFit="1" customWidth="1"/>
    <col min="5378" max="5378" width="13.28515625" style="211" customWidth="1"/>
    <col min="5379" max="5379" width="16.140625" style="211" bestFit="1" customWidth="1"/>
    <col min="5380" max="5380" width="23.5703125" style="211" customWidth="1"/>
    <col min="5381" max="5381" width="17.28515625" style="211" customWidth="1"/>
    <col min="5382" max="5382" width="20.5703125" style="211" bestFit="1" customWidth="1"/>
    <col min="5383" max="5383" width="17.140625" style="211" customWidth="1"/>
    <col min="5384" max="5384" width="21.7109375" style="211" bestFit="1" customWidth="1"/>
    <col min="5385" max="5385" width="17.140625" style="211" bestFit="1" customWidth="1"/>
    <col min="5386" max="5386" width="18.140625" style="211" bestFit="1" customWidth="1"/>
    <col min="5387" max="5387" width="26.42578125" style="211" customWidth="1"/>
    <col min="5388" max="5632" width="9.140625" style="211"/>
    <col min="5633" max="5633" width="8.7109375" style="211" bestFit="1" customWidth="1"/>
    <col min="5634" max="5634" width="13.28515625" style="211" customWidth="1"/>
    <col min="5635" max="5635" width="16.140625" style="211" bestFit="1" customWidth="1"/>
    <col min="5636" max="5636" width="23.5703125" style="211" customWidth="1"/>
    <col min="5637" max="5637" width="17.28515625" style="211" customWidth="1"/>
    <col min="5638" max="5638" width="20.5703125" style="211" bestFit="1" customWidth="1"/>
    <col min="5639" max="5639" width="17.140625" style="211" customWidth="1"/>
    <col min="5640" max="5640" width="21.7109375" style="211" bestFit="1" customWidth="1"/>
    <col min="5641" max="5641" width="17.140625" style="211" bestFit="1" customWidth="1"/>
    <col min="5642" max="5642" width="18.140625" style="211" bestFit="1" customWidth="1"/>
    <col min="5643" max="5643" width="26.42578125" style="211" customWidth="1"/>
    <col min="5644" max="5888" width="9.140625" style="211"/>
    <col min="5889" max="5889" width="8.7109375" style="211" bestFit="1" customWidth="1"/>
    <col min="5890" max="5890" width="13.28515625" style="211" customWidth="1"/>
    <col min="5891" max="5891" width="16.140625" style="211" bestFit="1" customWidth="1"/>
    <col min="5892" max="5892" width="23.5703125" style="211" customWidth="1"/>
    <col min="5893" max="5893" width="17.28515625" style="211" customWidth="1"/>
    <col min="5894" max="5894" width="20.5703125" style="211" bestFit="1" customWidth="1"/>
    <col min="5895" max="5895" width="17.140625" style="211" customWidth="1"/>
    <col min="5896" max="5896" width="21.7109375" style="211" bestFit="1" customWidth="1"/>
    <col min="5897" max="5897" width="17.140625" style="211" bestFit="1" customWidth="1"/>
    <col min="5898" max="5898" width="18.140625" style="211" bestFit="1" customWidth="1"/>
    <col min="5899" max="5899" width="26.42578125" style="211" customWidth="1"/>
    <col min="5900" max="6144" width="9.140625" style="211"/>
    <col min="6145" max="6145" width="8.7109375" style="211" bestFit="1" customWidth="1"/>
    <col min="6146" max="6146" width="13.28515625" style="211" customWidth="1"/>
    <col min="6147" max="6147" width="16.140625" style="211" bestFit="1" customWidth="1"/>
    <col min="6148" max="6148" width="23.5703125" style="211" customWidth="1"/>
    <col min="6149" max="6149" width="17.28515625" style="211" customWidth="1"/>
    <col min="6150" max="6150" width="20.5703125" style="211" bestFit="1" customWidth="1"/>
    <col min="6151" max="6151" width="17.140625" style="211" customWidth="1"/>
    <col min="6152" max="6152" width="21.7109375" style="211" bestFit="1" customWidth="1"/>
    <col min="6153" max="6153" width="17.140625" style="211" bestFit="1" customWidth="1"/>
    <col min="6154" max="6154" width="18.140625" style="211" bestFit="1" customWidth="1"/>
    <col min="6155" max="6155" width="26.42578125" style="211" customWidth="1"/>
    <col min="6156" max="6400" width="9.140625" style="211"/>
    <col min="6401" max="6401" width="8.7109375" style="211" bestFit="1" customWidth="1"/>
    <col min="6402" max="6402" width="13.28515625" style="211" customWidth="1"/>
    <col min="6403" max="6403" width="16.140625" style="211" bestFit="1" customWidth="1"/>
    <col min="6404" max="6404" width="23.5703125" style="211" customWidth="1"/>
    <col min="6405" max="6405" width="17.28515625" style="211" customWidth="1"/>
    <col min="6406" max="6406" width="20.5703125" style="211" bestFit="1" customWidth="1"/>
    <col min="6407" max="6407" width="17.140625" style="211" customWidth="1"/>
    <col min="6408" max="6408" width="21.7109375" style="211" bestFit="1" customWidth="1"/>
    <col min="6409" max="6409" width="17.140625" style="211" bestFit="1" customWidth="1"/>
    <col min="6410" max="6410" width="18.140625" style="211" bestFit="1" customWidth="1"/>
    <col min="6411" max="6411" width="26.42578125" style="211" customWidth="1"/>
    <col min="6412" max="6656" width="9.140625" style="211"/>
    <col min="6657" max="6657" width="8.7109375" style="211" bestFit="1" customWidth="1"/>
    <col min="6658" max="6658" width="13.28515625" style="211" customWidth="1"/>
    <col min="6659" max="6659" width="16.140625" style="211" bestFit="1" customWidth="1"/>
    <col min="6660" max="6660" width="23.5703125" style="211" customWidth="1"/>
    <col min="6661" max="6661" width="17.28515625" style="211" customWidth="1"/>
    <col min="6662" max="6662" width="20.5703125" style="211" bestFit="1" customWidth="1"/>
    <col min="6663" max="6663" width="17.140625" style="211" customWidth="1"/>
    <col min="6664" max="6664" width="21.7109375" style="211" bestFit="1" customWidth="1"/>
    <col min="6665" max="6665" width="17.140625" style="211" bestFit="1" customWidth="1"/>
    <col min="6666" max="6666" width="18.140625" style="211" bestFit="1" customWidth="1"/>
    <col min="6667" max="6667" width="26.42578125" style="211" customWidth="1"/>
    <col min="6668" max="6912" width="9.140625" style="211"/>
    <col min="6913" max="6913" width="8.7109375" style="211" bestFit="1" customWidth="1"/>
    <col min="6914" max="6914" width="13.28515625" style="211" customWidth="1"/>
    <col min="6915" max="6915" width="16.140625" style="211" bestFit="1" customWidth="1"/>
    <col min="6916" max="6916" width="23.5703125" style="211" customWidth="1"/>
    <col min="6917" max="6917" width="17.28515625" style="211" customWidth="1"/>
    <col min="6918" max="6918" width="20.5703125" style="211" bestFit="1" customWidth="1"/>
    <col min="6919" max="6919" width="17.140625" style="211" customWidth="1"/>
    <col min="6920" max="6920" width="21.7109375" style="211" bestFit="1" customWidth="1"/>
    <col min="6921" max="6921" width="17.140625" style="211" bestFit="1" customWidth="1"/>
    <col min="6922" max="6922" width="18.140625" style="211" bestFit="1" customWidth="1"/>
    <col min="6923" max="6923" width="26.42578125" style="211" customWidth="1"/>
    <col min="6924" max="7168" width="9.140625" style="211"/>
    <col min="7169" max="7169" width="8.7109375" style="211" bestFit="1" customWidth="1"/>
    <col min="7170" max="7170" width="13.28515625" style="211" customWidth="1"/>
    <col min="7171" max="7171" width="16.140625" style="211" bestFit="1" customWidth="1"/>
    <col min="7172" max="7172" width="23.5703125" style="211" customWidth="1"/>
    <col min="7173" max="7173" width="17.28515625" style="211" customWidth="1"/>
    <col min="7174" max="7174" width="20.5703125" style="211" bestFit="1" customWidth="1"/>
    <col min="7175" max="7175" width="17.140625" style="211" customWidth="1"/>
    <col min="7176" max="7176" width="21.7109375" style="211" bestFit="1" customWidth="1"/>
    <col min="7177" max="7177" width="17.140625" style="211" bestFit="1" customWidth="1"/>
    <col min="7178" max="7178" width="18.140625" style="211" bestFit="1" customWidth="1"/>
    <col min="7179" max="7179" width="26.42578125" style="211" customWidth="1"/>
    <col min="7180" max="7424" width="9.140625" style="211"/>
    <col min="7425" max="7425" width="8.7109375" style="211" bestFit="1" customWidth="1"/>
    <col min="7426" max="7426" width="13.28515625" style="211" customWidth="1"/>
    <col min="7427" max="7427" width="16.140625" style="211" bestFit="1" customWidth="1"/>
    <col min="7428" max="7428" width="23.5703125" style="211" customWidth="1"/>
    <col min="7429" max="7429" width="17.28515625" style="211" customWidth="1"/>
    <col min="7430" max="7430" width="20.5703125" style="211" bestFit="1" customWidth="1"/>
    <col min="7431" max="7431" width="17.140625" style="211" customWidth="1"/>
    <col min="7432" max="7432" width="21.7109375" style="211" bestFit="1" customWidth="1"/>
    <col min="7433" max="7433" width="17.140625" style="211" bestFit="1" customWidth="1"/>
    <col min="7434" max="7434" width="18.140625" style="211" bestFit="1" customWidth="1"/>
    <col min="7435" max="7435" width="26.42578125" style="211" customWidth="1"/>
    <col min="7436" max="7680" width="9.140625" style="211"/>
    <col min="7681" max="7681" width="8.7109375" style="211" bestFit="1" customWidth="1"/>
    <col min="7682" max="7682" width="13.28515625" style="211" customWidth="1"/>
    <col min="7683" max="7683" width="16.140625" style="211" bestFit="1" customWidth="1"/>
    <col min="7684" max="7684" width="23.5703125" style="211" customWidth="1"/>
    <col min="7685" max="7685" width="17.28515625" style="211" customWidth="1"/>
    <col min="7686" max="7686" width="20.5703125" style="211" bestFit="1" customWidth="1"/>
    <col min="7687" max="7687" width="17.140625" style="211" customWidth="1"/>
    <col min="7688" max="7688" width="21.7109375" style="211" bestFit="1" customWidth="1"/>
    <col min="7689" max="7689" width="17.140625" style="211" bestFit="1" customWidth="1"/>
    <col min="7690" max="7690" width="18.140625" style="211" bestFit="1" customWidth="1"/>
    <col min="7691" max="7691" width="26.42578125" style="211" customWidth="1"/>
    <col min="7692" max="7936" width="9.140625" style="211"/>
    <col min="7937" max="7937" width="8.7109375" style="211" bestFit="1" customWidth="1"/>
    <col min="7938" max="7938" width="13.28515625" style="211" customWidth="1"/>
    <col min="7939" max="7939" width="16.140625" style="211" bestFit="1" customWidth="1"/>
    <col min="7940" max="7940" width="23.5703125" style="211" customWidth="1"/>
    <col min="7941" max="7941" width="17.28515625" style="211" customWidth="1"/>
    <col min="7942" max="7942" width="20.5703125" style="211" bestFit="1" customWidth="1"/>
    <col min="7943" max="7943" width="17.140625" style="211" customWidth="1"/>
    <col min="7944" max="7944" width="21.7109375" style="211" bestFit="1" customWidth="1"/>
    <col min="7945" max="7945" width="17.140625" style="211" bestFit="1" customWidth="1"/>
    <col min="7946" max="7946" width="18.140625" style="211" bestFit="1" customWidth="1"/>
    <col min="7947" max="7947" width="26.42578125" style="211" customWidth="1"/>
    <col min="7948" max="8192" width="9.140625" style="211"/>
    <col min="8193" max="8193" width="8.7109375" style="211" bestFit="1" customWidth="1"/>
    <col min="8194" max="8194" width="13.28515625" style="211" customWidth="1"/>
    <col min="8195" max="8195" width="16.140625" style="211" bestFit="1" customWidth="1"/>
    <col min="8196" max="8196" width="23.5703125" style="211" customWidth="1"/>
    <col min="8197" max="8197" width="17.28515625" style="211" customWidth="1"/>
    <col min="8198" max="8198" width="20.5703125" style="211" bestFit="1" customWidth="1"/>
    <col min="8199" max="8199" width="17.140625" style="211" customWidth="1"/>
    <col min="8200" max="8200" width="21.7109375" style="211" bestFit="1" customWidth="1"/>
    <col min="8201" max="8201" width="17.140625" style="211" bestFit="1" customWidth="1"/>
    <col min="8202" max="8202" width="18.140625" style="211" bestFit="1" customWidth="1"/>
    <col min="8203" max="8203" width="26.42578125" style="211" customWidth="1"/>
    <col min="8204" max="8448" width="9.140625" style="211"/>
    <col min="8449" max="8449" width="8.7109375" style="211" bestFit="1" customWidth="1"/>
    <col min="8450" max="8450" width="13.28515625" style="211" customWidth="1"/>
    <col min="8451" max="8451" width="16.140625" style="211" bestFit="1" customWidth="1"/>
    <col min="8452" max="8452" width="23.5703125" style="211" customWidth="1"/>
    <col min="8453" max="8453" width="17.28515625" style="211" customWidth="1"/>
    <col min="8454" max="8454" width="20.5703125" style="211" bestFit="1" customWidth="1"/>
    <col min="8455" max="8455" width="17.140625" style="211" customWidth="1"/>
    <col min="8456" max="8456" width="21.7109375" style="211" bestFit="1" customWidth="1"/>
    <col min="8457" max="8457" width="17.140625" style="211" bestFit="1" customWidth="1"/>
    <col min="8458" max="8458" width="18.140625" style="211" bestFit="1" customWidth="1"/>
    <col min="8459" max="8459" width="26.42578125" style="211" customWidth="1"/>
    <col min="8460" max="8704" width="9.140625" style="211"/>
    <col min="8705" max="8705" width="8.7109375" style="211" bestFit="1" customWidth="1"/>
    <col min="8706" max="8706" width="13.28515625" style="211" customWidth="1"/>
    <col min="8707" max="8707" width="16.140625" style="211" bestFit="1" customWidth="1"/>
    <col min="8708" max="8708" width="23.5703125" style="211" customWidth="1"/>
    <col min="8709" max="8709" width="17.28515625" style="211" customWidth="1"/>
    <col min="8710" max="8710" width="20.5703125" style="211" bestFit="1" customWidth="1"/>
    <col min="8711" max="8711" width="17.140625" style="211" customWidth="1"/>
    <col min="8712" max="8712" width="21.7109375" style="211" bestFit="1" customWidth="1"/>
    <col min="8713" max="8713" width="17.140625" style="211" bestFit="1" customWidth="1"/>
    <col min="8714" max="8714" width="18.140625" style="211" bestFit="1" customWidth="1"/>
    <col min="8715" max="8715" width="26.42578125" style="211" customWidth="1"/>
    <col min="8716" max="8960" width="9.140625" style="211"/>
    <col min="8961" max="8961" width="8.7109375" style="211" bestFit="1" customWidth="1"/>
    <col min="8962" max="8962" width="13.28515625" style="211" customWidth="1"/>
    <col min="8963" max="8963" width="16.140625" style="211" bestFit="1" customWidth="1"/>
    <col min="8964" max="8964" width="23.5703125" style="211" customWidth="1"/>
    <col min="8965" max="8965" width="17.28515625" style="211" customWidth="1"/>
    <col min="8966" max="8966" width="20.5703125" style="211" bestFit="1" customWidth="1"/>
    <col min="8967" max="8967" width="17.140625" style="211" customWidth="1"/>
    <col min="8968" max="8968" width="21.7109375" style="211" bestFit="1" customWidth="1"/>
    <col min="8969" max="8969" width="17.140625" style="211" bestFit="1" customWidth="1"/>
    <col min="8970" max="8970" width="18.140625" style="211" bestFit="1" customWidth="1"/>
    <col min="8971" max="8971" width="26.42578125" style="211" customWidth="1"/>
    <col min="8972" max="9216" width="9.140625" style="211"/>
    <col min="9217" max="9217" width="8.7109375" style="211" bestFit="1" customWidth="1"/>
    <col min="9218" max="9218" width="13.28515625" style="211" customWidth="1"/>
    <col min="9219" max="9219" width="16.140625" style="211" bestFit="1" customWidth="1"/>
    <col min="9220" max="9220" width="23.5703125" style="211" customWidth="1"/>
    <col min="9221" max="9221" width="17.28515625" style="211" customWidth="1"/>
    <col min="9222" max="9222" width="20.5703125" style="211" bestFit="1" customWidth="1"/>
    <col min="9223" max="9223" width="17.140625" style="211" customWidth="1"/>
    <col min="9224" max="9224" width="21.7109375" style="211" bestFit="1" customWidth="1"/>
    <col min="9225" max="9225" width="17.140625" style="211" bestFit="1" customWidth="1"/>
    <col min="9226" max="9226" width="18.140625" style="211" bestFit="1" customWidth="1"/>
    <col min="9227" max="9227" width="26.42578125" style="211" customWidth="1"/>
    <col min="9228" max="9472" width="9.140625" style="211"/>
    <col min="9473" max="9473" width="8.7109375" style="211" bestFit="1" customWidth="1"/>
    <col min="9474" max="9474" width="13.28515625" style="211" customWidth="1"/>
    <col min="9475" max="9475" width="16.140625" style="211" bestFit="1" customWidth="1"/>
    <col min="9476" max="9476" width="23.5703125" style="211" customWidth="1"/>
    <col min="9477" max="9477" width="17.28515625" style="211" customWidth="1"/>
    <col min="9478" max="9478" width="20.5703125" style="211" bestFit="1" customWidth="1"/>
    <col min="9479" max="9479" width="17.140625" style="211" customWidth="1"/>
    <col min="9480" max="9480" width="21.7109375" style="211" bestFit="1" customWidth="1"/>
    <col min="9481" max="9481" width="17.140625" style="211" bestFit="1" customWidth="1"/>
    <col min="9482" max="9482" width="18.140625" style="211" bestFit="1" customWidth="1"/>
    <col min="9483" max="9483" width="26.42578125" style="211" customWidth="1"/>
    <col min="9484" max="9728" width="9.140625" style="211"/>
    <col min="9729" max="9729" width="8.7109375" style="211" bestFit="1" customWidth="1"/>
    <col min="9730" max="9730" width="13.28515625" style="211" customWidth="1"/>
    <col min="9731" max="9731" width="16.140625" style="211" bestFit="1" customWidth="1"/>
    <col min="9732" max="9732" width="23.5703125" style="211" customWidth="1"/>
    <col min="9733" max="9733" width="17.28515625" style="211" customWidth="1"/>
    <col min="9734" max="9734" width="20.5703125" style="211" bestFit="1" customWidth="1"/>
    <col min="9735" max="9735" width="17.140625" style="211" customWidth="1"/>
    <col min="9736" max="9736" width="21.7109375" style="211" bestFit="1" customWidth="1"/>
    <col min="9737" max="9737" width="17.140625" style="211" bestFit="1" customWidth="1"/>
    <col min="9738" max="9738" width="18.140625" style="211" bestFit="1" customWidth="1"/>
    <col min="9739" max="9739" width="26.42578125" style="211" customWidth="1"/>
    <col min="9740" max="9984" width="9.140625" style="211"/>
    <col min="9985" max="9985" width="8.7109375" style="211" bestFit="1" customWidth="1"/>
    <col min="9986" max="9986" width="13.28515625" style="211" customWidth="1"/>
    <col min="9987" max="9987" width="16.140625" style="211" bestFit="1" customWidth="1"/>
    <col min="9988" max="9988" width="23.5703125" style="211" customWidth="1"/>
    <col min="9989" max="9989" width="17.28515625" style="211" customWidth="1"/>
    <col min="9990" max="9990" width="20.5703125" style="211" bestFit="1" customWidth="1"/>
    <col min="9991" max="9991" width="17.140625" style="211" customWidth="1"/>
    <col min="9992" max="9992" width="21.7109375" style="211" bestFit="1" customWidth="1"/>
    <col min="9993" max="9993" width="17.140625" style="211" bestFit="1" customWidth="1"/>
    <col min="9994" max="9994" width="18.140625" style="211" bestFit="1" customWidth="1"/>
    <col min="9995" max="9995" width="26.42578125" style="211" customWidth="1"/>
    <col min="9996" max="10240" width="9.140625" style="211"/>
    <col min="10241" max="10241" width="8.7109375" style="211" bestFit="1" customWidth="1"/>
    <col min="10242" max="10242" width="13.28515625" style="211" customWidth="1"/>
    <col min="10243" max="10243" width="16.140625" style="211" bestFit="1" customWidth="1"/>
    <col min="10244" max="10244" width="23.5703125" style="211" customWidth="1"/>
    <col min="10245" max="10245" width="17.28515625" style="211" customWidth="1"/>
    <col min="10246" max="10246" width="20.5703125" style="211" bestFit="1" customWidth="1"/>
    <col min="10247" max="10247" width="17.140625" style="211" customWidth="1"/>
    <col min="10248" max="10248" width="21.7109375" style="211" bestFit="1" customWidth="1"/>
    <col min="10249" max="10249" width="17.140625" style="211" bestFit="1" customWidth="1"/>
    <col min="10250" max="10250" width="18.140625" style="211" bestFit="1" customWidth="1"/>
    <col min="10251" max="10251" width="26.42578125" style="211" customWidth="1"/>
    <col min="10252" max="10496" width="9.140625" style="211"/>
    <col min="10497" max="10497" width="8.7109375" style="211" bestFit="1" customWidth="1"/>
    <col min="10498" max="10498" width="13.28515625" style="211" customWidth="1"/>
    <col min="10499" max="10499" width="16.140625" style="211" bestFit="1" customWidth="1"/>
    <col min="10500" max="10500" width="23.5703125" style="211" customWidth="1"/>
    <col min="10501" max="10501" width="17.28515625" style="211" customWidth="1"/>
    <col min="10502" max="10502" width="20.5703125" style="211" bestFit="1" customWidth="1"/>
    <col min="10503" max="10503" width="17.140625" style="211" customWidth="1"/>
    <col min="10504" max="10504" width="21.7109375" style="211" bestFit="1" customWidth="1"/>
    <col min="10505" max="10505" width="17.140625" style="211" bestFit="1" customWidth="1"/>
    <col min="10506" max="10506" width="18.140625" style="211" bestFit="1" customWidth="1"/>
    <col min="10507" max="10507" width="26.42578125" style="211" customWidth="1"/>
    <col min="10508" max="10752" width="9.140625" style="211"/>
    <col min="10753" max="10753" width="8.7109375" style="211" bestFit="1" customWidth="1"/>
    <col min="10754" max="10754" width="13.28515625" style="211" customWidth="1"/>
    <col min="10755" max="10755" width="16.140625" style="211" bestFit="1" customWidth="1"/>
    <col min="10756" max="10756" width="23.5703125" style="211" customWidth="1"/>
    <col min="10757" max="10757" width="17.28515625" style="211" customWidth="1"/>
    <col min="10758" max="10758" width="20.5703125" style="211" bestFit="1" customWidth="1"/>
    <col min="10759" max="10759" width="17.140625" style="211" customWidth="1"/>
    <col min="10760" max="10760" width="21.7109375" style="211" bestFit="1" customWidth="1"/>
    <col min="10761" max="10761" width="17.140625" style="211" bestFit="1" customWidth="1"/>
    <col min="10762" max="10762" width="18.140625" style="211" bestFit="1" customWidth="1"/>
    <col min="10763" max="10763" width="26.42578125" style="211" customWidth="1"/>
    <col min="10764" max="11008" width="9.140625" style="211"/>
    <col min="11009" max="11009" width="8.7109375" style="211" bestFit="1" customWidth="1"/>
    <col min="11010" max="11010" width="13.28515625" style="211" customWidth="1"/>
    <col min="11011" max="11011" width="16.140625" style="211" bestFit="1" customWidth="1"/>
    <col min="11012" max="11012" width="23.5703125" style="211" customWidth="1"/>
    <col min="11013" max="11013" width="17.28515625" style="211" customWidth="1"/>
    <col min="11014" max="11014" width="20.5703125" style="211" bestFit="1" customWidth="1"/>
    <col min="11015" max="11015" width="17.140625" style="211" customWidth="1"/>
    <col min="11016" max="11016" width="21.7109375" style="211" bestFit="1" customWidth="1"/>
    <col min="11017" max="11017" width="17.140625" style="211" bestFit="1" customWidth="1"/>
    <col min="11018" max="11018" width="18.140625" style="211" bestFit="1" customWidth="1"/>
    <col min="11019" max="11019" width="26.42578125" style="211" customWidth="1"/>
    <col min="11020" max="11264" width="9.140625" style="211"/>
    <col min="11265" max="11265" width="8.7109375" style="211" bestFit="1" customWidth="1"/>
    <col min="11266" max="11266" width="13.28515625" style="211" customWidth="1"/>
    <col min="11267" max="11267" width="16.140625" style="211" bestFit="1" customWidth="1"/>
    <col min="11268" max="11268" width="23.5703125" style="211" customWidth="1"/>
    <col min="11269" max="11269" width="17.28515625" style="211" customWidth="1"/>
    <col min="11270" max="11270" width="20.5703125" style="211" bestFit="1" customWidth="1"/>
    <col min="11271" max="11271" width="17.140625" style="211" customWidth="1"/>
    <col min="11272" max="11272" width="21.7109375" style="211" bestFit="1" customWidth="1"/>
    <col min="11273" max="11273" width="17.140625" style="211" bestFit="1" customWidth="1"/>
    <col min="11274" max="11274" width="18.140625" style="211" bestFit="1" customWidth="1"/>
    <col min="11275" max="11275" width="26.42578125" style="211" customWidth="1"/>
    <col min="11276" max="11520" width="9.140625" style="211"/>
    <col min="11521" max="11521" width="8.7109375" style="211" bestFit="1" customWidth="1"/>
    <col min="11522" max="11522" width="13.28515625" style="211" customWidth="1"/>
    <col min="11523" max="11523" width="16.140625" style="211" bestFit="1" customWidth="1"/>
    <col min="11524" max="11524" width="23.5703125" style="211" customWidth="1"/>
    <col min="11525" max="11525" width="17.28515625" style="211" customWidth="1"/>
    <col min="11526" max="11526" width="20.5703125" style="211" bestFit="1" customWidth="1"/>
    <col min="11527" max="11527" width="17.140625" style="211" customWidth="1"/>
    <col min="11528" max="11528" width="21.7109375" style="211" bestFit="1" customWidth="1"/>
    <col min="11529" max="11529" width="17.140625" style="211" bestFit="1" customWidth="1"/>
    <col min="11530" max="11530" width="18.140625" style="211" bestFit="1" customWidth="1"/>
    <col min="11531" max="11531" width="26.42578125" style="211" customWidth="1"/>
    <col min="11532" max="11776" width="9.140625" style="211"/>
    <col min="11777" max="11777" width="8.7109375" style="211" bestFit="1" customWidth="1"/>
    <col min="11778" max="11778" width="13.28515625" style="211" customWidth="1"/>
    <col min="11779" max="11779" width="16.140625" style="211" bestFit="1" customWidth="1"/>
    <col min="11780" max="11780" width="23.5703125" style="211" customWidth="1"/>
    <col min="11781" max="11781" width="17.28515625" style="211" customWidth="1"/>
    <col min="11782" max="11782" width="20.5703125" style="211" bestFit="1" customWidth="1"/>
    <col min="11783" max="11783" width="17.140625" style="211" customWidth="1"/>
    <col min="11784" max="11784" width="21.7109375" style="211" bestFit="1" customWidth="1"/>
    <col min="11785" max="11785" width="17.140625" style="211" bestFit="1" customWidth="1"/>
    <col min="11786" max="11786" width="18.140625" style="211" bestFit="1" customWidth="1"/>
    <col min="11787" max="11787" width="26.42578125" style="211" customWidth="1"/>
    <col min="11788" max="12032" width="9.140625" style="211"/>
    <col min="12033" max="12033" width="8.7109375" style="211" bestFit="1" customWidth="1"/>
    <col min="12034" max="12034" width="13.28515625" style="211" customWidth="1"/>
    <col min="12035" max="12035" width="16.140625" style="211" bestFit="1" customWidth="1"/>
    <col min="12036" max="12036" width="23.5703125" style="211" customWidth="1"/>
    <col min="12037" max="12037" width="17.28515625" style="211" customWidth="1"/>
    <col min="12038" max="12038" width="20.5703125" style="211" bestFit="1" customWidth="1"/>
    <col min="12039" max="12039" width="17.140625" style="211" customWidth="1"/>
    <col min="12040" max="12040" width="21.7109375" style="211" bestFit="1" customWidth="1"/>
    <col min="12041" max="12041" width="17.140625" style="211" bestFit="1" customWidth="1"/>
    <col min="12042" max="12042" width="18.140625" style="211" bestFit="1" customWidth="1"/>
    <col min="12043" max="12043" width="26.42578125" style="211" customWidth="1"/>
    <col min="12044" max="12288" width="9.140625" style="211"/>
    <col min="12289" max="12289" width="8.7109375" style="211" bestFit="1" customWidth="1"/>
    <col min="12290" max="12290" width="13.28515625" style="211" customWidth="1"/>
    <col min="12291" max="12291" width="16.140625" style="211" bestFit="1" customWidth="1"/>
    <col min="12292" max="12292" width="23.5703125" style="211" customWidth="1"/>
    <col min="12293" max="12293" width="17.28515625" style="211" customWidth="1"/>
    <col min="12294" max="12294" width="20.5703125" style="211" bestFit="1" customWidth="1"/>
    <col min="12295" max="12295" width="17.140625" style="211" customWidth="1"/>
    <col min="12296" max="12296" width="21.7109375" style="211" bestFit="1" customWidth="1"/>
    <col min="12297" max="12297" width="17.140625" style="211" bestFit="1" customWidth="1"/>
    <col min="12298" max="12298" width="18.140625" style="211" bestFit="1" customWidth="1"/>
    <col min="12299" max="12299" width="26.42578125" style="211" customWidth="1"/>
    <col min="12300" max="12544" width="9.140625" style="211"/>
    <col min="12545" max="12545" width="8.7109375" style="211" bestFit="1" customWidth="1"/>
    <col min="12546" max="12546" width="13.28515625" style="211" customWidth="1"/>
    <col min="12547" max="12547" width="16.140625" style="211" bestFit="1" customWidth="1"/>
    <col min="12548" max="12548" width="23.5703125" style="211" customWidth="1"/>
    <col min="12549" max="12549" width="17.28515625" style="211" customWidth="1"/>
    <col min="12550" max="12550" width="20.5703125" style="211" bestFit="1" customWidth="1"/>
    <col min="12551" max="12551" width="17.140625" style="211" customWidth="1"/>
    <col min="12552" max="12552" width="21.7109375" style="211" bestFit="1" customWidth="1"/>
    <col min="12553" max="12553" width="17.140625" style="211" bestFit="1" customWidth="1"/>
    <col min="12554" max="12554" width="18.140625" style="211" bestFit="1" customWidth="1"/>
    <col min="12555" max="12555" width="26.42578125" style="211" customWidth="1"/>
    <col min="12556" max="12800" width="9.140625" style="211"/>
    <col min="12801" max="12801" width="8.7109375" style="211" bestFit="1" customWidth="1"/>
    <col min="12802" max="12802" width="13.28515625" style="211" customWidth="1"/>
    <col min="12803" max="12803" width="16.140625" style="211" bestFit="1" customWidth="1"/>
    <col min="12804" max="12804" width="23.5703125" style="211" customWidth="1"/>
    <col min="12805" max="12805" width="17.28515625" style="211" customWidth="1"/>
    <col min="12806" max="12806" width="20.5703125" style="211" bestFit="1" customWidth="1"/>
    <col min="12807" max="12807" width="17.140625" style="211" customWidth="1"/>
    <col min="12808" max="12808" width="21.7109375" style="211" bestFit="1" customWidth="1"/>
    <col min="12809" max="12809" width="17.140625" style="211" bestFit="1" customWidth="1"/>
    <col min="12810" max="12810" width="18.140625" style="211" bestFit="1" customWidth="1"/>
    <col min="12811" max="12811" width="26.42578125" style="211" customWidth="1"/>
    <col min="12812" max="13056" width="9.140625" style="211"/>
    <col min="13057" max="13057" width="8.7109375" style="211" bestFit="1" customWidth="1"/>
    <col min="13058" max="13058" width="13.28515625" style="211" customWidth="1"/>
    <col min="13059" max="13059" width="16.140625" style="211" bestFit="1" customWidth="1"/>
    <col min="13060" max="13060" width="23.5703125" style="211" customWidth="1"/>
    <col min="13061" max="13061" width="17.28515625" style="211" customWidth="1"/>
    <col min="13062" max="13062" width="20.5703125" style="211" bestFit="1" customWidth="1"/>
    <col min="13063" max="13063" width="17.140625" style="211" customWidth="1"/>
    <col min="13064" max="13064" width="21.7109375" style="211" bestFit="1" customWidth="1"/>
    <col min="13065" max="13065" width="17.140625" style="211" bestFit="1" customWidth="1"/>
    <col min="13066" max="13066" width="18.140625" style="211" bestFit="1" customWidth="1"/>
    <col min="13067" max="13067" width="26.42578125" style="211" customWidth="1"/>
    <col min="13068" max="13312" width="9.140625" style="211"/>
    <col min="13313" max="13313" width="8.7109375" style="211" bestFit="1" customWidth="1"/>
    <col min="13314" max="13314" width="13.28515625" style="211" customWidth="1"/>
    <col min="13315" max="13315" width="16.140625" style="211" bestFit="1" customWidth="1"/>
    <col min="13316" max="13316" width="23.5703125" style="211" customWidth="1"/>
    <col min="13317" max="13317" width="17.28515625" style="211" customWidth="1"/>
    <col min="13318" max="13318" width="20.5703125" style="211" bestFit="1" customWidth="1"/>
    <col min="13319" max="13319" width="17.140625" style="211" customWidth="1"/>
    <col min="13320" max="13320" width="21.7109375" style="211" bestFit="1" customWidth="1"/>
    <col min="13321" max="13321" width="17.140625" style="211" bestFit="1" customWidth="1"/>
    <col min="13322" max="13322" width="18.140625" style="211" bestFit="1" customWidth="1"/>
    <col min="13323" max="13323" width="26.42578125" style="211" customWidth="1"/>
    <col min="13324" max="13568" width="9.140625" style="211"/>
    <col min="13569" max="13569" width="8.7109375" style="211" bestFit="1" customWidth="1"/>
    <col min="13570" max="13570" width="13.28515625" style="211" customWidth="1"/>
    <col min="13571" max="13571" width="16.140625" style="211" bestFit="1" customWidth="1"/>
    <col min="13572" max="13572" width="23.5703125" style="211" customWidth="1"/>
    <col min="13573" max="13573" width="17.28515625" style="211" customWidth="1"/>
    <col min="13574" max="13574" width="20.5703125" style="211" bestFit="1" customWidth="1"/>
    <col min="13575" max="13575" width="17.140625" style="211" customWidth="1"/>
    <col min="13576" max="13576" width="21.7109375" style="211" bestFit="1" customWidth="1"/>
    <col min="13577" max="13577" width="17.140625" style="211" bestFit="1" customWidth="1"/>
    <col min="13578" max="13578" width="18.140625" style="211" bestFit="1" customWidth="1"/>
    <col min="13579" max="13579" width="26.42578125" style="211" customWidth="1"/>
    <col min="13580" max="13824" width="9.140625" style="211"/>
    <col min="13825" max="13825" width="8.7109375" style="211" bestFit="1" customWidth="1"/>
    <col min="13826" max="13826" width="13.28515625" style="211" customWidth="1"/>
    <col min="13827" max="13827" width="16.140625" style="211" bestFit="1" customWidth="1"/>
    <col min="13828" max="13828" width="23.5703125" style="211" customWidth="1"/>
    <col min="13829" max="13829" width="17.28515625" style="211" customWidth="1"/>
    <col min="13830" max="13830" width="20.5703125" style="211" bestFit="1" customWidth="1"/>
    <col min="13831" max="13831" width="17.140625" style="211" customWidth="1"/>
    <col min="13832" max="13832" width="21.7109375" style="211" bestFit="1" customWidth="1"/>
    <col min="13833" max="13833" width="17.140625" style="211" bestFit="1" customWidth="1"/>
    <col min="13834" max="13834" width="18.140625" style="211" bestFit="1" customWidth="1"/>
    <col min="13835" max="13835" width="26.42578125" style="211" customWidth="1"/>
    <col min="13836" max="14080" width="9.140625" style="211"/>
    <col min="14081" max="14081" width="8.7109375" style="211" bestFit="1" customWidth="1"/>
    <col min="14082" max="14082" width="13.28515625" style="211" customWidth="1"/>
    <col min="14083" max="14083" width="16.140625" style="211" bestFit="1" customWidth="1"/>
    <col min="14084" max="14084" width="23.5703125" style="211" customWidth="1"/>
    <col min="14085" max="14085" width="17.28515625" style="211" customWidth="1"/>
    <col min="14086" max="14086" width="20.5703125" style="211" bestFit="1" customWidth="1"/>
    <col min="14087" max="14087" width="17.140625" style="211" customWidth="1"/>
    <col min="14088" max="14088" width="21.7109375" style="211" bestFit="1" customWidth="1"/>
    <col min="14089" max="14089" width="17.140625" style="211" bestFit="1" customWidth="1"/>
    <col min="14090" max="14090" width="18.140625" style="211" bestFit="1" customWidth="1"/>
    <col min="14091" max="14091" width="26.42578125" style="211" customWidth="1"/>
    <col min="14092" max="14336" width="9.140625" style="211"/>
    <col min="14337" max="14337" width="8.7109375" style="211" bestFit="1" customWidth="1"/>
    <col min="14338" max="14338" width="13.28515625" style="211" customWidth="1"/>
    <col min="14339" max="14339" width="16.140625" style="211" bestFit="1" customWidth="1"/>
    <col min="14340" max="14340" width="23.5703125" style="211" customWidth="1"/>
    <col min="14341" max="14341" width="17.28515625" style="211" customWidth="1"/>
    <col min="14342" max="14342" width="20.5703125" style="211" bestFit="1" customWidth="1"/>
    <col min="14343" max="14343" width="17.140625" style="211" customWidth="1"/>
    <col min="14344" max="14344" width="21.7109375" style="211" bestFit="1" customWidth="1"/>
    <col min="14345" max="14345" width="17.140625" style="211" bestFit="1" customWidth="1"/>
    <col min="14346" max="14346" width="18.140625" style="211" bestFit="1" customWidth="1"/>
    <col min="14347" max="14347" width="26.42578125" style="211" customWidth="1"/>
    <col min="14348" max="14592" width="9.140625" style="211"/>
    <col min="14593" max="14593" width="8.7109375" style="211" bestFit="1" customWidth="1"/>
    <col min="14594" max="14594" width="13.28515625" style="211" customWidth="1"/>
    <col min="14595" max="14595" width="16.140625" style="211" bestFit="1" customWidth="1"/>
    <col min="14596" max="14596" width="23.5703125" style="211" customWidth="1"/>
    <col min="14597" max="14597" width="17.28515625" style="211" customWidth="1"/>
    <col min="14598" max="14598" width="20.5703125" style="211" bestFit="1" customWidth="1"/>
    <col min="14599" max="14599" width="17.140625" style="211" customWidth="1"/>
    <col min="14600" max="14600" width="21.7109375" style="211" bestFit="1" customWidth="1"/>
    <col min="14601" max="14601" width="17.140625" style="211" bestFit="1" customWidth="1"/>
    <col min="14602" max="14602" width="18.140625" style="211" bestFit="1" customWidth="1"/>
    <col min="14603" max="14603" width="26.42578125" style="211" customWidth="1"/>
    <col min="14604" max="14848" width="9.140625" style="211"/>
    <col min="14849" max="14849" width="8.7109375" style="211" bestFit="1" customWidth="1"/>
    <col min="14850" max="14850" width="13.28515625" style="211" customWidth="1"/>
    <col min="14851" max="14851" width="16.140625" style="211" bestFit="1" customWidth="1"/>
    <col min="14852" max="14852" width="23.5703125" style="211" customWidth="1"/>
    <col min="14853" max="14853" width="17.28515625" style="211" customWidth="1"/>
    <col min="14854" max="14854" width="20.5703125" style="211" bestFit="1" customWidth="1"/>
    <col min="14855" max="14855" width="17.140625" style="211" customWidth="1"/>
    <col min="14856" max="14856" width="21.7109375" style="211" bestFit="1" customWidth="1"/>
    <col min="14857" max="14857" width="17.140625" style="211" bestFit="1" customWidth="1"/>
    <col min="14858" max="14858" width="18.140625" style="211" bestFit="1" customWidth="1"/>
    <col min="14859" max="14859" width="26.42578125" style="211" customWidth="1"/>
    <col min="14860" max="15104" width="9.140625" style="211"/>
    <col min="15105" max="15105" width="8.7109375" style="211" bestFit="1" customWidth="1"/>
    <col min="15106" max="15106" width="13.28515625" style="211" customWidth="1"/>
    <col min="15107" max="15107" width="16.140625" style="211" bestFit="1" customWidth="1"/>
    <col min="15108" max="15108" width="23.5703125" style="211" customWidth="1"/>
    <col min="15109" max="15109" width="17.28515625" style="211" customWidth="1"/>
    <col min="15110" max="15110" width="20.5703125" style="211" bestFit="1" customWidth="1"/>
    <col min="15111" max="15111" width="17.140625" style="211" customWidth="1"/>
    <col min="15112" max="15112" width="21.7109375" style="211" bestFit="1" customWidth="1"/>
    <col min="15113" max="15113" width="17.140625" style="211" bestFit="1" customWidth="1"/>
    <col min="15114" max="15114" width="18.140625" style="211" bestFit="1" customWidth="1"/>
    <col min="15115" max="15115" width="26.42578125" style="211" customWidth="1"/>
    <col min="15116" max="15360" width="9.140625" style="211"/>
    <col min="15361" max="15361" width="8.7109375" style="211" bestFit="1" customWidth="1"/>
    <col min="15362" max="15362" width="13.28515625" style="211" customWidth="1"/>
    <col min="15363" max="15363" width="16.140625" style="211" bestFit="1" customWidth="1"/>
    <col min="15364" max="15364" width="23.5703125" style="211" customWidth="1"/>
    <col min="15365" max="15365" width="17.28515625" style="211" customWidth="1"/>
    <col min="15366" max="15366" width="20.5703125" style="211" bestFit="1" customWidth="1"/>
    <col min="15367" max="15367" width="17.140625" style="211" customWidth="1"/>
    <col min="15368" max="15368" width="21.7109375" style="211" bestFit="1" customWidth="1"/>
    <col min="15369" max="15369" width="17.140625" style="211" bestFit="1" customWidth="1"/>
    <col min="15370" max="15370" width="18.140625" style="211" bestFit="1" customWidth="1"/>
    <col min="15371" max="15371" width="26.42578125" style="211" customWidth="1"/>
    <col min="15372" max="15616" width="9.140625" style="211"/>
    <col min="15617" max="15617" width="8.7109375" style="211" bestFit="1" customWidth="1"/>
    <col min="15618" max="15618" width="13.28515625" style="211" customWidth="1"/>
    <col min="15619" max="15619" width="16.140625" style="211" bestFit="1" customWidth="1"/>
    <col min="15620" max="15620" width="23.5703125" style="211" customWidth="1"/>
    <col min="15621" max="15621" width="17.28515625" style="211" customWidth="1"/>
    <col min="15622" max="15622" width="20.5703125" style="211" bestFit="1" customWidth="1"/>
    <col min="15623" max="15623" width="17.140625" style="211" customWidth="1"/>
    <col min="15624" max="15624" width="21.7109375" style="211" bestFit="1" customWidth="1"/>
    <col min="15625" max="15625" width="17.140625" style="211" bestFit="1" customWidth="1"/>
    <col min="15626" max="15626" width="18.140625" style="211" bestFit="1" customWidth="1"/>
    <col min="15627" max="15627" width="26.42578125" style="211" customWidth="1"/>
    <col min="15628" max="15872" width="9.140625" style="211"/>
    <col min="15873" max="15873" width="8.7109375" style="211" bestFit="1" customWidth="1"/>
    <col min="15874" max="15874" width="13.28515625" style="211" customWidth="1"/>
    <col min="15875" max="15875" width="16.140625" style="211" bestFit="1" customWidth="1"/>
    <col min="15876" max="15876" width="23.5703125" style="211" customWidth="1"/>
    <col min="15877" max="15877" width="17.28515625" style="211" customWidth="1"/>
    <col min="15878" max="15878" width="20.5703125" style="211" bestFit="1" customWidth="1"/>
    <col min="15879" max="15879" width="17.140625" style="211" customWidth="1"/>
    <col min="15880" max="15880" width="21.7109375" style="211" bestFit="1" customWidth="1"/>
    <col min="15881" max="15881" width="17.140625" style="211" bestFit="1" customWidth="1"/>
    <col min="15882" max="15882" width="18.140625" style="211" bestFit="1" customWidth="1"/>
    <col min="15883" max="15883" width="26.42578125" style="211" customWidth="1"/>
    <col min="15884" max="16128" width="9.140625" style="211"/>
    <col min="16129" max="16129" width="8.7109375" style="211" bestFit="1" customWidth="1"/>
    <col min="16130" max="16130" width="13.28515625" style="211" customWidth="1"/>
    <col min="16131" max="16131" width="16.140625" style="211" bestFit="1" customWidth="1"/>
    <col min="16132" max="16132" width="23.5703125" style="211" customWidth="1"/>
    <col min="16133" max="16133" width="17.28515625" style="211" customWidth="1"/>
    <col min="16134" max="16134" width="20.5703125" style="211" bestFit="1" customWidth="1"/>
    <col min="16135" max="16135" width="17.140625" style="211" customWidth="1"/>
    <col min="16136" max="16136" width="21.7109375" style="211" bestFit="1" customWidth="1"/>
    <col min="16137" max="16137" width="17.140625" style="211" bestFit="1" customWidth="1"/>
    <col min="16138" max="16138" width="18.140625" style="211" bestFit="1" customWidth="1"/>
    <col min="16139" max="16139" width="26.42578125" style="211" customWidth="1"/>
    <col min="16140" max="16384" width="9.140625" style="211"/>
  </cols>
  <sheetData>
    <row r="1" spans="13:13" s="244" customFormat="1" x14ac:dyDescent="0.2">
      <c r="M1" s="245"/>
    </row>
    <row r="2" spans="13:13" s="244" customFormat="1" x14ac:dyDescent="0.2">
      <c r="M2" s="245"/>
    </row>
    <row r="3" spans="13:13" s="244" customFormat="1" x14ac:dyDescent="0.2">
      <c r="M3" s="245"/>
    </row>
    <row r="4" spans="13:13" s="244" customFormat="1" x14ac:dyDescent="0.2">
      <c r="M4" s="245"/>
    </row>
    <row r="5" spans="13:13" s="244" customFormat="1" x14ac:dyDescent="0.2">
      <c r="M5" s="245"/>
    </row>
    <row r="6" spans="13:13" s="244" customFormat="1" x14ac:dyDescent="0.2">
      <c r="M6" s="245"/>
    </row>
    <row r="7" spans="13:13" s="244" customFormat="1" x14ac:dyDescent="0.2">
      <c r="M7" s="245"/>
    </row>
    <row r="8" spans="13:13" s="244" customFormat="1" x14ac:dyDescent="0.2">
      <c r="M8" s="245"/>
    </row>
    <row r="9" spans="13:13" s="244" customFormat="1" x14ac:dyDescent="0.2">
      <c r="M9" s="245"/>
    </row>
    <row r="10" spans="13:13" s="244" customFormat="1" x14ac:dyDescent="0.2">
      <c r="M10" s="245"/>
    </row>
    <row r="11" spans="13:13" s="244" customFormat="1" x14ac:dyDescent="0.2">
      <c r="M11" s="245"/>
    </row>
    <row r="12" spans="13:13" s="244" customFormat="1" x14ac:dyDescent="0.2">
      <c r="M12" s="245"/>
    </row>
    <row r="13" spans="13:13" s="244" customFormat="1" x14ac:dyDescent="0.2">
      <c r="M13" s="245"/>
    </row>
    <row r="14" spans="13:13" s="244" customFormat="1" x14ac:dyDescent="0.2">
      <c r="M14" s="245"/>
    </row>
    <row r="15" spans="13:13" s="244" customFormat="1" x14ac:dyDescent="0.2">
      <c r="M15" s="245"/>
    </row>
    <row r="16" spans="13:13" s="244" customFormat="1" x14ac:dyDescent="0.2">
      <c r="M16" s="245"/>
    </row>
    <row r="17" spans="13:13" s="244" customFormat="1" x14ac:dyDescent="0.2">
      <c r="M17" s="245"/>
    </row>
    <row r="18" spans="13:13" s="244" customFormat="1" x14ac:dyDescent="0.2">
      <c r="M18" s="245"/>
    </row>
    <row r="19" spans="13:13" s="244" customFormat="1" x14ac:dyDescent="0.2">
      <c r="M19" s="245"/>
    </row>
    <row r="20" spans="13:13" s="244" customFormat="1" x14ac:dyDescent="0.2">
      <c r="M20" s="245"/>
    </row>
    <row r="21" spans="13:13" s="244" customFormat="1" x14ac:dyDescent="0.2">
      <c r="M21" s="245"/>
    </row>
    <row r="22" spans="13:13" s="244" customFormat="1" x14ac:dyDescent="0.2">
      <c r="M22" s="245"/>
    </row>
    <row r="23" spans="13:13" s="244" customFormat="1" x14ac:dyDescent="0.2">
      <c r="M23" s="245"/>
    </row>
    <row r="24" spans="13:13" s="244" customFormat="1" x14ac:dyDescent="0.2">
      <c r="M24" s="245"/>
    </row>
    <row r="25" spans="13:13" s="244" customFormat="1" x14ac:dyDescent="0.2">
      <c r="M25" s="245"/>
    </row>
    <row r="26" spans="13:13" s="244" customFormat="1" x14ac:dyDescent="0.2">
      <c r="M26" s="245"/>
    </row>
    <row r="27" spans="13:13" s="244" customFormat="1" x14ac:dyDescent="0.2">
      <c r="M27" s="245"/>
    </row>
    <row r="28" spans="13:13" s="244" customFormat="1" x14ac:dyDescent="0.2">
      <c r="M28" s="245"/>
    </row>
    <row r="29" spans="13:13" s="244" customFormat="1" x14ac:dyDescent="0.2">
      <c r="M29" s="245"/>
    </row>
    <row r="30" spans="13:13" s="244" customFormat="1" x14ac:dyDescent="0.2">
      <c r="M30" s="245"/>
    </row>
    <row r="31" spans="13:13" s="244" customFormat="1" x14ac:dyDescent="0.2">
      <c r="M31" s="245"/>
    </row>
    <row r="32" spans="13:13" s="244" customFormat="1" x14ac:dyDescent="0.2">
      <c r="M32" s="245"/>
    </row>
    <row r="33" spans="1:13" s="244" customFormat="1" ht="15.75" customHeight="1" x14ac:dyDescent="0.2">
      <c r="I33" s="270" t="str">
        <f>IF(OR(SCH_MODE=3, SCH_MODE=4),"** Tie VCCX to GND if not used **", "")</f>
        <v/>
      </c>
    </row>
    <row r="34" spans="1:13" s="244" customFormat="1" ht="15.75" customHeight="1" x14ac:dyDescent="0.2">
      <c r="A34" s="244" t="s">
        <v>938</v>
      </c>
    </row>
    <row r="35" spans="1:13" s="244" customFormat="1" ht="15.75" customHeight="1" x14ac:dyDescent="0.2">
      <c r="A35" s="244" t="s">
        <v>747</v>
      </c>
    </row>
    <row r="36" spans="1:13" s="244" customFormat="1" ht="24.75" customHeight="1" x14ac:dyDescent="0.25">
      <c r="A36" s="249" t="str">
        <f>"Vin = "&amp;VIN_min&amp;"V to "&amp;VIN_max&amp;"V, Vout = "&amp; Vout &amp;"V, Iout = " &amp;Iout &amp; "A, Fsw = " &amp; Fsw/1000 &amp;"kHz, Current Limit = "&amp;ROUNDUP(Ilimit_DC,0)&amp;"A"</f>
        <v>Vin = 40V to 60V, Vout = 12V, Iout = 5A, Fsw = 340kHz, Current Limit = 25A</v>
      </c>
    </row>
    <row r="37" spans="1:13" ht="24.75" customHeight="1" thickBot="1" x14ac:dyDescent="0.25">
      <c r="A37" s="213" t="s">
        <v>952</v>
      </c>
    </row>
    <row r="38" spans="1:13" ht="18" customHeight="1" x14ac:dyDescent="0.2">
      <c r="A38" s="473" t="s">
        <v>247</v>
      </c>
      <c r="B38" s="474" t="s">
        <v>246</v>
      </c>
      <c r="C38" s="474" t="s">
        <v>7</v>
      </c>
      <c r="D38" s="820" t="s">
        <v>107</v>
      </c>
      <c r="E38" s="821"/>
      <c r="F38" s="821"/>
      <c r="G38" s="822"/>
      <c r="H38" s="475" t="s">
        <v>238</v>
      </c>
      <c r="I38" s="475" t="s">
        <v>156</v>
      </c>
      <c r="J38" s="475" t="s">
        <v>239</v>
      </c>
      <c r="L38" s="212"/>
      <c r="M38" s="211"/>
    </row>
    <row r="39" spans="1:13" s="218" customFormat="1" ht="15.75" customHeight="1" x14ac:dyDescent="0.2">
      <c r="A39" s="215">
        <v>1</v>
      </c>
      <c r="B39" s="216" t="s">
        <v>743</v>
      </c>
      <c r="C39" s="230">
        <v>0.1</v>
      </c>
      <c r="D39" s="835">
        <f t="shared" ref="D39:D45" si="0">C39</f>
        <v>0.1</v>
      </c>
      <c r="E39" s="836"/>
      <c r="F39" s="836"/>
      <c r="G39" s="231"/>
      <c r="H39" s="232" t="s">
        <v>243</v>
      </c>
      <c r="I39" s="217" t="s">
        <v>240</v>
      </c>
      <c r="J39" s="217" t="s">
        <v>240</v>
      </c>
      <c r="L39" s="219"/>
    </row>
    <row r="40" spans="1:13" s="218" customFormat="1" ht="15.75" x14ac:dyDescent="0.2">
      <c r="A40" s="214">
        <v>1</v>
      </c>
      <c r="B40" s="233" t="s">
        <v>939</v>
      </c>
      <c r="C40" s="241">
        <f>'Design Regulator'!D72</f>
        <v>3.3000000000000003</v>
      </c>
      <c r="D40" s="837">
        <f t="shared" si="0"/>
        <v>3.3000000000000003</v>
      </c>
      <c r="E40" s="838"/>
      <c r="F40" s="838"/>
      <c r="G40" s="235"/>
      <c r="H40" s="236" t="s">
        <v>243</v>
      </c>
      <c r="I40" s="237" t="s">
        <v>240</v>
      </c>
      <c r="J40" s="237" t="s">
        <v>240</v>
      </c>
      <c r="L40" s="219"/>
    </row>
    <row r="41" spans="1:13" s="218" customFormat="1" ht="15.75" x14ac:dyDescent="0.2">
      <c r="A41" s="214">
        <v>1</v>
      </c>
      <c r="B41" s="233" t="s">
        <v>940</v>
      </c>
      <c r="C41" s="234">
        <f>'Design Regulator'!D73</f>
        <v>47</v>
      </c>
      <c r="D41" s="843">
        <f t="shared" si="0"/>
        <v>47</v>
      </c>
      <c r="E41" s="844"/>
      <c r="F41" s="844"/>
      <c r="G41" s="235"/>
      <c r="H41" s="236" t="s">
        <v>243</v>
      </c>
      <c r="I41" s="237" t="s">
        <v>240</v>
      </c>
      <c r="J41" s="237" t="s">
        <v>240</v>
      </c>
      <c r="L41" s="219"/>
    </row>
    <row r="42" spans="1:13" s="218" customFormat="1" ht="15.75" x14ac:dyDescent="0.2">
      <c r="A42" s="214">
        <f>ROUNDUP('Design Regulator'!E44/10,0)</f>
        <v>3</v>
      </c>
      <c r="B42" s="233" t="s">
        <v>244</v>
      </c>
      <c r="C42" s="240">
        <v>10</v>
      </c>
      <c r="D42" s="845">
        <f>C42</f>
        <v>10</v>
      </c>
      <c r="E42" s="846"/>
      <c r="F42" s="846"/>
      <c r="G42" s="235"/>
      <c r="H42" s="236">
        <v>1210</v>
      </c>
      <c r="I42" s="237" t="s">
        <v>240</v>
      </c>
      <c r="J42" s="237" t="s">
        <v>240</v>
      </c>
      <c r="L42" s="219"/>
    </row>
    <row r="43" spans="1:13" s="218" customFormat="1" ht="15.75" x14ac:dyDescent="0.2">
      <c r="A43" s="214">
        <f>ROUNDUP('Design Regulator'!E35/47,0)</f>
        <v>5</v>
      </c>
      <c r="B43" s="233" t="s">
        <v>245</v>
      </c>
      <c r="C43" s="240">
        <v>47</v>
      </c>
      <c r="D43" s="839">
        <f>C43</f>
        <v>47</v>
      </c>
      <c r="E43" s="840"/>
      <c r="F43" s="840"/>
      <c r="G43" s="235"/>
      <c r="H43" s="236">
        <v>1210</v>
      </c>
      <c r="I43" s="237" t="s">
        <v>240</v>
      </c>
      <c r="J43" s="237" t="s">
        <v>240</v>
      </c>
      <c r="L43" s="219"/>
    </row>
    <row r="44" spans="1:13" s="218" customFormat="1" ht="15.75" x14ac:dyDescent="0.2">
      <c r="A44" s="225">
        <v>2</v>
      </c>
      <c r="B44" s="226" t="s">
        <v>744</v>
      </c>
      <c r="C44" s="239">
        <v>2.2000000000000002</v>
      </c>
      <c r="D44" s="841">
        <f t="shared" si="0"/>
        <v>2.2000000000000002</v>
      </c>
      <c r="E44" s="842"/>
      <c r="F44" s="842"/>
      <c r="G44" s="238"/>
      <c r="H44" s="228" t="s">
        <v>243</v>
      </c>
      <c r="I44" s="229" t="s">
        <v>240</v>
      </c>
      <c r="J44" s="229" t="s">
        <v>240</v>
      </c>
      <c r="L44" s="219"/>
    </row>
    <row r="45" spans="1:13" s="218" customFormat="1" ht="15.75" x14ac:dyDescent="0.2">
      <c r="A45" s="225">
        <v>1</v>
      </c>
      <c r="B45" s="226" t="s">
        <v>678</v>
      </c>
      <c r="C45" s="239">
        <v>0.47</v>
      </c>
      <c r="D45" s="841">
        <f t="shared" si="0"/>
        <v>0.47</v>
      </c>
      <c r="E45" s="842"/>
      <c r="F45" s="842"/>
      <c r="G45" s="238"/>
      <c r="H45" s="228" t="s">
        <v>243</v>
      </c>
      <c r="I45" s="229" t="s">
        <v>240</v>
      </c>
      <c r="J45" s="229" t="s">
        <v>240</v>
      </c>
      <c r="L45" s="219"/>
    </row>
    <row r="46" spans="1:13" s="218" customFormat="1" ht="15.75" x14ac:dyDescent="0.2">
      <c r="A46" s="214">
        <v>1</v>
      </c>
      <c r="B46" s="233" t="s">
        <v>745</v>
      </c>
      <c r="C46" s="243">
        <f>'Design Regulator'!E27</f>
        <v>2.2000000000000002</v>
      </c>
      <c r="D46" s="832" t="str">
        <f>"Inductor, "&amp;Lf*1000000&amp;"µH, "&amp;Rdcr*1000&amp;"mΩ, &gt;"&amp;ROUNDUP(Ilimit_DC*1.1,0)&amp;"A"</f>
        <v>Inductor, 2.2µH, 3.5mΩ, &gt;28A</v>
      </c>
      <c r="E46" s="833"/>
      <c r="F46" s="833"/>
      <c r="G46" s="834"/>
      <c r="H46" s="237" t="s">
        <v>249</v>
      </c>
      <c r="I46" s="237" t="s">
        <v>249</v>
      </c>
      <c r="J46" s="237" t="s">
        <v>248</v>
      </c>
      <c r="L46" s="219"/>
    </row>
    <row r="47" spans="1:13" s="218" customFormat="1" ht="15.75" x14ac:dyDescent="0.2">
      <c r="A47" s="225">
        <v>2</v>
      </c>
      <c r="B47" s="226" t="s">
        <v>507</v>
      </c>
      <c r="C47" s="242" t="s">
        <v>241</v>
      </c>
      <c r="D47" s="826">
        <f>'Design Regulator'!E82</f>
        <v>12</v>
      </c>
      <c r="E47" s="827"/>
      <c r="F47" s="827"/>
      <c r="G47" s="828"/>
      <c r="H47" s="229" t="s">
        <v>240</v>
      </c>
      <c r="I47" s="229" t="str">
        <f>'Design Regulator'!E80</f>
        <v>'852, '824</v>
      </c>
      <c r="J47" s="229" t="s">
        <v>249</v>
      </c>
      <c r="L47" s="219"/>
    </row>
    <row r="48" spans="1:13" s="218" customFormat="1" ht="15.75" x14ac:dyDescent="0.2">
      <c r="A48" s="220">
        <v>1</v>
      </c>
      <c r="B48" s="221" t="s">
        <v>941</v>
      </c>
      <c r="C48" s="222">
        <f>'Design Regulator'!D71</f>
        <v>12.4</v>
      </c>
      <c r="D48" s="801">
        <f t="shared" ref="D48:D55" si="1">C48</f>
        <v>12.4</v>
      </c>
      <c r="E48" s="802"/>
      <c r="F48" s="802"/>
      <c r="G48" s="803"/>
      <c r="H48" s="223" t="s">
        <v>243</v>
      </c>
      <c r="I48" s="224" t="s">
        <v>240</v>
      </c>
      <c r="J48" s="224" t="s">
        <v>240</v>
      </c>
      <c r="L48" s="219"/>
    </row>
    <row r="49" spans="1:12" s="218" customFormat="1" ht="15.75" x14ac:dyDescent="0.2">
      <c r="A49" s="220">
        <v>1</v>
      </c>
      <c r="B49" s="221" t="s">
        <v>746</v>
      </c>
      <c r="C49" s="426">
        <f>Rs*1000</f>
        <v>2</v>
      </c>
      <c r="D49" s="829">
        <f t="shared" si="1"/>
        <v>2</v>
      </c>
      <c r="E49" s="830"/>
      <c r="F49" s="830"/>
      <c r="G49" s="831"/>
      <c r="H49" s="223" t="s">
        <v>677</v>
      </c>
      <c r="I49" s="224" t="s">
        <v>240</v>
      </c>
      <c r="J49" s="224" t="s">
        <v>240</v>
      </c>
      <c r="L49" s="219"/>
    </row>
    <row r="50" spans="1:12" s="218" customFormat="1" ht="15.75" x14ac:dyDescent="0.2">
      <c r="A50" s="220">
        <v>1</v>
      </c>
      <c r="B50" s="221" t="s">
        <v>447</v>
      </c>
      <c r="C50" s="222">
        <f>'Design Regulator'!E12</f>
        <v>64.900000000000006</v>
      </c>
      <c r="D50" s="801">
        <f t="shared" si="1"/>
        <v>64.900000000000006</v>
      </c>
      <c r="E50" s="802"/>
      <c r="F50" s="802"/>
      <c r="G50" s="803"/>
      <c r="H50" s="223" t="s">
        <v>243</v>
      </c>
      <c r="I50" s="224" t="s">
        <v>240</v>
      </c>
      <c r="J50" s="224" t="s">
        <v>240</v>
      </c>
      <c r="L50" s="219"/>
    </row>
    <row r="51" spans="1:12" s="218" customFormat="1" ht="15.75" x14ac:dyDescent="0.2">
      <c r="A51" s="220">
        <v>1</v>
      </c>
      <c r="B51" s="221" t="s">
        <v>251</v>
      </c>
      <c r="C51" s="222">
        <f>'Design Regulator'!E65</f>
        <v>78.7</v>
      </c>
      <c r="D51" s="801">
        <f t="shared" ref="D51" si="2">C51</f>
        <v>78.7</v>
      </c>
      <c r="E51" s="802"/>
      <c r="F51" s="802"/>
      <c r="G51" s="803"/>
      <c r="H51" s="223" t="s">
        <v>243</v>
      </c>
      <c r="I51" s="224" t="s">
        <v>240</v>
      </c>
      <c r="J51" s="224" t="s">
        <v>240</v>
      </c>
      <c r="L51" s="219"/>
    </row>
    <row r="52" spans="1:12" s="218" customFormat="1" ht="15.75" x14ac:dyDescent="0.2">
      <c r="A52" s="220">
        <v>1</v>
      </c>
      <c r="B52" s="221" t="s">
        <v>252</v>
      </c>
      <c r="C52" s="222">
        <f>'Design Regulator'!E66</f>
        <v>177</v>
      </c>
      <c r="D52" s="801">
        <f t="shared" ref="D52" si="3">C52</f>
        <v>177</v>
      </c>
      <c r="E52" s="802"/>
      <c r="F52" s="802"/>
      <c r="G52" s="803"/>
      <c r="H52" s="223" t="s">
        <v>243</v>
      </c>
      <c r="I52" s="224" t="s">
        <v>240</v>
      </c>
      <c r="J52" s="224" t="s">
        <v>240</v>
      </c>
      <c r="L52" s="219"/>
    </row>
    <row r="53" spans="1:12" s="218" customFormat="1" ht="15.75" x14ac:dyDescent="0.2">
      <c r="A53" s="225">
        <v>1</v>
      </c>
      <c r="B53" s="226" t="s">
        <v>942</v>
      </c>
      <c r="C53" s="227">
        <v>100</v>
      </c>
      <c r="D53" s="823">
        <f t="shared" si="1"/>
        <v>100</v>
      </c>
      <c r="E53" s="824"/>
      <c r="F53" s="824"/>
      <c r="G53" s="825"/>
      <c r="H53" s="228" t="s">
        <v>243</v>
      </c>
      <c r="I53" s="229" t="s">
        <v>240</v>
      </c>
      <c r="J53" s="229" t="s">
        <v>240</v>
      </c>
      <c r="L53" s="219"/>
    </row>
    <row r="54" spans="1:12" s="424" customFormat="1" ht="15.75" x14ac:dyDescent="0.2">
      <c r="A54" s="225">
        <v>1</v>
      </c>
      <c r="B54" s="226" t="s">
        <v>756</v>
      </c>
      <c r="C54" s="242">
        <v>100</v>
      </c>
      <c r="D54" s="798">
        <f t="shared" si="1"/>
        <v>100</v>
      </c>
      <c r="E54" s="799"/>
      <c r="F54" s="799"/>
      <c r="G54" s="800"/>
      <c r="H54" s="228" t="s">
        <v>243</v>
      </c>
      <c r="I54" s="229" t="s">
        <v>240</v>
      </c>
      <c r="J54" s="229" t="s">
        <v>240</v>
      </c>
      <c r="L54" s="425"/>
    </row>
    <row r="55" spans="1:12" s="218" customFormat="1" ht="15.75" x14ac:dyDescent="0.2">
      <c r="A55" s="225">
        <v>1</v>
      </c>
      <c r="B55" s="226" t="s">
        <v>250</v>
      </c>
      <c r="C55" s="242">
        <v>2.2000000000000002</v>
      </c>
      <c r="D55" s="798">
        <f t="shared" si="1"/>
        <v>2.2000000000000002</v>
      </c>
      <c r="E55" s="799"/>
      <c r="F55" s="799"/>
      <c r="G55" s="800"/>
      <c r="H55" s="228" t="s">
        <v>243</v>
      </c>
      <c r="I55" s="229" t="s">
        <v>240</v>
      </c>
      <c r="J55" s="229" t="s">
        <v>240</v>
      </c>
      <c r="L55" s="219"/>
    </row>
    <row r="56" spans="1:12" s="218" customFormat="1" ht="14.25" customHeight="1" x14ac:dyDescent="0.2">
      <c r="A56" s="804">
        <v>1</v>
      </c>
      <c r="B56" s="816" t="s">
        <v>253</v>
      </c>
      <c r="C56" s="814" t="str">
        <f>'Variable Management'!P29</f>
        <v>LM5148</v>
      </c>
      <c r="D56" s="808" t="str">
        <f>CHOOSE(VARIANT, "IC, LM5148, Synchronous Buck PWM Controller, 3.5V–80V Input", "IC, LM5148-Q1, Synchronous Buck PWM Controller, 3.5V–80V Input", "IC, LM25148, Synchronous Buck PWM Controller, 3.5V–42V Input",  "IC, LM25148-Q1, Synchronous Buck PWM Controller, 3.5V–42V Input")</f>
        <v>IC, LM5148, Synchronous Buck PWM Controller, 3.5V–80V Input</v>
      </c>
      <c r="E56" s="809"/>
      <c r="F56" s="809"/>
      <c r="G56" s="810"/>
      <c r="H56" s="818" t="s">
        <v>757</v>
      </c>
      <c r="I56" s="814" t="str">
        <f>CHOOSE(VARIANT, "LM5148RGYR", "LM5148QRGYRQ1", "LM25148RGYR", "LM25148QRGYRQ1")</f>
        <v>LM5148RGYR</v>
      </c>
      <c r="J56" s="806" t="s">
        <v>242</v>
      </c>
      <c r="L56" s="219"/>
    </row>
    <row r="57" spans="1:12" x14ac:dyDescent="0.2">
      <c r="A57" s="805"/>
      <c r="B57" s="817"/>
      <c r="C57" s="815"/>
      <c r="D57" s="811"/>
      <c r="E57" s="812"/>
      <c r="F57" s="812"/>
      <c r="G57" s="813"/>
      <c r="H57" s="819"/>
      <c r="I57" s="815"/>
      <c r="J57" s="807"/>
    </row>
    <row r="59" spans="1:12" x14ac:dyDescent="0.2">
      <c r="A59" s="251" t="s">
        <v>261</v>
      </c>
    </row>
    <row r="60" spans="1:12" ht="17.100000000000001" customHeight="1" x14ac:dyDescent="0.2">
      <c r="A60" s="211" t="s">
        <v>448</v>
      </c>
    </row>
    <row r="61" spans="1:12" ht="17.100000000000001" customHeight="1" x14ac:dyDescent="0.2">
      <c r="A61" s="211" t="s">
        <v>951</v>
      </c>
    </row>
  </sheetData>
  <sheetProtection algorithmName="SHA-512" hashValue="BzucQA+KWiQvL07lfQEK93VBOPFTS/R1HaMt60aHxK8pazY0cozuTZIJLoeWzg3Ri1oWcB3r8QJ+z+htLdVPEw==" saltValue="KXDqQqxHUhvDm5V30XJqdw==" spinCount="100000" sheet="1" objects="1" scenarios="1" selectLockedCells="1" selectUnlockedCells="1"/>
  <mergeCells count="25">
    <mergeCell ref="D38:G38"/>
    <mergeCell ref="D53:G53"/>
    <mergeCell ref="D51:G51"/>
    <mergeCell ref="D52:G52"/>
    <mergeCell ref="D47:G47"/>
    <mergeCell ref="D50:G50"/>
    <mergeCell ref="D49:G49"/>
    <mergeCell ref="D46:G46"/>
    <mergeCell ref="D39:F39"/>
    <mergeCell ref="D40:F40"/>
    <mergeCell ref="D43:F43"/>
    <mergeCell ref="D45:F45"/>
    <mergeCell ref="D41:F41"/>
    <mergeCell ref="D44:F44"/>
    <mergeCell ref="D42:F42"/>
    <mergeCell ref="D55:G55"/>
    <mergeCell ref="D54:G54"/>
    <mergeCell ref="D48:G48"/>
    <mergeCell ref="A56:A57"/>
    <mergeCell ref="J56:J57"/>
    <mergeCell ref="D56:G57"/>
    <mergeCell ref="C56:C57"/>
    <mergeCell ref="B56:B57"/>
    <mergeCell ref="H56:H57"/>
    <mergeCell ref="I56:I57"/>
  </mergeCells>
  <printOptions horizontalCentered="1"/>
  <pageMargins left="0.23" right="0.23" top="0.7" bottom="0.61" header="0.3" footer="0.5"/>
  <pageSetup scale="46" fitToHeight="2" orientation="landscape" r:id="rId1"/>
  <headerFooter alignWithMargins="0"/>
  <ignoredErrors>
    <ignoredError sqref="H39:H41 H45 H46 H53:H54 H44 H48 H50:H52 H49 H55"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pageSetUpPr fitToPage="1"/>
  </sheetPr>
  <dimension ref="A1:W6"/>
  <sheetViews>
    <sheetView topLeftCell="A4" zoomScale="85" zoomScaleNormal="85" zoomScaleSheetLayoutView="80" workbookViewId="0">
      <selection activeCell="K6" sqref="K6"/>
    </sheetView>
  </sheetViews>
  <sheetFormatPr defaultColWidth="9.140625" defaultRowHeight="12.75" x14ac:dyDescent="0.2"/>
  <cols>
    <col min="1" max="13" width="9.140625" style="120"/>
    <col min="14" max="14" width="11.7109375" style="120" customWidth="1"/>
    <col min="15" max="16" width="9.140625" style="120"/>
    <col min="17" max="17" width="15.7109375" style="120" customWidth="1"/>
    <col min="18" max="16384" width="9.140625" style="120"/>
  </cols>
  <sheetData>
    <row r="1" spans="1:23" s="112" customFormat="1" ht="47.25" customHeight="1" x14ac:dyDescent="0.2">
      <c r="A1" s="847" t="s">
        <v>915</v>
      </c>
      <c r="B1" s="848"/>
      <c r="C1" s="848"/>
      <c r="D1" s="848"/>
      <c r="E1" s="848"/>
      <c r="F1" s="848"/>
      <c r="G1" s="848"/>
      <c r="H1" s="848"/>
      <c r="I1" s="848"/>
      <c r="J1" s="848"/>
      <c r="K1" s="848"/>
      <c r="L1" s="848"/>
      <c r="M1" s="848"/>
      <c r="N1" s="848"/>
      <c r="O1" s="848"/>
      <c r="P1" s="848"/>
      <c r="Q1" s="848"/>
    </row>
    <row r="6" spans="1:23" ht="20.25" x14ac:dyDescent="0.3">
      <c r="B6" s="121" t="s">
        <v>916</v>
      </c>
      <c r="M6" s="121"/>
      <c r="W6" s="121"/>
    </row>
  </sheetData>
  <sheetProtection algorithmName="SHA-512" hashValue="T57Nb+KuWMbHaKZuvLh7d5qoN4vNFcMfwIUMI8R8liSMGVOrdmehOPAlNkCUQ/8uwEodfY+QreP6v/GrEyJ3MA==" saltValue="LWRDTVNykMeRmU5ul2MsEg==" spinCount="100000" sheet="1" objects="1" scenarios="1" selectLockedCells="1"/>
  <mergeCells count="1">
    <mergeCell ref="A1:Q1"/>
  </mergeCells>
  <pageMargins left="0.19" right="0.2" top="0.75" bottom="0.75" header="0.3" footer="0.3"/>
  <pageSetup scale="30" orientation="portrait" r:id="rId1"/>
  <drawing r:id="rId2"/>
  <legacyDrawing r:id="rId3"/>
  <oleObjects>
    <mc:AlternateContent xmlns:mc="http://schemas.openxmlformats.org/markup-compatibility/2006">
      <mc:Choice Requires="x14">
        <oleObject progId="Visio.Drawing.15" shapeId="819203" r:id="rId4">
          <objectPr defaultSize="0" r:id="rId5">
            <anchor moveWithCells="1">
              <from>
                <xdr:col>13</xdr:col>
                <xdr:colOff>95250</xdr:colOff>
                <xdr:row>9</xdr:row>
                <xdr:rowOff>76200</xdr:rowOff>
              </from>
              <to>
                <xdr:col>24</xdr:col>
                <xdr:colOff>228600</xdr:colOff>
                <xdr:row>36</xdr:row>
                <xdr:rowOff>76200</xdr:rowOff>
              </to>
            </anchor>
          </objectPr>
        </oleObject>
      </mc:Choice>
      <mc:Fallback>
        <oleObject progId="Visio.Drawing.15" shapeId="819203" r:id="rId4"/>
      </mc:Fallback>
    </mc:AlternateContent>
    <mc:AlternateContent xmlns:mc="http://schemas.openxmlformats.org/markup-compatibility/2006">
      <mc:Choice Requires="x14">
        <oleObject progId="Visio.Drawing.15" shapeId="819207" r:id="rId6">
          <objectPr defaultSize="0" r:id="rId7">
            <anchor moveWithCells="1">
              <from>
                <xdr:col>13</xdr:col>
                <xdr:colOff>133350</xdr:colOff>
                <xdr:row>69</xdr:row>
                <xdr:rowOff>95250</xdr:rowOff>
              </from>
              <to>
                <xdr:col>24</xdr:col>
                <xdr:colOff>133350</xdr:colOff>
                <xdr:row>96</xdr:row>
                <xdr:rowOff>66675</xdr:rowOff>
              </to>
            </anchor>
          </objectPr>
        </oleObject>
      </mc:Choice>
      <mc:Fallback>
        <oleObject progId="Visio.Drawing.15" shapeId="819207" r:id="rId6"/>
      </mc:Fallback>
    </mc:AlternateContent>
    <mc:AlternateContent xmlns:mc="http://schemas.openxmlformats.org/markup-compatibility/2006">
      <mc:Choice Requires="x14">
        <oleObject progId="Visio.Drawing.15" shapeId="819208" r:id="rId8">
          <objectPr defaultSize="0" r:id="rId9">
            <anchor moveWithCells="1">
              <from>
                <xdr:col>13</xdr:col>
                <xdr:colOff>95250</xdr:colOff>
                <xdr:row>40</xdr:row>
                <xdr:rowOff>57150</xdr:rowOff>
              </from>
              <to>
                <xdr:col>24</xdr:col>
                <xdr:colOff>104775</xdr:colOff>
                <xdr:row>67</xdr:row>
                <xdr:rowOff>19050</xdr:rowOff>
              </to>
            </anchor>
          </objectPr>
        </oleObject>
      </mc:Choice>
      <mc:Fallback>
        <oleObject progId="Visio.Drawing.15" shapeId="819208" r:id="rId8"/>
      </mc:Fallback>
    </mc:AlternateContent>
    <mc:AlternateContent xmlns:mc="http://schemas.openxmlformats.org/markup-compatibility/2006">
      <mc:Choice Requires="x14">
        <oleObject progId="Visio.Drawing.15" shapeId="819209" r:id="rId10">
          <objectPr defaultSize="0" r:id="rId11">
            <anchor moveWithCells="1">
              <from>
                <xdr:col>0</xdr:col>
                <xdr:colOff>333375</xdr:colOff>
                <xdr:row>40</xdr:row>
                <xdr:rowOff>57150</xdr:rowOff>
              </from>
              <to>
                <xdr:col>12</xdr:col>
                <xdr:colOff>438150</xdr:colOff>
                <xdr:row>67</xdr:row>
                <xdr:rowOff>57150</xdr:rowOff>
              </to>
            </anchor>
          </objectPr>
        </oleObject>
      </mc:Choice>
      <mc:Fallback>
        <oleObject progId="Visio.Drawing.15" shapeId="819209" r:id="rId10"/>
      </mc:Fallback>
    </mc:AlternateContent>
    <mc:AlternateContent xmlns:mc="http://schemas.openxmlformats.org/markup-compatibility/2006">
      <mc:Choice Requires="x14">
        <oleObject progId="Visio.Drawing.15" shapeId="819210" r:id="rId12">
          <objectPr defaultSize="0" autoPict="0" r:id="rId13">
            <anchor moveWithCells="1">
              <from>
                <xdr:col>0</xdr:col>
                <xdr:colOff>342900</xdr:colOff>
                <xdr:row>69</xdr:row>
                <xdr:rowOff>114300</xdr:rowOff>
              </from>
              <to>
                <xdr:col>12</xdr:col>
                <xdr:colOff>381000</xdr:colOff>
                <xdr:row>96</xdr:row>
                <xdr:rowOff>57150</xdr:rowOff>
              </to>
            </anchor>
          </objectPr>
        </oleObject>
      </mc:Choice>
      <mc:Fallback>
        <oleObject progId="Visio.Drawing.15" shapeId="819210" r:id="rId12"/>
      </mc:Fallback>
    </mc:AlternateContent>
    <mc:AlternateContent xmlns:mc="http://schemas.openxmlformats.org/markup-compatibility/2006">
      <mc:Choice Requires="x14">
        <oleObject progId="Visio.Drawing.15" shapeId="819211" r:id="rId14">
          <objectPr defaultSize="0" autoPict="0" r:id="rId15">
            <anchor moveWithCells="1">
              <from>
                <xdr:col>0</xdr:col>
                <xdr:colOff>400050</xdr:colOff>
                <xdr:row>9</xdr:row>
                <xdr:rowOff>76200</xdr:rowOff>
              </from>
              <to>
                <xdr:col>12</xdr:col>
                <xdr:colOff>438150</xdr:colOff>
                <xdr:row>36</xdr:row>
                <xdr:rowOff>28575</xdr:rowOff>
              </to>
            </anchor>
          </objectPr>
        </oleObject>
      </mc:Choice>
      <mc:Fallback>
        <oleObject progId="Visio.Drawing.15" shapeId="819211" r:id="rId1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A452"/>
  <sheetViews>
    <sheetView zoomScale="115" zoomScaleNormal="115" workbookViewId="0">
      <pane ySplit="5" topLeftCell="A54" activePane="bottomLeft" state="frozenSplit"/>
      <selection pane="bottomLeft" activeCell="B68" sqref="B68"/>
    </sheetView>
  </sheetViews>
  <sheetFormatPr defaultRowHeight="12.75" x14ac:dyDescent="0.2"/>
  <cols>
    <col min="1" max="1" width="34.140625" customWidth="1"/>
    <col min="2" max="2" width="12" customWidth="1"/>
    <col min="3" max="3" width="12.140625" style="2" customWidth="1"/>
    <col min="4" max="4" width="16.7109375" customWidth="1"/>
    <col min="5" max="5" width="11.5703125" customWidth="1"/>
    <col min="6" max="6" width="12.42578125" bestFit="1" customWidth="1"/>
    <col min="7" max="7" width="17.42578125" customWidth="1"/>
    <col min="8" max="8" width="34.7109375" customWidth="1"/>
    <col min="9" max="9" width="11.7109375" customWidth="1"/>
    <col min="10" max="10" width="12.42578125" bestFit="1" customWidth="1"/>
    <col min="11" max="11" width="15.140625" customWidth="1"/>
    <col min="12" max="12" width="13.28515625" customWidth="1"/>
    <col min="14" max="14" width="8.7109375" customWidth="1"/>
    <col min="15" max="15" width="11.140625" customWidth="1"/>
    <col min="16" max="16" width="12.7109375" customWidth="1"/>
    <col min="23" max="23" width="13.28515625" customWidth="1"/>
    <col min="25" max="25" width="12.42578125" customWidth="1"/>
  </cols>
  <sheetData>
    <row r="1" spans="1:27" ht="30.75" customHeight="1" x14ac:dyDescent="0.4">
      <c r="A1" s="850" t="s">
        <v>380</v>
      </c>
      <c r="B1" s="850"/>
      <c r="C1" s="850"/>
      <c r="D1" s="850"/>
      <c r="E1" s="850"/>
      <c r="F1" s="850"/>
      <c r="G1" s="850"/>
      <c r="H1" s="850"/>
      <c r="I1" s="850"/>
    </row>
    <row r="2" spans="1:27" ht="12" customHeight="1" x14ac:dyDescent="0.2">
      <c r="A2" s="49"/>
      <c r="B2" s="49" t="s">
        <v>188</v>
      </c>
      <c r="C2" s="50"/>
      <c r="E2" s="49"/>
      <c r="F2" s="49"/>
      <c r="G2" s="49"/>
      <c r="H2" s="49"/>
      <c r="I2" s="49"/>
    </row>
    <row r="3" spans="1:27" ht="11.25" customHeight="1" x14ac:dyDescent="0.2">
      <c r="A3" s="49"/>
      <c r="B3" s="49" t="s">
        <v>220</v>
      </c>
      <c r="C3" s="51"/>
      <c r="E3" s="49"/>
      <c r="F3" s="49"/>
      <c r="G3" s="49"/>
      <c r="H3" s="49"/>
      <c r="I3" s="49"/>
    </row>
    <row r="4" spans="1:27" ht="11.25" customHeight="1" x14ac:dyDescent="0.2">
      <c r="A4" s="49"/>
      <c r="B4" s="49" t="s">
        <v>189</v>
      </c>
      <c r="C4" s="52"/>
      <c r="E4" s="49"/>
      <c r="F4" s="49"/>
      <c r="G4" s="49"/>
      <c r="H4" s="49"/>
      <c r="I4" s="49"/>
    </row>
    <row r="5" spans="1:27" x14ac:dyDescent="0.2">
      <c r="A5" s="2" t="s">
        <v>47</v>
      </c>
      <c r="B5" s="2" t="s">
        <v>7</v>
      </c>
      <c r="C5" s="2" t="s">
        <v>8</v>
      </c>
      <c r="E5" s="849" t="s">
        <v>12</v>
      </c>
      <c r="F5" s="849"/>
      <c r="G5" s="849"/>
      <c r="H5" s="849"/>
      <c r="I5" s="2" t="s">
        <v>401</v>
      </c>
    </row>
    <row r="6" spans="1:27" ht="16.5" thickBot="1" x14ac:dyDescent="0.3">
      <c r="A6" s="509" t="s">
        <v>147</v>
      </c>
      <c r="B6" s="2"/>
      <c r="D6" s="2"/>
      <c r="E6" s="49"/>
      <c r="F6" s="49"/>
      <c r="G6" s="49"/>
      <c r="H6" s="49"/>
      <c r="I6" s="2"/>
    </row>
    <row r="7" spans="1:27" x14ac:dyDescent="0.2">
      <c r="A7" s="208" t="s">
        <v>278</v>
      </c>
      <c r="B7" s="12">
        <f>'Design Regulator'!E6</f>
        <v>40</v>
      </c>
      <c r="C7" s="63" t="s">
        <v>0</v>
      </c>
      <c r="D7" s="116" t="s">
        <v>279</v>
      </c>
      <c r="E7" s="63"/>
      <c r="F7" s="63"/>
      <c r="G7" s="63"/>
      <c r="H7" s="63"/>
      <c r="I7" s="64">
        <v>1</v>
      </c>
    </row>
    <row r="8" spans="1:27" x14ac:dyDescent="0.2">
      <c r="A8" s="209" t="s">
        <v>594</v>
      </c>
      <c r="B8" s="29">
        <f>'Design Regulator'!E7</f>
        <v>50</v>
      </c>
      <c r="C8" t="s">
        <v>0</v>
      </c>
      <c r="D8" t="s">
        <v>13</v>
      </c>
      <c r="I8" s="57"/>
      <c r="K8" s="285" t="str">
        <f>CHOOSE(SCH_MODE, "Efficiency vs. IOUT (Ch1)", "Efficiency vs. IOUT - 2 Ph", "Efficiency vs. IOUT - 3 Ph", "Efficiency vs. IOUT - 4 Ph")</f>
        <v>Efficiency vs. IOUT (Ch1)</v>
      </c>
      <c r="L8" s="115">
        <v>1</v>
      </c>
      <c r="N8" s="285" t="s">
        <v>927</v>
      </c>
      <c r="O8" s="115">
        <v>1</v>
      </c>
      <c r="T8" s="285" t="s">
        <v>684</v>
      </c>
      <c r="U8" s="115">
        <v>1</v>
      </c>
      <c r="W8" s="285" t="s">
        <v>627</v>
      </c>
      <c r="X8" s="115">
        <v>1</v>
      </c>
      <c r="Z8" s="285" t="str">
        <f>CHOOSE(SCH_MODE, "Bode Plot (Ch1)", "Bode Plot - 2 Ph", "Bode Plot - 3 Ph", "Bode Plot - 4 Ph")</f>
        <v>Bode Plot (Ch1)</v>
      </c>
      <c r="AA8" s="115">
        <v>1</v>
      </c>
    </row>
    <row r="9" spans="1:27" x14ac:dyDescent="0.2">
      <c r="A9" s="209" t="s">
        <v>277</v>
      </c>
      <c r="B9" s="29">
        <f>'Design Regulator'!E8</f>
        <v>60</v>
      </c>
      <c r="C9" t="s">
        <v>0</v>
      </c>
      <c r="D9" s="113" t="s">
        <v>280</v>
      </c>
      <c r="I9" s="57"/>
      <c r="K9" s="285" t="str">
        <f>IF(MODE=1, "Efficiency vs. IOUT (Ch2)", "N/A - Do Not Use")</f>
        <v>Efficiency vs. IOUT (Ch2)</v>
      </c>
      <c r="L9" s="115">
        <v>2</v>
      </c>
      <c r="N9" s="285" t="s">
        <v>928</v>
      </c>
      <c r="O9" s="115">
        <v>2</v>
      </c>
      <c r="T9" s="285" t="s">
        <v>685</v>
      </c>
      <c r="U9" s="115">
        <v>2</v>
      </c>
      <c r="W9" s="285" t="s">
        <v>856</v>
      </c>
      <c r="X9" s="115">
        <v>2</v>
      </c>
      <c r="Z9" s="285" t="str">
        <f>IF(MODE=1, "AEF Gain", "N/A - Do Not Use")</f>
        <v>AEF Gain</v>
      </c>
      <c r="AA9" s="115">
        <v>2</v>
      </c>
    </row>
    <row r="10" spans="1:27" x14ac:dyDescent="0.2">
      <c r="A10" s="209"/>
      <c r="B10" s="4"/>
      <c r="C10"/>
      <c r="D10" s="113"/>
      <c r="I10" s="57"/>
      <c r="K10" s="519" t="s">
        <v>566</v>
      </c>
      <c r="L10" s="520">
        <v>1</v>
      </c>
      <c r="N10" s="519" t="s">
        <v>929</v>
      </c>
      <c r="O10" s="520">
        <v>1</v>
      </c>
      <c r="P10" s="113" t="s">
        <v>584</v>
      </c>
      <c r="T10" s="285" t="s">
        <v>686</v>
      </c>
      <c r="U10" s="115">
        <v>3</v>
      </c>
      <c r="W10" s="519" t="s">
        <v>857</v>
      </c>
      <c r="X10" s="520">
        <v>1</v>
      </c>
      <c r="Z10" s="519" t="s">
        <v>688</v>
      </c>
      <c r="AA10" s="520">
        <v>1</v>
      </c>
    </row>
    <row r="11" spans="1:27" x14ac:dyDescent="0.2">
      <c r="A11" s="56" t="s">
        <v>4</v>
      </c>
      <c r="B11" s="29">
        <f>'Design Regulator'!E9</f>
        <v>12</v>
      </c>
      <c r="C11" t="s">
        <v>0</v>
      </c>
      <c r="D11" s="113" t="s">
        <v>598</v>
      </c>
      <c r="I11" s="57"/>
      <c r="T11" s="285" t="s">
        <v>687</v>
      </c>
      <c r="U11" s="115">
        <v>4</v>
      </c>
      <c r="V11" s="113"/>
    </row>
    <row r="12" spans="1:27" x14ac:dyDescent="0.2">
      <c r="A12" s="56" t="s">
        <v>5</v>
      </c>
      <c r="B12" s="29">
        <f>'Design Regulator'!E10</f>
        <v>5</v>
      </c>
      <c r="C12" t="s">
        <v>1</v>
      </c>
      <c r="D12" s="113" t="s">
        <v>599</v>
      </c>
      <c r="I12" s="57">
        <v>1</v>
      </c>
      <c r="T12" s="519" t="s">
        <v>597</v>
      </c>
      <c r="U12" s="520">
        <v>1</v>
      </c>
      <c r="V12" s="113"/>
    </row>
    <row r="13" spans="1:27" x14ac:dyDescent="0.2">
      <c r="A13" s="209"/>
      <c r="C13"/>
      <c r="D13" s="113"/>
      <c r="I13" s="57">
        <v>1</v>
      </c>
      <c r="K13" s="285" t="s">
        <v>646</v>
      </c>
      <c r="L13" s="115">
        <v>1</v>
      </c>
      <c r="N13" s="285" t="s">
        <v>644</v>
      </c>
      <c r="O13" s="115">
        <v>1</v>
      </c>
      <c r="T13" s="561" t="s">
        <v>696</v>
      </c>
      <c r="U13" s="559">
        <f>IF(U12=1, 1, 2)</f>
        <v>1</v>
      </c>
      <c r="V13" s="113"/>
      <c r="W13" s="285" t="s">
        <v>704</v>
      </c>
      <c r="X13" s="115">
        <v>1</v>
      </c>
    </row>
    <row r="14" spans="1:27" x14ac:dyDescent="0.2">
      <c r="A14" s="209" t="s">
        <v>313</v>
      </c>
      <c r="B14" s="504">
        <f>Vout/Iout</f>
        <v>2.4</v>
      </c>
      <c r="C14" s="210" t="s">
        <v>116</v>
      </c>
      <c r="D14" s="113" t="s">
        <v>595</v>
      </c>
      <c r="I14" s="57"/>
      <c r="K14" s="285" t="s">
        <v>645</v>
      </c>
      <c r="L14" s="115">
        <v>2</v>
      </c>
      <c r="N14" s="285" t="s">
        <v>645</v>
      </c>
      <c r="O14" s="115">
        <v>2</v>
      </c>
      <c r="T14" s="287" t="s">
        <v>695</v>
      </c>
      <c r="U14" s="562">
        <f>IF(U12=1, 2, 1)</f>
        <v>2</v>
      </c>
      <c r="W14" s="285" t="s">
        <v>705</v>
      </c>
      <c r="X14" s="115">
        <v>2</v>
      </c>
    </row>
    <row r="15" spans="1:27" x14ac:dyDescent="0.2">
      <c r="A15" s="209"/>
      <c r="B15" s="504"/>
      <c r="C15" s="210"/>
      <c r="D15" s="113"/>
      <c r="I15" s="57"/>
      <c r="K15" s="285" t="s">
        <v>644</v>
      </c>
      <c r="L15" s="115">
        <v>3</v>
      </c>
      <c r="N15" s="285" t="s">
        <v>646</v>
      </c>
      <c r="O15" s="115">
        <v>3</v>
      </c>
      <c r="T15" s="287" t="s">
        <v>694</v>
      </c>
      <c r="U15" s="290">
        <f>SCH_MODE</f>
        <v>1</v>
      </c>
      <c r="W15" s="519" t="s">
        <v>706</v>
      </c>
      <c r="X15" s="520">
        <v>1</v>
      </c>
    </row>
    <row r="16" spans="1:27" x14ac:dyDescent="0.2">
      <c r="A16" s="209" t="s">
        <v>284</v>
      </c>
      <c r="B16" s="284">
        <f>Vout*Iout</f>
        <v>60</v>
      </c>
      <c r="C16" t="s">
        <v>116</v>
      </c>
      <c r="D16" s="113" t="s">
        <v>298</v>
      </c>
      <c r="I16" s="57"/>
      <c r="K16" s="285" t="s">
        <v>826</v>
      </c>
      <c r="L16" s="115">
        <v>4</v>
      </c>
      <c r="N16" s="519" t="s">
        <v>926</v>
      </c>
      <c r="O16" s="520">
        <f>IF(Vout2=3.3, 1, IF(Vout2=5, 2, 3))</f>
        <v>3</v>
      </c>
    </row>
    <row r="17" spans="1:27" x14ac:dyDescent="0.2">
      <c r="A17" s="209"/>
      <c r="C17"/>
      <c r="D17" s="113"/>
      <c r="I17" s="57"/>
      <c r="K17" s="519" t="s">
        <v>751</v>
      </c>
      <c r="L17" s="520">
        <f>IF(Vout=3.3, 3, IF(Vout=5, 2,  IF(Vout=12,4,1)))</f>
        <v>4</v>
      </c>
    </row>
    <row r="18" spans="1:27" x14ac:dyDescent="0.2">
      <c r="A18" s="209" t="s">
        <v>127</v>
      </c>
      <c r="B18" s="395">
        <v>0.9</v>
      </c>
      <c r="C18"/>
      <c r="D18" s="113" t="s">
        <v>414</v>
      </c>
      <c r="I18" s="57"/>
      <c r="Y18" s="2"/>
    </row>
    <row r="19" spans="1:27" x14ac:dyDescent="0.2">
      <c r="A19" s="209" t="s">
        <v>288</v>
      </c>
      <c r="B19" s="301">
        <f>Pout/Efficiency</f>
        <v>66.666666666666671</v>
      </c>
      <c r="C19" t="s">
        <v>116</v>
      </c>
      <c r="D19" s="113" t="s">
        <v>596</v>
      </c>
      <c r="I19" s="57"/>
      <c r="W19" s="285"/>
      <c r="Y19" s="2"/>
      <c r="Z19" s="44" t="s">
        <v>762</v>
      </c>
      <c r="AA19" s="115">
        <v>1</v>
      </c>
    </row>
    <row r="20" spans="1:27" x14ac:dyDescent="0.2">
      <c r="A20" s="209"/>
      <c r="D20" s="113"/>
      <c r="I20" s="57"/>
      <c r="W20" s="285"/>
      <c r="Z20" s="44" t="s">
        <v>761</v>
      </c>
      <c r="AA20" s="115">
        <v>2</v>
      </c>
    </row>
    <row r="21" spans="1:27" x14ac:dyDescent="0.2">
      <c r="A21" s="209" t="s">
        <v>285</v>
      </c>
      <c r="B21" s="296">
        <f>Pin/VIN_min</f>
        <v>1.6666666666666667</v>
      </c>
      <c r="C21" t="s">
        <v>1</v>
      </c>
      <c r="D21" s="113"/>
      <c r="I21" s="57"/>
      <c r="L21">
        <f>Vout</f>
        <v>12</v>
      </c>
      <c r="W21" s="519"/>
      <c r="X21" s="350"/>
      <c r="Z21" s="519" t="s">
        <v>763</v>
      </c>
      <c r="AA21" s="520">
        <v>2</v>
      </c>
    </row>
    <row r="22" spans="1:27" x14ac:dyDescent="0.2">
      <c r="A22" s="209" t="s">
        <v>286</v>
      </c>
      <c r="B22" s="296">
        <f>Pin/VIN_nom</f>
        <v>1.3333333333333335</v>
      </c>
      <c r="C22" t="s">
        <v>1</v>
      </c>
      <c r="D22" s="113" t="s">
        <v>299</v>
      </c>
      <c r="H22" t="b">
        <f>AND(OSC=1, OR(Fsw/1000&gt;2530, Fsw/1000&lt;1800))</f>
        <v>0</v>
      </c>
      <c r="I22" s="57"/>
    </row>
    <row r="23" spans="1:27" x14ac:dyDescent="0.2">
      <c r="A23" s="209" t="s">
        <v>287</v>
      </c>
      <c r="B23" s="296">
        <f>Pin/VIN_max</f>
        <v>1.1111111111111112</v>
      </c>
      <c r="C23" t="s">
        <v>1</v>
      </c>
      <c r="D23" s="113"/>
      <c r="H23" t="b">
        <f>AND(OSC=2, OR(Fsw/1000&gt;500, Fsw/1000&lt;300))</f>
        <v>0</v>
      </c>
      <c r="I23" s="57"/>
    </row>
    <row r="24" spans="1:27" x14ac:dyDescent="0.2">
      <c r="A24" s="209"/>
      <c r="C24"/>
      <c r="D24" s="113"/>
      <c r="H24" t="b">
        <f>OR(H22,H23)</f>
        <v>0</v>
      </c>
      <c r="I24" s="57"/>
    </row>
    <row r="25" spans="1:27" x14ac:dyDescent="0.2">
      <c r="A25" s="585" t="s">
        <v>749</v>
      </c>
      <c r="B25" s="299" t="e">
        <f>CHOOSE(OSC, 2200, 440)</f>
        <v>#VALUE!</v>
      </c>
      <c r="C25" s="113" t="s">
        <v>2</v>
      </c>
      <c r="I25" s="57"/>
      <c r="K25" s="285" t="s">
        <v>818</v>
      </c>
      <c r="L25" s="115">
        <v>1</v>
      </c>
      <c r="P25" s="285" t="s">
        <v>930</v>
      </c>
      <c r="Q25" s="290">
        <v>1</v>
      </c>
      <c r="W25" s="285" t="s">
        <v>781</v>
      </c>
      <c r="X25">
        <v>1</v>
      </c>
      <c r="Z25" s="285" t="s">
        <v>869</v>
      </c>
      <c r="AA25" s="115">
        <v>1</v>
      </c>
    </row>
    <row r="26" spans="1:27" x14ac:dyDescent="0.2">
      <c r="A26" s="58" t="s">
        <v>6</v>
      </c>
      <c r="B26" s="252">
        <f>'Design Regulator'!E11*1000</f>
        <v>340000</v>
      </c>
      <c r="C26" s="113" t="s">
        <v>9</v>
      </c>
      <c r="D26" s="113" t="s">
        <v>603</v>
      </c>
      <c r="I26" s="57"/>
      <c r="K26" s="285" t="s">
        <v>820</v>
      </c>
      <c r="L26" s="115">
        <v>2</v>
      </c>
      <c r="P26" s="285" t="s">
        <v>931</v>
      </c>
      <c r="Q26" s="290">
        <v>2</v>
      </c>
      <c r="W26" s="285" t="s">
        <v>782</v>
      </c>
      <c r="X26">
        <v>2</v>
      </c>
      <c r="Z26" s="285" t="s">
        <v>870</v>
      </c>
      <c r="AA26" s="115">
        <v>2</v>
      </c>
    </row>
    <row r="27" spans="1:27" x14ac:dyDescent="0.2">
      <c r="A27" s="113" t="s">
        <v>831</v>
      </c>
      <c r="B27" s="48">
        <f>((1000000000/Fsw)-53)/45+0.1</f>
        <v>64.281699346405219</v>
      </c>
      <c r="C27" s="45" t="s">
        <v>237</v>
      </c>
      <c r="D27" s="113"/>
      <c r="I27" s="57"/>
      <c r="K27" s="285" t="s">
        <v>821</v>
      </c>
      <c r="L27" s="115">
        <v>3</v>
      </c>
      <c r="O27" s="285"/>
      <c r="P27" s="285" t="s">
        <v>932</v>
      </c>
      <c r="Q27" s="290">
        <v>3</v>
      </c>
      <c r="W27" s="285" t="s">
        <v>783</v>
      </c>
      <c r="X27">
        <v>3</v>
      </c>
      <c r="Z27" s="519" t="s">
        <v>871</v>
      </c>
      <c r="AA27" s="115">
        <v>1</v>
      </c>
    </row>
    <row r="28" spans="1:27" x14ac:dyDescent="0.2">
      <c r="A28" s="113"/>
      <c r="B28" s="679"/>
      <c r="C28" s="45" t="s">
        <v>237</v>
      </c>
      <c r="D28" s="113"/>
      <c r="F28" s="113"/>
      <c r="I28" s="57">
        <v>1</v>
      </c>
      <c r="K28" s="285" t="s">
        <v>819</v>
      </c>
      <c r="L28" s="115">
        <v>4</v>
      </c>
      <c r="O28" s="285"/>
      <c r="P28" s="285" t="s">
        <v>933</v>
      </c>
      <c r="Q28" s="290">
        <v>4</v>
      </c>
      <c r="W28" s="519" t="s">
        <v>780</v>
      </c>
      <c r="X28">
        <v>1</v>
      </c>
    </row>
    <row r="29" spans="1:27" x14ac:dyDescent="0.2">
      <c r="A29" s="209" t="s">
        <v>720</v>
      </c>
      <c r="B29" s="512">
        <f>1/Fsw</f>
        <v>2.9411764705882355E-6</v>
      </c>
      <c r="C29" s="113" t="s">
        <v>530</v>
      </c>
      <c r="D29" s="113" t="s">
        <v>600</v>
      </c>
      <c r="I29" s="57"/>
      <c r="K29" s="285" t="s">
        <v>822</v>
      </c>
      <c r="L29" s="115">
        <v>5</v>
      </c>
      <c r="O29" s="520" t="s">
        <v>934</v>
      </c>
      <c r="P29" s="287" t="str">
        <f>CHOOSE(VARIANT, "LM5148", "LM5148-Q1", "LM25148", "LM25148-Q1")</f>
        <v>LM5148</v>
      </c>
      <c r="Q29" s="520">
        <v>1</v>
      </c>
    </row>
    <row r="30" spans="1:27" x14ac:dyDescent="0.2">
      <c r="A30" s="58" t="s">
        <v>41</v>
      </c>
      <c r="B30" s="59">
        <v>0.8</v>
      </c>
      <c r="C30" t="s">
        <v>0</v>
      </c>
      <c r="D30" s="113" t="s">
        <v>601</v>
      </c>
      <c r="I30" s="57"/>
      <c r="K30" s="285" t="s">
        <v>823</v>
      </c>
      <c r="L30" s="115">
        <v>6</v>
      </c>
      <c r="O30" s="520" t="s">
        <v>935</v>
      </c>
      <c r="P30" s="287">
        <f>CHOOSE(VARIANT, 80, 80, 42, 42)</f>
        <v>80</v>
      </c>
      <c r="Q30" t="s">
        <v>0</v>
      </c>
    </row>
    <row r="31" spans="1:27" ht="13.5" thickBot="1" x14ac:dyDescent="0.25">
      <c r="A31" s="626" t="s">
        <v>272</v>
      </c>
      <c r="B31" s="629">
        <f>'Standard Value Calculator'!S12/1000</f>
        <v>64.900000000000006</v>
      </c>
      <c r="C31" s="45" t="s">
        <v>237</v>
      </c>
      <c r="D31" s="627" t="s">
        <v>602</v>
      </c>
      <c r="E31" s="371"/>
      <c r="F31" s="628">
        <f>IF(OR((Fsw=440000),(Fsw=2200000)),"N/A",Rfadj/1000)</f>
        <v>6.4899999999999999E-2</v>
      </c>
      <c r="G31" s="371"/>
      <c r="H31" s="371"/>
      <c r="I31" s="546"/>
      <c r="K31" s="285" t="s">
        <v>824</v>
      </c>
      <c r="L31" s="115">
        <v>7</v>
      </c>
      <c r="O31" s="113" t="s">
        <v>936</v>
      </c>
      <c r="P31" s="285">
        <f>CHOOSE(VARIANT, 60, 60, 36, 36)</f>
        <v>60</v>
      </c>
      <c r="Q31" s="113" t="s">
        <v>0</v>
      </c>
    </row>
    <row r="32" spans="1:27" x14ac:dyDescent="0.2">
      <c r="K32" s="285" t="s">
        <v>825</v>
      </c>
      <c r="L32" s="115">
        <v>8</v>
      </c>
      <c r="O32" s="285"/>
      <c r="P32" s="115"/>
    </row>
    <row r="33" spans="1:16" ht="16.5" thickBot="1" x14ac:dyDescent="0.3">
      <c r="A33" s="509" t="s">
        <v>648</v>
      </c>
      <c r="B33" s="2" t="s">
        <v>606</v>
      </c>
      <c r="D33" s="2"/>
      <c r="K33" s="519" t="s">
        <v>752</v>
      </c>
      <c r="L33" s="520">
        <f>(IF(OR(Vout=3.3,Vout=5,Vout=12),CHOOSE(COMP_TYPE,IF(INFILTER_TYPE=1,1,2),IF(INFILTER_TYPE=1,3,4)),CHOOSE(COMP_TYPE,IF(INFILTER_TYPE=1,5,6),IF(INFILTER_TYPE=1,7,8))))</f>
        <v>3</v>
      </c>
      <c r="O33" s="285"/>
      <c r="P33" s="115"/>
    </row>
    <row r="34" spans="1:16" x14ac:dyDescent="0.2">
      <c r="A34" s="208" t="s">
        <v>14</v>
      </c>
      <c r="B34" s="280">
        <f>Vout/VIN_nom</f>
        <v>0.24</v>
      </c>
      <c r="C34" s="548"/>
      <c r="D34" s="283"/>
      <c r="E34" s="283"/>
      <c r="F34" s="116" t="s">
        <v>282</v>
      </c>
      <c r="G34" s="63"/>
      <c r="H34" s="63"/>
      <c r="I34" s="64"/>
      <c r="O34" s="285"/>
      <c r="P34" s="115"/>
    </row>
    <row r="35" spans="1:16" x14ac:dyDescent="0.2">
      <c r="A35" s="209" t="s">
        <v>15</v>
      </c>
      <c r="B35" s="281">
        <f>1-34:34</f>
        <v>0.76</v>
      </c>
      <c r="C35"/>
      <c r="F35" s="113" t="s">
        <v>283</v>
      </c>
      <c r="I35" s="57"/>
      <c r="O35" s="285"/>
      <c r="P35" s="115"/>
    </row>
    <row r="36" spans="1:16" x14ac:dyDescent="0.2">
      <c r="A36" s="113"/>
      <c r="C36"/>
      <c r="E36" s="113"/>
      <c r="I36" s="57"/>
    </row>
    <row r="37" spans="1:16" x14ac:dyDescent="0.2">
      <c r="A37" s="209" t="s">
        <v>650</v>
      </c>
      <c r="B37" s="291">
        <f>Vout/VIN_min</f>
        <v>0.3</v>
      </c>
      <c r="C37"/>
      <c r="D37" s="540"/>
      <c r="E37" s="113"/>
      <c r="I37" s="57"/>
    </row>
    <row r="38" spans="1:16" x14ac:dyDescent="0.2">
      <c r="A38" s="209" t="s">
        <v>651</v>
      </c>
      <c r="B38" s="291">
        <f>Vout/VIN_nom</f>
        <v>0.24</v>
      </c>
      <c r="C38"/>
      <c r="D38" s="540"/>
      <c r="I38" s="57"/>
    </row>
    <row r="39" spans="1:16" x14ac:dyDescent="0.2">
      <c r="A39" s="209" t="s">
        <v>652</v>
      </c>
      <c r="B39" s="291">
        <f>Vout/VIN_max</f>
        <v>0.2</v>
      </c>
      <c r="C39"/>
      <c r="D39" s="540"/>
      <c r="E39" s="113"/>
      <c r="I39" s="57"/>
    </row>
    <row r="40" spans="1:16" x14ac:dyDescent="0.2">
      <c r="A40" s="113"/>
      <c r="B40" s="540"/>
      <c r="C40" s="113"/>
      <c r="E40" s="113"/>
      <c r="I40" s="57"/>
    </row>
    <row r="41" spans="1:16" x14ac:dyDescent="0.2">
      <c r="A41" s="113" t="s">
        <v>292</v>
      </c>
      <c r="B41" s="282">
        <f>(VIN_nom-Vout)*D1_Vinnom/(Fsw*(Iout/Number_of_Phases)*0.3)</f>
        <v>1.788235294117647E-5</v>
      </c>
      <c r="C41" t="s">
        <v>19</v>
      </c>
      <c r="D41" s="46"/>
      <c r="F41" s="113" t="s">
        <v>607</v>
      </c>
      <c r="I41" s="57"/>
    </row>
    <row r="42" spans="1:16" x14ac:dyDescent="0.2">
      <c r="A42" s="113" t="s">
        <v>604</v>
      </c>
      <c r="B42" s="282">
        <f>1000*Vout*Rs/22.72/Fsw</f>
        <v>3.1068765534382771E-6</v>
      </c>
      <c r="C42" t="s">
        <v>19</v>
      </c>
      <c r="D42" s="46"/>
      <c r="F42" s="113" t="s">
        <v>649</v>
      </c>
      <c r="I42" s="57"/>
    </row>
    <row r="43" spans="1:16" x14ac:dyDescent="0.2">
      <c r="A43" s="113"/>
      <c r="C43" s="113"/>
      <c r="E43" s="113"/>
      <c r="I43" s="57"/>
    </row>
    <row r="44" spans="1:16" x14ac:dyDescent="0.2">
      <c r="A44" s="209" t="s">
        <v>293</v>
      </c>
      <c r="B44" s="282">
        <f>B42</f>
        <v>3.1068765534382771E-6</v>
      </c>
      <c r="C44" t="s">
        <v>19</v>
      </c>
      <c r="D44" s="30"/>
      <c r="E44" s="113"/>
      <c r="F44" s="113" t="s">
        <v>889</v>
      </c>
      <c r="I44" s="57"/>
    </row>
    <row r="45" spans="1:16" x14ac:dyDescent="0.2">
      <c r="A45" s="209"/>
      <c r="C45"/>
      <c r="E45" s="113"/>
      <c r="I45" s="57"/>
    </row>
    <row r="46" spans="1:16" x14ac:dyDescent="0.2">
      <c r="A46" s="209" t="s">
        <v>624</v>
      </c>
      <c r="B46" s="72">
        <f>'Design Regulator'!E27/1000000</f>
        <v>2.2000000000000001E-6</v>
      </c>
      <c r="C46" t="s">
        <v>19</v>
      </c>
      <c r="D46" s="30"/>
      <c r="F46" s="113" t="s">
        <v>531</v>
      </c>
      <c r="I46" s="57"/>
    </row>
    <row r="47" spans="1:16" x14ac:dyDescent="0.2">
      <c r="A47" s="209" t="s">
        <v>11</v>
      </c>
      <c r="B47" s="29">
        <f>'Design Regulator'!E28/1000</f>
        <v>3.5000000000000001E-3</v>
      </c>
      <c r="C47" s="210" t="s">
        <v>116</v>
      </c>
      <c r="E47" s="210"/>
      <c r="F47" s="113" t="s">
        <v>532</v>
      </c>
      <c r="I47" s="57"/>
    </row>
    <row r="48" spans="1:16" x14ac:dyDescent="0.2">
      <c r="A48" s="209"/>
      <c r="B48" s="113"/>
      <c r="C48" s="113"/>
      <c r="D48" s="113"/>
      <c r="E48" s="113"/>
      <c r="I48" s="57"/>
    </row>
    <row r="49" spans="1:9" x14ac:dyDescent="0.2">
      <c r="A49" s="209" t="s">
        <v>16</v>
      </c>
      <c r="B49" s="291">
        <f>(Vout+Iout*(Rdcr+Rs))/(Vin+Iout*Rs)</f>
        <v>0.24050189962007598</v>
      </c>
      <c r="C49"/>
      <c r="I49" s="57"/>
    </row>
    <row r="50" spans="1:9" x14ac:dyDescent="0.2">
      <c r="A50" s="209" t="s">
        <v>17</v>
      </c>
      <c r="B50" s="291">
        <f>1-_Don2</f>
        <v>0.75949810037992405</v>
      </c>
      <c r="C50"/>
      <c r="I50" s="57"/>
    </row>
    <row r="51" spans="1:9" x14ac:dyDescent="0.2">
      <c r="A51" s="209"/>
      <c r="C51"/>
      <c r="I51" s="57"/>
    </row>
    <row r="52" spans="1:9" x14ac:dyDescent="0.2">
      <c r="A52" s="209" t="s">
        <v>653</v>
      </c>
      <c r="B52" s="291">
        <f>CHOOSE(MODE, (Vout+Iout*(Rdcr+Rs))/(VIN_min+Iout*Rs), (Vout+Iout/Number_of_Phases*(Rdcr+Rs))/(VIN_min+Iout/Number_of_Phases*Rs))</f>
        <v>0.30061234691327171</v>
      </c>
      <c r="C52"/>
      <c r="D52" s="540"/>
      <c r="F52" s="113" t="s">
        <v>608</v>
      </c>
      <c r="I52" s="57"/>
    </row>
    <row r="53" spans="1:9" ht="15.75" x14ac:dyDescent="0.3">
      <c r="A53" s="209" t="s">
        <v>654</v>
      </c>
      <c r="B53" s="291">
        <f>CHOOSE(MODE, (Vout+Iout*(Rdcr+Rs))/(VIN_nom+Iout*Rs), (Vout+Iout/Number_of_Phases*(Rdcr+Rs))/(VIN_nom+Iout/Number_of_Phases*Rs))</f>
        <v>0.24050189962007598</v>
      </c>
      <c r="C53"/>
      <c r="D53" s="540"/>
      <c r="F53" s="366" t="s">
        <v>415</v>
      </c>
      <c r="I53" s="57"/>
    </row>
    <row r="54" spans="1:9" x14ac:dyDescent="0.2">
      <c r="A54" s="209" t="s">
        <v>655</v>
      </c>
      <c r="B54" s="291">
        <f>CHOOSE(MODE, (Vout+Iout*(Rdcr+Rs))/(VIN_max+Iout*Rs), (Vout+Iout/Number_of_Phases*(Rdcr+Rs))/(VIN_max+Iout/Number_of_Phases*Rs))</f>
        <v>0.20042492917847027</v>
      </c>
      <c r="C54"/>
      <c r="D54" s="540"/>
      <c r="I54" s="57"/>
    </row>
    <row r="55" spans="1:9" x14ac:dyDescent="0.2">
      <c r="A55" s="209"/>
      <c r="C55"/>
      <c r="I55" s="57"/>
    </row>
    <row r="56" spans="1:9" x14ac:dyDescent="0.2">
      <c r="A56" s="209" t="s">
        <v>289</v>
      </c>
      <c r="B56" s="505">
        <f>(VIN_min-Vout)*D1_Vinmin_2/(Fsw*Lf)</f>
        <v>11.252868601031562</v>
      </c>
      <c r="C56" s="113" t="s">
        <v>1</v>
      </c>
      <c r="D56" s="547"/>
      <c r="E56" s="113"/>
      <c r="G56" s="30"/>
      <c r="I56" s="57"/>
    </row>
    <row r="57" spans="1:9" x14ac:dyDescent="0.2">
      <c r="A57" s="209" t="s">
        <v>290</v>
      </c>
      <c r="B57" s="505">
        <f>(VIN_nom-Vout)*D1_Vinnom_2/(Fsw*Lf)</f>
        <v>12.218010943265892</v>
      </c>
      <c r="C57" s="113" t="s">
        <v>1</v>
      </c>
      <c r="D57" s="547"/>
      <c r="E57" s="113"/>
      <c r="I57" s="57"/>
    </row>
    <row r="58" spans="1:9" x14ac:dyDescent="0.2">
      <c r="A58" s="209" t="s">
        <v>291</v>
      </c>
      <c r="B58" s="505">
        <f>(VIN_max-Vout)*D1_Vinmax_2/(Fsw*Lf)</f>
        <v>12.861492781506112</v>
      </c>
      <c r="C58" s="113" t="s">
        <v>1</v>
      </c>
      <c r="D58" s="547"/>
      <c r="E58" s="113"/>
      <c r="I58" s="57"/>
    </row>
    <row r="59" spans="1:9" x14ac:dyDescent="0.2">
      <c r="A59" s="209"/>
      <c r="B59" s="547"/>
      <c r="D59" s="466"/>
      <c r="E59" s="113"/>
      <c r="I59" s="57"/>
    </row>
    <row r="60" spans="1:9" x14ac:dyDescent="0.2">
      <c r="A60" s="209" t="s">
        <v>547</v>
      </c>
      <c r="B60" s="549">
        <f>SQRT((Iout/Number_of_Phases)^2+(Iripple_Vinmin^2)/12)</f>
        <v>5.9625711159426436</v>
      </c>
      <c r="C60" s="113" t="s">
        <v>1</v>
      </c>
      <c r="D60" s="4"/>
      <c r="E60" s="113"/>
      <c r="F60" s="348"/>
      <c r="I60" s="57"/>
    </row>
    <row r="61" spans="1:9" x14ac:dyDescent="0.2">
      <c r="A61" s="209" t="s">
        <v>548</v>
      </c>
      <c r="B61" s="549">
        <f>SQRT((Iout/Number_of_Phases)^2+(Iripple_Vinnom^2)/12)</f>
        <v>6.1188219958976111</v>
      </c>
      <c r="C61" s="113" t="s">
        <v>1</v>
      </c>
      <c r="D61" s="4"/>
      <c r="E61" s="113"/>
      <c r="F61" s="348"/>
      <c r="I61" s="57"/>
    </row>
    <row r="62" spans="1:9" x14ac:dyDescent="0.2">
      <c r="A62" s="209" t="s">
        <v>549</v>
      </c>
      <c r="B62" s="549">
        <f>SQRT((Iout/Number_of_Phases)^2+(Iripple_Vinmax^2)/12)</f>
        <v>6.2277470282112848</v>
      </c>
      <c r="C62" s="113" t="s">
        <v>1</v>
      </c>
      <c r="D62" s="4"/>
      <c r="E62" s="113"/>
      <c r="F62" s="348"/>
      <c r="I62" s="57"/>
    </row>
    <row r="63" spans="1:9" x14ac:dyDescent="0.2">
      <c r="A63" s="209" t="s">
        <v>550</v>
      </c>
      <c r="B63" s="550">
        <f>B61^2*Rs</f>
        <v>7.4879965234960849E-2</v>
      </c>
      <c r="C63" s="113" t="s">
        <v>116</v>
      </c>
      <c r="D63" s="382"/>
      <c r="E63" s="113"/>
      <c r="F63" s="382" t="s">
        <v>625</v>
      </c>
      <c r="I63" s="57"/>
    </row>
    <row r="64" spans="1:9" x14ac:dyDescent="0.2">
      <c r="A64" s="209"/>
      <c r="B64" s="113"/>
      <c r="C64" s="113"/>
      <c r="D64" s="113"/>
      <c r="I64" s="57"/>
    </row>
    <row r="65" spans="1:16" x14ac:dyDescent="0.2">
      <c r="A65" s="209" t="s">
        <v>297</v>
      </c>
      <c r="B65" s="292">
        <f>MAX(B56:B58)</f>
        <v>12.861492781506112</v>
      </c>
      <c r="C65" s="382" t="s">
        <v>1</v>
      </c>
      <c r="D65" s="466"/>
      <c r="E65" s="113"/>
      <c r="F65" s="113" t="s">
        <v>626</v>
      </c>
      <c r="I65" s="57"/>
    </row>
    <row r="66" spans="1:16" x14ac:dyDescent="0.2">
      <c r="A66" s="209"/>
      <c r="B66" s="113"/>
      <c r="C66" s="113"/>
      <c r="D66" s="113"/>
      <c r="F66" s="113"/>
      <c r="G66" s="285"/>
      <c r="I66" s="57"/>
    </row>
    <row r="67" spans="1:16" x14ac:dyDescent="0.2">
      <c r="B67" s="396">
        <f>B56/(Iout/Number_of_Phases)</f>
        <v>2.2505737202063125</v>
      </c>
      <c r="C67" s="551"/>
      <c r="D67" s="551"/>
      <c r="F67" s="4"/>
      <c r="G67" s="397"/>
      <c r="I67" s="57"/>
    </row>
    <row r="68" spans="1:16" x14ac:dyDescent="0.2">
      <c r="A68" s="209" t="s">
        <v>680</v>
      </c>
      <c r="B68" s="396">
        <f>B57/(Iout/Number_of_Phases)</f>
        <v>2.4436021886531782</v>
      </c>
      <c r="C68"/>
      <c r="D68" s="551"/>
      <c r="F68" s="4"/>
      <c r="G68" s="397"/>
      <c r="I68" s="57"/>
    </row>
    <row r="69" spans="1:16" x14ac:dyDescent="0.2">
      <c r="A69" s="209"/>
      <c r="B69" s="396">
        <f>B58/(Iout/Number_of_Phases)</f>
        <v>2.5722985563012224</v>
      </c>
      <c r="C69"/>
      <c r="D69" s="551"/>
      <c r="F69" s="4"/>
      <c r="G69" s="397"/>
      <c r="I69" s="57"/>
    </row>
    <row r="70" spans="1:16" x14ac:dyDescent="0.2">
      <c r="A70" s="209"/>
      <c r="C70"/>
      <c r="I70" s="57"/>
    </row>
    <row r="71" spans="1:16" x14ac:dyDescent="0.2">
      <c r="A71" s="113" t="s">
        <v>605</v>
      </c>
      <c r="B71" s="395">
        <v>100</v>
      </c>
      <c r="C71" s="113" t="s">
        <v>449</v>
      </c>
      <c r="D71" s="113"/>
      <c r="E71" s="113"/>
      <c r="I71" s="57"/>
    </row>
    <row r="72" spans="1:16" x14ac:dyDescent="0.2">
      <c r="A72" s="209" t="s">
        <v>213</v>
      </c>
      <c r="B72" s="377">
        <f>Rdcr*(1+0.0039*(B71-25))</f>
        <v>4.52375E-3</v>
      </c>
      <c r="C72" s="210" t="s">
        <v>116</v>
      </c>
      <c r="D72" s="300"/>
      <c r="E72" s="210"/>
      <c r="I72" s="57"/>
    </row>
    <row r="73" spans="1:16" ht="13.5" thickBot="1" x14ac:dyDescent="0.25">
      <c r="A73" s="303" t="s">
        <v>937</v>
      </c>
      <c r="B73" s="289">
        <f>'Design Regulator'!E30</f>
        <v>0.2</v>
      </c>
      <c r="C73" s="117" t="s">
        <v>116</v>
      </c>
      <c r="D73" s="61"/>
      <c r="E73" s="61"/>
      <c r="F73" s="61"/>
      <c r="G73" s="61"/>
      <c r="H73" s="61"/>
      <c r="I73" s="62"/>
    </row>
    <row r="74" spans="1:16" x14ac:dyDescent="0.2">
      <c r="A74" s="2"/>
      <c r="B74" s="1"/>
      <c r="C74" s="1"/>
    </row>
    <row r="75" spans="1:16" ht="16.5" thickBot="1" x14ac:dyDescent="0.3">
      <c r="A75" s="509" t="s">
        <v>377</v>
      </c>
      <c r="B75" s="1"/>
      <c r="C75" s="1"/>
    </row>
    <row r="76" spans="1:16" x14ac:dyDescent="0.2">
      <c r="A76" s="90"/>
      <c r="B76" s="63"/>
      <c r="C76" s="63"/>
      <c r="D76" s="63"/>
      <c r="E76" s="63"/>
      <c r="F76" s="63"/>
      <c r="G76" s="63"/>
      <c r="H76" s="63"/>
      <c r="I76" s="64"/>
    </row>
    <row r="77" spans="1:16" x14ac:dyDescent="0.2">
      <c r="A77" s="209" t="s">
        <v>296</v>
      </c>
      <c r="B77" s="29">
        <f>'Design Regulator'!E16</f>
        <v>25</v>
      </c>
      <c r="C77" t="s">
        <v>1</v>
      </c>
      <c r="E77" s="113"/>
      <c r="F77" s="113" t="s">
        <v>500</v>
      </c>
      <c r="I77" s="57"/>
      <c r="K77" s="113"/>
      <c r="N77" s="113"/>
    </row>
    <row r="78" spans="1:16" x14ac:dyDescent="0.2">
      <c r="A78" s="209"/>
      <c r="C78"/>
      <c r="I78" s="57"/>
      <c r="K78" s="113"/>
      <c r="L78" s="113"/>
    </row>
    <row r="79" spans="1:16" x14ac:dyDescent="0.2">
      <c r="A79" s="209" t="s">
        <v>301</v>
      </c>
      <c r="B79" s="296">
        <f>CHOOSE(MODE, Ilimit_DC+Iripple_Vinmin/2, Ilimit_DC/Number_of_Phases+Iripple_Vinmin/2)</f>
        <v>30.626434300515783</v>
      </c>
      <c r="C79" t="s">
        <v>1</v>
      </c>
      <c r="D79" s="4"/>
      <c r="E79" s="113"/>
      <c r="F79" s="113" t="s">
        <v>610</v>
      </c>
      <c r="I79" s="57"/>
      <c r="K79" s="4"/>
      <c r="L79" s="4"/>
      <c r="N79" s="300"/>
      <c r="P79" s="300"/>
    </row>
    <row r="80" spans="1:16" x14ac:dyDescent="0.2">
      <c r="A80" s="209" t="s">
        <v>303</v>
      </c>
      <c r="B80" s="296">
        <f>CHOOSE(MODE, Ilimit_DC+Iripple_Vinnom/2, Ilimit_DC/Number_of_Phases+Iripple_Vinnom/2)</f>
        <v>31.109005471632948</v>
      </c>
      <c r="C80" t="s">
        <v>1</v>
      </c>
      <c r="D80" s="4"/>
      <c r="E80" s="113"/>
      <c r="I80" s="57"/>
      <c r="K80" s="4"/>
      <c r="L80" s="4"/>
      <c r="N80" s="300"/>
      <c r="P80" s="300"/>
    </row>
    <row r="81" spans="1:16" x14ac:dyDescent="0.2">
      <c r="A81" s="209" t="s">
        <v>302</v>
      </c>
      <c r="B81" s="296">
        <f>CHOOSE(MODE, Ilimit_DC+Iripple_Vinmax/2, Ilimit_DC/Number_of_Phases+Iripple_Vinmax/2)</f>
        <v>31.430746390753058</v>
      </c>
      <c r="C81" t="s">
        <v>1</v>
      </c>
      <c r="D81" s="4"/>
      <c r="E81" s="113"/>
      <c r="I81" s="57"/>
      <c r="K81" s="4"/>
      <c r="L81" s="4"/>
      <c r="N81" s="300"/>
      <c r="P81" s="300"/>
    </row>
    <row r="82" spans="1:16" x14ac:dyDescent="0.2">
      <c r="A82" s="209"/>
      <c r="B82" s="4"/>
      <c r="C82" s="113"/>
      <c r="D82" s="113"/>
      <c r="I82" s="57"/>
    </row>
    <row r="83" spans="1:16" x14ac:dyDescent="0.2">
      <c r="I83" s="57"/>
    </row>
    <row r="84" spans="1:16" x14ac:dyDescent="0.2">
      <c r="A84" s="209" t="s">
        <v>612</v>
      </c>
      <c r="B84" s="467">
        <v>5.1999999999999998E-2</v>
      </c>
      <c r="C84" s="113" t="s">
        <v>0</v>
      </c>
      <c r="E84" s="113"/>
      <c r="I84" s="57"/>
    </row>
    <row r="85" spans="1:16" x14ac:dyDescent="0.2">
      <c r="A85" s="209" t="s">
        <v>611</v>
      </c>
      <c r="B85" s="467">
        <v>0.06</v>
      </c>
      <c r="C85" s="113" t="s">
        <v>0</v>
      </c>
      <c r="E85" s="113"/>
      <c r="F85" s="2"/>
      <c r="I85" s="57"/>
    </row>
    <row r="86" spans="1:16" x14ac:dyDescent="0.2">
      <c r="A86" s="209" t="s">
        <v>613</v>
      </c>
      <c r="B86" s="467">
        <v>6.8000000000000005E-2</v>
      </c>
      <c r="C86" s="113" t="s">
        <v>0</v>
      </c>
      <c r="E86" s="113"/>
      <c r="I86" s="57"/>
    </row>
    <row r="87" spans="1:16" x14ac:dyDescent="0.2">
      <c r="A87" s="209"/>
      <c r="B87" s="348"/>
      <c r="C87" s="113"/>
      <c r="E87" s="113"/>
      <c r="I87" s="57"/>
    </row>
    <row r="88" spans="1:16" x14ac:dyDescent="0.2">
      <c r="A88" s="209" t="s">
        <v>533</v>
      </c>
      <c r="B88" s="297">
        <f>Buck_CS_threshold/B79</f>
        <v>1.9590919207656352E-3</v>
      </c>
      <c r="C88" s="210" t="s">
        <v>116</v>
      </c>
      <c r="D88" s="300"/>
      <c r="E88" s="210"/>
      <c r="I88" s="57"/>
    </row>
    <row r="89" spans="1:16" x14ac:dyDescent="0.2">
      <c r="A89" s="209" t="s">
        <v>534</v>
      </c>
      <c r="B89" s="297">
        <f>Buck_CS_threshold/B80</f>
        <v>1.9287019655678671E-3</v>
      </c>
      <c r="C89" s="210" t="s">
        <v>116</v>
      </c>
      <c r="D89" s="300"/>
      <c r="E89" s="210"/>
      <c r="I89" s="57"/>
    </row>
    <row r="90" spans="1:16" x14ac:dyDescent="0.2">
      <c r="A90" s="209" t="s">
        <v>535</v>
      </c>
      <c r="B90" s="297">
        <f>Buck_CS_threshold/B81</f>
        <v>1.9089588027617452E-3</v>
      </c>
      <c r="C90" s="210" t="s">
        <v>116</v>
      </c>
      <c r="D90" s="300"/>
      <c r="E90" s="210"/>
      <c r="I90" s="57"/>
    </row>
    <row r="91" spans="1:16" x14ac:dyDescent="0.2">
      <c r="A91" s="209"/>
      <c r="B91" s="30"/>
      <c r="C91" s="210"/>
      <c r="E91" s="210"/>
      <c r="I91" s="57"/>
    </row>
    <row r="92" spans="1:16" x14ac:dyDescent="0.2">
      <c r="A92" s="209" t="s">
        <v>300</v>
      </c>
      <c r="B92" s="298">
        <f>B89</f>
        <v>1.9287019655678671E-3</v>
      </c>
      <c r="C92" s="210" t="s">
        <v>116</v>
      </c>
      <c r="D92" s="300"/>
      <c r="E92" s="210"/>
      <c r="F92" s="113" t="s">
        <v>614</v>
      </c>
      <c r="I92" s="57"/>
    </row>
    <row r="93" spans="1:16" x14ac:dyDescent="0.2">
      <c r="A93" s="209" t="s">
        <v>164</v>
      </c>
      <c r="B93" s="503">
        <f>'Design Regulator'!E18/1000</f>
        <v>2E-3</v>
      </c>
      <c r="C93" s="210" t="s">
        <v>116</v>
      </c>
      <c r="D93" s="348"/>
      <c r="E93" s="210"/>
      <c r="F93" s="113" t="s">
        <v>304</v>
      </c>
      <c r="I93" s="57"/>
      <c r="K93" s="113"/>
      <c r="L93" s="113"/>
    </row>
    <row r="94" spans="1:16" x14ac:dyDescent="0.2">
      <c r="A94" s="209"/>
      <c r="B94" s="398"/>
      <c r="C94" s="210"/>
      <c r="E94" s="210"/>
      <c r="I94" s="57"/>
      <c r="K94" s="113"/>
      <c r="L94" s="113"/>
    </row>
    <row r="95" spans="1:16" x14ac:dyDescent="0.2">
      <c r="A95" s="209" t="s">
        <v>615</v>
      </c>
      <c r="B95" s="296">
        <f>Buck_CS_threshold/Rs</f>
        <v>30</v>
      </c>
      <c r="C95" s="113" t="s">
        <v>1</v>
      </c>
      <c r="D95" s="4"/>
      <c r="E95" s="113"/>
      <c r="F95" s="113" t="s">
        <v>616</v>
      </c>
      <c r="I95" s="57"/>
    </row>
    <row r="96" spans="1:16" x14ac:dyDescent="0.2">
      <c r="A96" s="209"/>
      <c r="E96" s="2"/>
      <c r="I96" s="57"/>
    </row>
    <row r="97" spans="1:12" ht="15.75" x14ac:dyDescent="0.3">
      <c r="A97" s="209" t="s">
        <v>416</v>
      </c>
      <c r="B97" s="301">
        <f>Number_of_Phases*(Buck_CS_threshold/Rs-Iripple_Vinmin/2)</f>
        <v>24.373565699484217</v>
      </c>
      <c r="C97" t="s">
        <v>1</v>
      </c>
      <c r="D97" s="48"/>
      <c r="F97" s="113" t="s">
        <v>418</v>
      </c>
      <c r="I97" s="57"/>
    </row>
    <row r="98" spans="1:12" x14ac:dyDescent="0.2">
      <c r="A98" s="209" t="s">
        <v>446</v>
      </c>
      <c r="B98" s="301">
        <f>Number_of_Phases*(Buck_CS_threshold/Rs-Iripple_Vinnom/2)</f>
        <v>23.890994528367052</v>
      </c>
      <c r="C98" t="s">
        <v>1</v>
      </c>
      <c r="D98" s="48"/>
      <c r="I98" s="57"/>
    </row>
    <row r="99" spans="1:12" x14ac:dyDescent="0.2">
      <c r="A99" s="209" t="s">
        <v>417</v>
      </c>
      <c r="B99" s="301">
        <f>Number_of_Phases*(Buck_CS_threshold/Rs-Iripple_Vinmax/2)</f>
        <v>23.569253609246942</v>
      </c>
      <c r="C99" t="s">
        <v>1</v>
      </c>
      <c r="D99" s="48"/>
      <c r="I99" s="57"/>
    </row>
    <row r="100" spans="1:12" x14ac:dyDescent="0.2">
      <c r="A100" s="209"/>
      <c r="B100" s="48"/>
      <c r="C100"/>
      <c r="D100" s="48"/>
      <c r="I100" s="57"/>
    </row>
    <row r="101" spans="1:12" x14ac:dyDescent="0.2">
      <c r="A101" s="209" t="s">
        <v>620</v>
      </c>
      <c r="B101" s="504">
        <f>SQRT((Iout_OCP_Vinmin/Number_of_Phases)^2+(Iripple_Vinmin^2)/12)</f>
        <v>24.589082114217828</v>
      </c>
      <c r="C101" t="s">
        <v>1</v>
      </c>
      <c r="D101" s="348"/>
      <c r="I101" s="57"/>
    </row>
    <row r="102" spans="1:12" x14ac:dyDescent="0.2">
      <c r="A102" s="209" t="s">
        <v>621</v>
      </c>
      <c r="B102" s="504">
        <f>SQRT((Iout_OCP_Vinnom/Number_of_Phases)^2+(Iripple_Vinnom^2)/12)</f>
        <v>24.149940003485408</v>
      </c>
      <c r="C102" t="s">
        <v>1</v>
      </c>
      <c r="D102" s="348"/>
      <c r="I102" s="57"/>
    </row>
    <row r="103" spans="1:12" x14ac:dyDescent="0.2">
      <c r="A103" s="209" t="s">
        <v>622</v>
      </c>
      <c r="B103" s="504">
        <f>SQRT((Iout_OCP_Vinmax/Number_of_Phases)^2+(Iripple_Vinmax^2)/12)</f>
        <v>23.859894147803644</v>
      </c>
      <c r="C103" t="s">
        <v>1</v>
      </c>
      <c r="D103" s="348"/>
      <c r="I103" s="57"/>
    </row>
    <row r="104" spans="1:12" x14ac:dyDescent="0.2">
      <c r="A104" s="209"/>
      <c r="B104" s="48"/>
      <c r="C104"/>
      <c r="D104" s="48"/>
      <c r="I104" s="57"/>
    </row>
    <row r="105" spans="1:12" x14ac:dyDescent="0.2">
      <c r="A105" s="209" t="s">
        <v>617</v>
      </c>
      <c r="B105" s="504">
        <f>B101^2*Rs</f>
        <v>1.2092459184394941</v>
      </c>
      <c r="C105" s="113" t="s">
        <v>116</v>
      </c>
      <c r="D105" s="348"/>
      <c r="E105" s="113"/>
      <c r="F105" s="113" t="s">
        <v>623</v>
      </c>
      <c r="I105" s="57"/>
    </row>
    <row r="106" spans="1:12" x14ac:dyDescent="0.2">
      <c r="A106" s="209" t="s">
        <v>618</v>
      </c>
      <c r="B106" s="504">
        <f>B102^2*Rs</f>
        <v>1.1664392043438896</v>
      </c>
      <c r="C106" t="s">
        <v>116</v>
      </c>
      <c r="D106" s="348"/>
      <c r="I106" s="57"/>
    </row>
    <row r="107" spans="1:12" x14ac:dyDescent="0.2">
      <c r="A107" s="209" t="s">
        <v>619</v>
      </c>
      <c r="B107" s="504">
        <f>B103^2*Rs</f>
        <v>1.1385890974887891</v>
      </c>
      <c r="C107" t="s">
        <v>116</v>
      </c>
      <c r="D107" s="348"/>
      <c r="I107" s="57"/>
    </row>
    <row r="108" spans="1:12" ht="13.5" thickBot="1" x14ac:dyDescent="0.25">
      <c r="A108" s="60"/>
      <c r="B108" s="61"/>
      <c r="C108" s="61"/>
      <c r="D108" s="61"/>
      <c r="E108" s="117"/>
      <c r="F108" s="61"/>
      <c r="G108" s="61"/>
      <c r="H108" s="61"/>
      <c r="I108" s="62"/>
    </row>
    <row r="110" spans="1:12" ht="16.5" thickBot="1" x14ac:dyDescent="0.3">
      <c r="A110" s="518" t="s">
        <v>139</v>
      </c>
      <c r="D110" s="2"/>
    </row>
    <row r="111" spans="1:12" x14ac:dyDescent="0.2">
      <c r="A111" s="208" t="s">
        <v>307</v>
      </c>
      <c r="B111" s="553">
        <f>Iripple_Vinmin/SQRT(12)</f>
        <v>3.2484233579805299</v>
      </c>
      <c r="C111" s="302" t="s">
        <v>1</v>
      </c>
      <c r="D111" s="618"/>
      <c r="E111" s="302"/>
      <c r="F111" s="116" t="s">
        <v>306</v>
      </c>
      <c r="G111" s="63"/>
      <c r="H111" s="63"/>
      <c r="I111" s="64"/>
      <c r="L111" s="4"/>
    </row>
    <row r="112" spans="1:12" x14ac:dyDescent="0.2">
      <c r="A112" s="209" t="s">
        <v>308</v>
      </c>
      <c r="B112" s="504">
        <f>Iripple_Vinnom/SQRT(12)</f>
        <v>3.5270359535281783</v>
      </c>
      <c r="C112" s="113" t="s">
        <v>1</v>
      </c>
      <c r="D112" s="348"/>
      <c r="E112" s="113"/>
      <c r="F112" s="113"/>
      <c r="I112" s="57"/>
      <c r="L112" s="4"/>
    </row>
    <row r="113" spans="1:12" x14ac:dyDescent="0.2">
      <c r="A113" s="209" t="s">
        <v>309</v>
      </c>
      <c r="B113" s="504">
        <f>Iripple_Vinmax/SQRT(12)</f>
        <v>3.7127931597914912</v>
      </c>
      <c r="C113" s="113" t="s">
        <v>1</v>
      </c>
      <c r="D113" s="348"/>
      <c r="E113" s="113"/>
      <c r="F113" s="113"/>
      <c r="I113" s="57"/>
      <c r="L113" s="4"/>
    </row>
    <row r="114" spans="1:12" x14ac:dyDescent="0.2">
      <c r="A114" s="209" t="s">
        <v>538</v>
      </c>
      <c r="B114" s="504">
        <f>MAX(B111:B113)</f>
        <v>3.7127931597914912</v>
      </c>
      <c r="C114" s="113" t="s">
        <v>1</v>
      </c>
      <c r="D114" s="348"/>
      <c r="E114" s="113"/>
      <c r="F114" s="113"/>
      <c r="I114" s="57"/>
      <c r="L114" s="4"/>
    </row>
    <row r="115" spans="1:12" x14ac:dyDescent="0.2">
      <c r="A115" s="209"/>
      <c r="B115" s="48"/>
      <c r="C115" s="113"/>
      <c r="F115" s="113"/>
      <c r="I115" s="57"/>
      <c r="L115" s="4"/>
    </row>
    <row r="116" spans="1:12" x14ac:dyDescent="0.2">
      <c r="A116" s="209" t="s">
        <v>21</v>
      </c>
      <c r="B116" s="400">
        <f>'Design Regulator'!E33/1000</f>
        <v>0.05</v>
      </c>
      <c r="C116" t="s">
        <v>0</v>
      </c>
      <c r="F116" s="113" t="s">
        <v>419</v>
      </c>
      <c r="I116" s="57"/>
    </row>
    <row r="117" spans="1:12" x14ac:dyDescent="0.2">
      <c r="A117" s="209"/>
      <c r="B117" s="113"/>
      <c r="C117"/>
      <c r="F117" s="113"/>
      <c r="I117" s="57"/>
    </row>
    <row r="118" spans="1:12" x14ac:dyDescent="0.2">
      <c r="A118" s="209" t="s">
        <v>402</v>
      </c>
      <c r="B118" s="399">
        <f>Vo1_ripple*1000</f>
        <v>50</v>
      </c>
      <c r="C118" s="113" t="s">
        <v>281</v>
      </c>
      <c r="D118" s="299"/>
      <c r="E118" s="113"/>
      <c r="F118" s="113" t="s">
        <v>420</v>
      </c>
      <c r="I118" s="57"/>
      <c r="L118" s="4"/>
    </row>
    <row r="119" spans="1:12" x14ac:dyDescent="0.2">
      <c r="A119" s="56"/>
      <c r="B119" s="113"/>
      <c r="F119" s="113"/>
      <c r="I119" s="57"/>
    </row>
    <row r="120" spans="1:12" x14ac:dyDescent="0.2">
      <c r="A120" s="66" t="s">
        <v>22</v>
      </c>
      <c r="B120" s="409">
        <f>Iripple_Vinnom/(Fsw*8*Vo1_ripple)</f>
        <v>8.9838315759308026E-5</v>
      </c>
      <c r="C120" t="s">
        <v>24</v>
      </c>
      <c r="D120" s="507"/>
      <c r="F120" s="113" t="s">
        <v>709</v>
      </c>
      <c r="H120">
        <f>Vo2_ripple</f>
        <v>0</v>
      </c>
      <c r="I120" s="57">
        <v>1</v>
      </c>
      <c r="K120" s="1"/>
    </row>
    <row r="121" spans="1:12" x14ac:dyDescent="0.2">
      <c r="A121" s="209" t="s">
        <v>544</v>
      </c>
      <c r="B121" s="464">
        <f>IF(Cout_min*1000000&lt;2, 2.2,Cout_min*1000000)</f>
        <v>89.838315759308031</v>
      </c>
      <c r="C121" s="42" t="s">
        <v>23</v>
      </c>
      <c r="D121" s="619"/>
      <c r="E121" s="42"/>
      <c r="I121" s="57"/>
      <c r="K121" s="1"/>
    </row>
    <row r="122" spans="1:12" x14ac:dyDescent="0.2">
      <c r="A122" s="209" t="s">
        <v>25</v>
      </c>
      <c r="B122" s="410">
        <f>'Design Regulator'!E35/1000000</f>
        <v>2.0000000000000001E-4</v>
      </c>
      <c r="C122" t="s">
        <v>24</v>
      </c>
      <c r="D122" s="620"/>
      <c r="F122" s="113" t="s">
        <v>708</v>
      </c>
      <c r="I122" s="57">
        <v>1</v>
      </c>
    </row>
    <row r="123" spans="1:12" x14ac:dyDescent="0.2">
      <c r="A123" s="66" t="s">
        <v>48</v>
      </c>
      <c r="B123" s="465">
        <f>SQRT((Vo1_ripple/Iripple_Vinnom)^2-(1/(Fsw*Cout*8))^2)</f>
        <v>3.6562230406597066E-3</v>
      </c>
      <c r="C123" s="210" t="s">
        <v>116</v>
      </c>
      <c r="D123" s="621"/>
      <c r="E123" s="210"/>
      <c r="F123" s="113" t="s">
        <v>234</v>
      </c>
      <c r="I123" s="57">
        <v>1</v>
      </c>
    </row>
    <row r="124" spans="1:12" x14ac:dyDescent="0.2">
      <c r="A124" s="2"/>
      <c r="B124" s="507"/>
      <c r="C124" s="210"/>
      <c r="D124" s="507"/>
      <c r="E124" s="210"/>
      <c r="F124" s="113"/>
      <c r="I124" s="57"/>
    </row>
    <row r="125" spans="1:12" x14ac:dyDescent="0.2">
      <c r="A125" s="462" t="s">
        <v>498</v>
      </c>
      <c r="B125" s="463">
        <f>IF(OR(CoutEsrMax&gt;0.3, CoutEsrMax&lt;0, (ISERROR(CoutEsrMax))), "N/A", CoutEsrMax*1000)</f>
        <v>3.6562230406597065</v>
      </c>
      <c r="C125" s="45" t="s">
        <v>305</v>
      </c>
      <c r="D125" s="622"/>
      <c r="E125" s="45"/>
      <c r="F125" s="113"/>
      <c r="I125" s="57"/>
    </row>
    <row r="126" spans="1:12" x14ac:dyDescent="0.2">
      <c r="A126" s="209" t="s">
        <v>137</v>
      </c>
      <c r="B126" s="400">
        <f>'Design Regulator'!E37/1000</f>
        <v>1E-3</v>
      </c>
      <c r="C126" s="210" t="s">
        <v>116</v>
      </c>
      <c r="D126" s="113"/>
      <c r="E126" s="210"/>
      <c r="F126" s="113" t="s">
        <v>235</v>
      </c>
      <c r="I126" s="57">
        <v>1</v>
      </c>
      <c r="K126" t="b">
        <f>ISERROR(CoutEsrMax)</f>
        <v>0</v>
      </c>
      <c r="L126" t="b">
        <f>ISERROR(B125)</f>
        <v>0</v>
      </c>
    </row>
    <row r="127" spans="1:12" ht="13.5" thickBot="1" x14ac:dyDescent="0.25">
      <c r="A127" s="368" t="s">
        <v>191</v>
      </c>
      <c r="B127" s="401">
        <f>Iripple_Vinnom*SQRT(Cout_ESR^2+(1/(8*Fsw*Cout))^2)</f>
        <v>2.5567801578627869E-2</v>
      </c>
      <c r="C127" s="104" t="s">
        <v>39</v>
      </c>
      <c r="D127" s="623"/>
      <c r="E127" s="104"/>
      <c r="F127" s="61"/>
      <c r="G127" s="61"/>
      <c r="H127" s="61"/>
      <c r="I127" s="62"/>
      <c r="L127" t="b">
        <f>OR(CoutEsrMax&gt;0.3,CoutEsrMax&lt;0)</f>
        <v>0</v>
      </c>
    </row>
    <row r="128" spans="1:12" x14ac:dyDescent="0.2">
      <c r="K128" t="b">
        <f>OR(TRUE, FALSE, TRUE)</f>
        <v>1</v>
      </c>
    </row>
    <row r="129" spans="1:16" ht="16.5" thickBot="1" x14ac:dyDescent="0.3">
      <c r="A129" s="518" t="s">
        <v>140</v>
      </c>
    </row>
    <row r="130" spans="1:16" ht="15.75" x14ac:dyDescent="0.25">
      <c r="A130" s="94"/>
      <c r="B130" s="95"/>
      <c r="C130" s="304"/>
      <c r="D130" s="95"/>
      <c r="E130" s="95"/>
      <c r="F130" s="95"/>
      <c r="G130" s="95"/>
      <c r="H130" s="95"/>
      <c r="I130" s="96"/>
      <c r="K130" s="2" t="s">
        <v>729</v>
      </c>
    </row>
    <row r="131" spans="1:16" x14ac:dyDescent="0.2">
      <c r="A131" s="209" t="s">
        <v>536</v>
      </c>
      <c r="B131" s="111">
        <f>SQRT(D1_Vinmin_2*(Iout^2*(1-D1_Vinmin_2)+Iripple_Vinmin^2/12))</f>
        <v>2.9031451960025416</v>
      </c>
      <c r="C131" s="92" t="s">
        <v>1</v>
      </c>
      <c r="D131" s="508">
        <f>D1_Vinmax</f>
        <v>0.2</v>
      </c>
      <c r="E131" s="92"/>
      <c r="F131" s="2" t="s">
        <v>730</v>
      </c>
      <c r="G131" s="348"/>
      <c r="H131" s="115"/>
      <c r="I131" s="98"/>
      <c r="K131" s="595" t="e">
        <f>SQRT(Iout^2*D1_Vinmin*(1-D1_Vinmin)+Iout2^2*D2_Vinmin*(1-D2_Vinmin)-2*Iout*Iout2*D1_Vinmin*D2_Vinmin)</f>
        <v>#NAME?</v>
      </c>
      <c r="L131" s="92" t="s">
        <v>1</v>
      </c>
      <c r="M131" s="296" t="e">
        <f>SQRT(Iout^2*D1_Vinmin*(1-D1_Vinmin)+Iout2^2*D2_Vinmin*(1-D2_Vinmin)-2*Iout*Iout2*(0.5-D2_Vinmin*(1-D1_Vinmin)))</f>
        <v>#NAME?</v>
      </c>
      <c r="N131" t="s">
        <v>1</v>
      </c>
    </row>
    <row r="132" spans="1:16" x14ac:dyDescent="0.2">
      <c r="A132" s="209" t="s">
        <v>537</v>
      </c>
      <c r="B132" s="111">
        <f>SQRT(D1_Vinnom_2*(Iout^2*(1-D1_Vinnom_2)+Iripple_Vinnom^2/12))</f>
        <v>2.7492467783422132</v>
      </c>
      <c r="C132" s="92" t="s">
        <v>1</v>
      </c>
      <c r="D132" s="508">
        <f>D1_Vinmin</f>
        <v>0.3</v>
      </c>
      <c r="E132" s="92"/>
      <c r="G132" s="348"/>
      <c r="I132" s="98"/>
      <c r="K132" s="296" t="e">
        <f>SQRT(Iout^2*D1_Vinnom*(1-D1_Vinnom)+Iout2^2*D2_Vinnom*(1-D2_Vinnom)-2*Iout*Iout2*D1_Vinnom*D2_Vinnom)</f>
        <v>#NAME?</v>
      </c>
      <c r="L132" s="92" t="s">
        <v>1</v>
      </c>
    </row>
    <row r="133" spans="1:16" x14ac:dyDescent="0.2">
      <c r="A133" s="209" t="s">
        <v>728</v>
      </c>
      <c r="B133" s="111">
        <f>SQRT(D1_Vinmax_2*(Iout^2*(1-D1_Vinmax_2)+Iripple_Vinmax^2/12))</f>
        <v>2.6017674013673786</v>
      </c>
      <c r="C133" s="92" t="s">
        <v>1</v>
      </c>
      <c r="D133" s="508"/>
      <c r="E133" s="92"/>
      <c r="G133" s="348"/>
      <c r="I133" s="98"/>
      <c r="K133" s="296" t="e">
        <f>SQRT(Iout^2*D1_Vinmax*(1-D1_Vinmax)+Iout2^2*D2_Vinmax*(1-D2_Vinmax)-2*Iout*Iout2*D1_Vinmax*D2_Vinmax)</f>
        <v>#NAME?</v>
      </c>
      <c r="L133" s="92" t="s">
        <v>1</v>
      </c>
    </row>
    <row r="134" spans="1:16" x14ac:dyDescent="0.2">
      <c r="A134" s="113" t="s">
        <v>733</v>
      </c>
      <c r="B134" s="296">
        <f>Iout*SQRT((D1_Vinmin-F136/Number_of_Phases)*((F136+1)/Number_of_Phases-D1_Vinmin))</f>
        <v>2.2912878474779199</v>
      </c>
      <c r="C134" t="s">
        <v>1</v>
      </c>
      <c r="I134" s="98"/>
      <c r="K134" s="596" t="e">
        <f>MAX(K131:K133)</f>
        <v>#NAME?</v>
      </c>
      <c r="L134" s="42" t="s">
        <v>1</v>
      </c>
    </row>
    <row r="135" spans="1:16" x14ac:dyDescent="0.2">
      <c r="A135" s="209" t="s">
        <v>542</v>
      </c>
      <c r="B135" s="111">
        <f>MAX(B131:B133)</f>
        <v>2.9031451960025416</v>
      </c>
      <c r="C135" s="42" t="s">
        <v>1</v>
      </c>
      <c r="D135" s="2"/>
      <c r="F135">
        <f>Number_of_Phases*D1_Vinnom</f>
        <v>0.24</v>
      </c>
      <c r="G135" t="s">
        <v>731</v>
      </c>
      <c r="I135" s="98"/>
      <c r="K135" s="596"/>
      <c r="L135" s="42"/>
      <c r="P135" s="4"/>
    </row>
    <row r="136" spans="1:16" x14ac:dyDescent="0.2">
      <c r="D136" s="2"/>
      <c r="F136">
        <f>FLOOR(Number_of_Phases*D1_Vinnom,1)</f>
        <v>0</v>
      </c>
      <c r="G136" t="s">
        <v>732</v>
      </c>
      <c r="I136" s="98"/>
      <c r="K136" s="596"/>
      <c r="L136" s="42"/>
      <c r="P136" s="4"/>
    </row>
    <row r="137" spans="1:16" x14ac:dyDescent="0.2">
      <c r="A137" s="113" t="s">
        <v>735</v>
      </c>
      <c r="B137">
        <f>Iout/2/Number_of_Phases</f>
        <v>2.5</v>
      </c>
      <c r="C137" s="113" t="s">
        <v>1</v>
      </c>
      <c r="I137" s="98"/>
      <c r="K137" s="596"/>
      <c r="L137" s="42"/>
      <c r="P137" s="4"/>
    </row>
    <row r="138" spans="1:16" x14ac:dyDescent="0.2">
      <c r="A138" s="113" t="s">
        <v>734</v>
      </c>
      <c r="B138" s="598">
        <f>IF(D1_Vinmin&lt;0.5, B135, B137)</f>
        <v>2.9031451960025416</v>
      </c>
      <c r="C138" s="42" t="s">
        <v>1</v>
      </c>
      <c r="D138" s="2" t="s">
        <v>565</v>
      </c>
      <c r="I138" s="98"/>
      <c r="K138" s="596"/>
      <c r="L138" s="42"/>
      <c r="P138" s="4"/>
    </row>
    <row r="139" spans="1:16" x14ac:dyDescent="0.2">
      <c r="A139" s="113"/>
      <c r="B139" s="597"/>
      <c r="C139" s="42"/>
      <c r="D139" s="2"/>
      <c r="I139" s="98"/>
      <c r="K139" s="596"/>
      <c r="L139" s="42"/>
      <c r="P139" s="4"/>
    </row>
    <row r="140" spans="1:16" x14ac:dyDescent="0.2">
      <c r="A140" s="97" t="s">
        <v>217</v>
      </c>
      <c r="B140" s="305">
        <f>'Design Regulator'!E42/1000</f>
        <v>0.4</v>
      </c>
      <c r="C140" t="s">
        <v>39</v>
      </c>
      <c r="F140" s="113" t="s">
        <v>543</v>
      </c>
      <c r="I140" s="98"/>
    </row>
    <row r="141" spans="1:16" x14ac:dyDescent="0.2">
      <c r="C141"/>
      <c r="F141" s="113"/>
      <c r="I141" s="98"/>
    </row>
    <row r="142" spans="1:16" x14ac:dyDescent="0.2">
      <c r="A142" s="462" t="s">
        <v>909</v>
      </c>
      <c r="B142" s="515">
        <f>Iout/Number_of_Phases*D1_Vinmin*(1-D1_Vinmin)/(Vinripple1*Fsw)</f>
        <v>7.720588235294117E-6</v>
      </c>
      <c r="C142" s="42" t="s">
        <v>24</v>
      </c>
      <c r="G142" s="348"/>
      <c r="I142" s="98"/>
    </row>
    <row r="143" spans="1:16" x14ac:dyDescent="0.2">
      <c r="A143" s="462" t="s">
        <v>911</v>
      </c>
      <c r="B143" s="515">
        <f>Iout/Number_of_Phases*D1_Vinnom*(1-D1_Vinnom)/(Vinripple1*Fsw)</f>
        <v>6.7058823529411755E-6</v>
      </c>
      <c r="C143" s="42" t="s">
        <v>24</v>
      </c>
      <c r="G143" s="348"/>
      <c r="I143" s="98"/>
    </row>
    <row r="144" spans="1:16" x14ac:dyDescent="0.2">
      <c r="A144" s="462" t="s">
        <v>552</v>
      </c>
      <c r="B144" s="515">
        <f>Iout/Number_of_Phases*D1_Vinmax*(1-D1_Vinmax)/(Vinripple1*Fsw)</f>
        <v>5.8823529411764709E-6</v>
      </c>
      <c r="C144" s="92" t="s">
        <v>24</v>
      </c>
      <c r="F144" s="113" t="s">
        <v>560</v>
      </c>
      <c r="I144" s="98"/>
      <c r="K144" s="8"/>
    </row>
    <row r="145" spans="1:11" x14ac:dyDescent="0.2">
      <c r="F145" s="113"/>
      <c r="I145" s="98"/>
      <c r="K145" s="8"/>
    </row>
    <row r="146" spans="1:11" x14ac:dyDescent="0.2">
      <c r="A146" s="462" t="s">
        <v>556</v>
      </c>
      <c r="B146" s="516">
        <f>Iout*0.5*(1-0.5)/(Vinripple1*Fsw)</f>
        <v>9.1911764705882345E-6</v>
      </c>
      <c r="C146" s="42" t="s">
        <v>24</v>
      </c>
      <c r="F146" s="113" t="s">
        <v>553</v>
      </c>
      <c r="G146" s="30"/>
      <c r="I146" s="98"/>
      <c r="K146" s="8"/>
    </row>
    <row r="147" spans="1:11" x14ac:dyDescent="0.2">
      <c r="A147" s="462" t="s">
        <v>216</v>
      </c>
      <c r="B147" s="30">
        <f>IF(VIN_min&gt;2*Vout, B142,B146)</f>
        <v>7.720588235294117E-6</v>
      </c>
      <c r="C147" s="42" t="s">
        <v>24</v>
      </c>
      <c r="D147">
        <f>(VIN_min+VIN_max)/2</f>
        <v>50</v>
      </c>
      <c r="G147" s="30"/>
      <c r="I147" s="98"/>
      <c r="K147" s="8"/>
    </row>
    <row r="148" spans="1:11" x14ac:dyDescent="0.2">
      <c r="A148" s="462" t="s">
        <v>497</v>
      </c>
      <c r="B148" s="594">
        <f>IF(Cinmin*1000000&lt;2.2, 2.2,Cinmin*1000000)</f>
        <v>7.7205882352941169</v>
      </c>
      <c r="C148" s="42" t="s">
        <v>23</v>
      </c>
      <c r="D148">
        <f>2*Vout</f>
        <v>24</v>
      </c>
      <c r="F148" s="113" t="s">
        <v>565</v>
      </c>
      <c r="I148" s="98"/>
    </row>
    <row r="149" spans="1:11" x14ac:dyDescent="0.2">
      <c r="A149" s="462"/>
      <c r="B149" s="42"/>
      <c r="C149" s="42"/>
      <c r="F149" s="113"/>
      <c r="I149" s="98"/>
    </row>
    <row r="150" spans="1:11" x14ac:dyDescent="0.2">
      <c r="A150" s="99" t="s">
        <v>57</v>
      </c>
      <c r="B150" s="411">
        <f>'Design Regulator'!E44/1000000</f>
        <v>3.0000000000000001E-5</v>
      </c>
      <c r="C150" s="92" t="s">
        <v>24</v>
      </c>
      <c r="F150" t="s">
        <v>146</v>
      </c>
      <c r="I150" s="98"/>
    </row>
    <row r="151" spans="1:11" x14ac:dyDescent="0.2">
      <c r="A151" s="462" t="s">
        <v>943</v>
      </c>
      <c r="B151" s="297">
        <f>-(Iout/Number_of_Phases*D1_Vinmin*(1-D1_Vinmin)/(Cin*Fsw)-Vinripple1)/(Iout/Number_of_Phases+Iripple_Vinmin/2)</f>
        <v>2.7954703819605162E-2</v>
      </c>
      <c r="C151" s="210" t="s">
        <v>116</v>
      </c>
      <c r="I151" s="98"/>
    </row>
    <row r="152" spans="1:11" x14ac:dyDescent="0.2">
      <c r="A152" s="462" t="s">
        <v>554</v>
      </c>
      <c r="B152" s="297">
        <f>-(Iout/Number_of_Phases*D1_Vinmax*(1-D1_Vinmax)/(Cin*Fsw)-Vinripple1)/(Iout/Number_of_Phases+Iripple_Vinmax/2)</f>
        <v>2.8131901142616069E-2</v>
      </c>
      <c r="C152" s="210" t="s">
        <v>116</v>
      </c>
      <c r="I152" s="98"/>
    </row>
    <row r="153" spans="1:11" x14ac:dyDescent="0.2">
      <c r="A153" s="462" t="s">
        <v>555</v>
      </c>
      <c r="B153" s="297">
        <f>-(Iout/Number_of_Phases*0.5*(1-0.5)/(Cin*Fsw)-Vinripple1)/(Iout/Number_of_Phases+Iripple_Vinmax/2)</f>
        <v>2.4272341534635207E-2</v>
      </c>
      <c r="C153" s="210" t="s">
        <v>116</v>
      </c>
      <c r="F153" s="113" t="s">
        <v>561</v>
      </c>
      <c r="I153" s="98"/>
    </row>
    <row r="154" spans="1:11" x14ac:dyDescent="0.2">
      <c r="A154" s="462" t="s">
        <v>218</v>
      </c>
      <c r="B154" s="297">
        <f>IF(VIN_min&gt;2*Vout, B151,B153)</f>
        <v>2.7954703819605162E-2</v>
      </c>
      <c r="C154" s="210" t="s">
        <v>116</v>
      </c>
      <c r="I154" s="98"/>
    </row>
    <row r="155" spans="1:11" x14ac:dyDescent="0.2">
      <c r="A155" s="462" t="s">
        <v>499</v>
      </c>
      <c r="B155" s="506">
        <f>IF(OR(CinEsrMax&gt;0.3, CinEsrMax&lt;0), "N/A",CinEsrMax*1000)</f>
        <v>27.954703819605161</v>
      </c>
      <c r="C155" s="45" t="s">
        <v>305</v>
      </c>
      <c r="F155" t="s">
        <v>565</v>
      </c>
      <c r="I155" s="98"/>
    </row>
    <row r="156" spans="1:11" x14ac:dyDescent="0.2">
      <c r="A156" s="99" t="s">
        <v>86</v>
      </c>
      <c r="B156" s="93">
        <f>'Design Regulator'!E46/1000</f>
        <v>1E-3</v>
      </c>
      <c r="C156" s="210" t="s">
        <v>116</v>
      </c>
      <c r="F156" s="113" t="s">
        <v>236</v>
      </c>
      <c r="I156" s="98"/>
    </row>
    <row r="157" spans="1:11" x14ac:dyDescent="0.2">
      <c r="F157" s="113"/>
      <c r="I157" s="98"/>
      <c r="K157" s="300"/>
    </row>
    <row r="158" spans="1:11" x14ac:dyDescent="0.2">
      <c r="A158" s="462" t="s">
        <v>910</v>
      </c>
      <c r="B158" s="380">
        <f>Iout/Number_of_Phases*D1_Vinmin_2*(1-D1_Vinmin_2)/(Cin*Fsw)+(Iout/Number_of_Phases +Iripple_Vinmin/2)*RCinEsr</f>
        <v>0.11368749498510718</v>
      </c>
      <c r="C158" s="92" t="s">
        <v>39</v>
      </c>
      <c r="F158" s="113"/>
      <c r="I158" s="98"/>
      <c r="K158" s="300"/>
    </row>
    <row r="159" spans="1:11" x14ac:dyDescent="0.2">
      <c r="A159" s="462" t="s">
        <v>912</v>
      </c>
      <c r="B159" s="380">
        <f>Iout/Number_of_Phases*D1_Vinnom_2*(1-D1_Vinnom_2)/(Cin*Fsw)+(Iout/Number_of_Phases +Iripple_Vinnom/2)*RCinEsr</f>
        <v>0.10064858189281474</v>
      </c>
      <c r="C159" s="92" t="s">
        <v>39</v>
      </c>
      <c r="I159" s="98"/>
    </row>
    <row r="160" spans="1:11" x14ac:dyDescent="0.2">
      <c r="A160" s="462" t="s">
        <v>557</v>
      </c>
      <c r="B160" s="380">
        <f>Iout/Number_of_Phases*D1_Vinmax_2*(1-D1_Vinmax_2)/(Cin*Fsw)+(Iout/Number_of_Phases +Iripple_Vinmax/2)*RCinEsr</f>
        <v>8.9987009597750814E-2</v>
      </c>
      <c r="C160" s="92" t="s">
        <v>39</v>
      </c>
      <c r="I160" s="98"/>
    </row>
    <row r="161" spans="1:9" x14ac:dyDescent="0.2">
      <c r="A161" s="462" t="s">
        <v>558</v>
      </c>
      <c r="B161" s="380">
        <f>Iout/Number_of_Phases*0.5*(1-0.5)/(Cin*Fsw)+(Iout/Number_of_Phases +Iripple_Vinmax/2)*RCinEsr</f>
        <v>0.13397976599859618</v>
      </c>
      <c r="C161" s="92" t="s">
        <v>39</v>
      </c>
      <c r="F161" s="113" t="s">
        <v>559</v>
      </c>
      <c r="I161" s="98"/>
    </row>
    <row r="162" spans="1:9" x14ac:dyDescent="0.2">
      <c r="A162" s="462" t="s">
        <v>219</v>
      </c>
      <c r="B162" s="380">
        <f>IF(D1_Vinmin&lt;0.5, B158,B161)</f>
        <v>0.11368749498510718</v>
      </c>
      <c r="C162" s="92" t="s">
        <v>39</v>
      </c>
      <c r="F162" s="113" t="s">
        <v>564</v>
      </c>
      <c r="I162" s="98"/>
    </row>
    <row r="163" spans="1:9" x14ac:dyDescent="0.2">
      <c r="A163" s="99"/>
      <c r="B163" s="517"/>
      <c r="C163" s="92"/>
      <c r="I163" s="98"/>
    </row>
    <row r="164" spans="1:9" ht="13.5" thickBot="1" x14ac:dyDescent="0.25">
      <c r="A164" s="100"/>
      <c r="B164" s="381">
        <f>Iout*D1_Vinmin_2*(1-D1_Vinmin_2)/(Cin*Fsw)</f>
        <v>0.10306106068459139</v>
      </c>
      <c r="C164" s="306" t="s">
        <v>39</v>
      </c>
      <c r="D164" s="101"/>
      <c r="E164" s="102"/>
      <c r="F164" s="102"/>
      <c r="G164" s="102"/>
      <c r="H164" s="102"/>
      <c r="I164" s="103"/>
    </row>
    <row r="166" spans="1:9" ht="16.5" thickBot="1" x14ac:dyDescent="0.3">
      <c r="A166" s="509" t="s">
        <v>563</v>
      </c>
    </row>
    <row r="167" spans="1:9" x14ac:dyDescent="0.2">
      <c r="A167" s="89" t="s">
        <v>148</v>
      </c>
      <c r="B167" s="12">
        <f>'Design Regulator'!E51/1000</f>
        <v>0</v>
      </c>
      <c r="C167" s="63" t="s">
        <v>133</v>
      </c>
      <c r="D167" s="116" t="s">
        <v>422</v>
      </c>
      <c r="E167" s="63"/>
      <c r="F167" s="63"/>
      <c r="G167" s="63"/>
      <c r="H167" s="63"/>
      <c r="I167" s="64"/>
    </row>
    <row r="168" spans="1:9" x14ac:dyDescent="0.2">
      <c r="A168" s="56" t="s">
        <v>149</v>
      </c>
      <c r="B168" s="68" t="e">
        <f>Cout*Vout/Tss</f>
        <v>#DIV/0!</v>
      </c>
      <c r="C168" t="s">
        <v>1</v>
      </c>
      <c r="D168" s="113" t="s">
        <v>421</v>
      </c>
      <c r="I168" s="57"/>
    </row>
    <row r="169" spans="1:9" x14ac:dyDescent="0.2">
      <c r="A169" s="56" t="s">
        <v>150</v>
      </c>
      <c r="B169" s="412">
        <f>0.000022*Tss/1.2</f>
        <v>0</v>
      </c>
      <c r="C169" t="s">
        <v>24</v>
      </c>
      <c r="I169" s="57"/>
    </row>
    <row r="170" spans="1:9" ht="13.5" thickBot="1" x14ac:dyDescent="0.25">
      <c r="A170" s="60" t="s">
        <v>161</v>
      </c>
      <c r="B170" s="413">
        <f>'Standard Value Calculator'!B4</f>
        <v>0</v>
      </c>
      <c r="C170" s="61" t="s">
        <v>24</v>
      </c>
      <c r="D170" s="61"/>
      <c r="E170" s="61"/>
      <c r="F170" s="61"/>
      <c r="G170" s="61"/>
      <c r="H170" s="61"/>
      <c r="I170" s="62"/>
    </row>
    <row r="172" spans="1:9" ht="16.5" thickBot="1" x14ac:dyDescent="0.3">
      <c r="A172" s="509" t="s">
        <v>628</v>
      </c>
    </row>
    <row r="173" spans="1:9" ht="12.75" customHeight="1" x14ac:dyDescent="0.2">
      <c r="A173" s="208" t="s">
        <v>629</v>
      </c>
      <c r="B173" s="555">
        <f>'Design Regulator'!E54/1000</f>
        <v>0.02</v>
      </c>
      <c r="C173" s="63" t="s">
        <v>133</v>
      </c>
      <c r="D173" s="116" t="s">
        <v>633</v>
      </c>
      <c r="E173" s="63"/>
      <c r="F173" s="63"/>
      <c r="G173" s="63"/>
      <c r="H173" s="63"/>
      <c r="I173" s="64"/>
    </row>
    <row r="174" spans="1:9" ht="12.75" customHeight="1" x14ac:dyDescent="0.2">
      <c r="A174" s="209" t="s">
        <v>630</v>
      </c>
      <c r="B174" s="412">
        <f>0.00002*Tres/1.2</f>
        <v>3.3333333333333335E-7</v>
      </c>
      <c r="C174" t="s">
        <v>24</v>
      </c>
      <c r="I174" s="57"/>
    </row>
    <row r="175" spans="1:9" ht="12.75" customHeight="1" x14ac:dyDescent="0.2">
      <c r="A175" s="209" t="s">
        <v>631</v>
      </c>
      <c r="B175" s="556">
        <f>'Standard Value Calculator'!G4</f>
        <v>3.3000000000000002E-7</v>
      </c>
      <c r="C175" t="s">
        <v>24</v>
      </c>
      <c r="F175" s="45"/>
      <c r="G175" s="44"/>
      <c r="H175" s="44"/>
      <c r="I175" s="57"/>
    </row>
    <row r="176" spans="1:9" ht="12.75" customHeight="1" x14ac:dyDescent="0.2">
      <c r="B176" s="44"/>
      <c r="C176"/>
      <c r="I176" s="57"/>
    </row>
    <row r="177" spans="1:9" ht="12.75" customHeight="1" x14ac:dyDescent="0.3">
      <c r="A177" s="209" t="s">
        <v>632</v>
      </c>
      <c r="B177" s="44">
        <v>100</v>
      </c>
      <c r="C177" s="45" t="s">
        <v>237</v>
      </c>
      <c r="I177" s="57"/>
    </row>
    <row r="178" spans="1:9" ht="12.75" customHeight="1" x14ac:dyDescent="0.3">
      <c r="A178" s="209" t="s">
        <v>637</v>
      </c>
      <c r="B178" s="44"/>
      <c r="C178" s="210" t="s">
        <v>116</v>
      </c>
      <c r="E178" s="113" t="s">
        <v>638</v>
      </c>
      <c r="I178" s="57"/>
    </row>
    <row r="179" spans="1:9" ht="12.75" customHeight="1" x14ac:dyDescent="0.2">
      <c r="A179" s="538" t="s">
        <v>635</v>
      </c>
      <c r="B179" s="44"/>
      <c r="C179" s="210" t="s">
        <v>116</v>
      </c>
      <c r="D179" s="366"/>
      <c r="E179" s="113" t="s">
        <v>636</v>
      </c>
      <c r="I179" s="57"/>
    </row>
    <row r="180" spans="1:9" ht="12.75" customHeight="1" x14ac:dyDescent="0.2">
      <c r="A180" s="538" t="s">
        <v>634</v>
      </c>
      <c r="B180" s="44"/>
      <c r="C180" s="210" t="s">
        <v>116</v>
      </c>
      <c r="D180" s="366"/>
      <c r="E180" s="113" t="s">
        <v>593</v>
      </c>
      <c r="I180" s="57"/>
    </row>
    <row r="181" spans="1:9" ht="12.75" customHeight="1" x14ac:dyDescent="0.2">
      <c r="A181" s="696"/>
      <c r="B181" s="44"/>
      <c r="C181" s="210"/>
      <c r="D181" s="366"/>
      <c r="E181" s="113"/>
      <c r="I181" s="57"/>
    </row>
    <row r="182" spans="1:9" ht="12.75" customHeight="1" x14ac:dyDescent="0.2">
      <c r="A182" s="696" t="s">
        <v>859</v>
      </c>
      <c r="B182" s="697">
        <v>1.0000000000000001E-5</v>
      </c>
      <c r="C182" s="210" t="s">
        <v>1</v>
      </c>
      <c r="D182" s="366"/>
      <c r="E182" s="113" t="s">
        <v>860</v>
      </c>
      <c r="I182" s="57"/>
    </row>
    <row r="183" spans="1:9" x14ac:dyDescent="0.2">
      <c r="A183" s="696" t="s">
        <v>861</v>
      </c>
      <c r="B183" s="698">
        <f>'Design Regulator'!E53</f>
        <v>22</v>
      </c>
      <c r="C183" s="210"/>
      <c r="D183" s="366"/>
      <c r="E183" s="113"/>
      <c r="I183" s="57"/>
    </row>
    <row r="184" spans="1:9" ht="12.75" customHeight="1" x14ac:dyDescent="0.2">
      <c r="A184" s="696" t="s">
        <v>862</v>
      </c>
      <c r="B184" s="698">
        <f>'Design Regulator'!E53-'Design Regulator'!E54</f>
        <v>2</v>
      </c>
      <c r="C184" s="210"/>
      <c r="D184" s="366"/>
      <c r="E184" s="113"/>
      <c r="I184" s="57"/>
    </row>
    <row r="185" spans="1:9" ht="12.75" customHeight="1" x14ac:dyDescent="0.2">
      <c r="A185" s="696"/>
      <c r="B185" s="44"/>
      <c r="C185" s="210"/>
      <c r="D185" s="366"/>
      <c r="E185" s="113"/>
      <c r="I185" s="57"/>
    </row>
    <row r="186" spans="1:9" ht="12.75" customHeight="1" x14ac:dyDescent="0.2">
      <c r="A186" s="696" t="s">
        <v>863</v>
      </c>
      <c r="B186" s="596">
        <f>B184/B182</f>
        <v>199999.99999999997</v>
      </c>
      <c r="C186" s="210" t="s">
        <v>116</v>
      </c>
      <c r="D186" s="366"/>
      <c r="E186" s="113"/>
      <c r="I186" s="57"/>
    </row>
    <row r="187" spans="1:9" ht="12.75" customHeight="1" x14ac:dyDescent="0.2">
      <c r="A187" s="696" t="s">
        <v>864</v>
      </c>
      <c r="B187" s="44">
        <f>B186/(B183-1)</f>
        <v>9523.8095238095229</v>
      </c>
      <c r="C187" s="210" t="s">
        <v>116</v>
      </c>
      <c r="D187" s="366"/>
      <c r="E187" s="113"/>
      <c r="I187" s="57"/>
    </row>
    <row r="188" spans="1:9" ht="12.75" customHeight="1" x14ac:dyDescent="0.2">
      <c r="A188" s="696" t="s">
        <v>865</v>
      </c>
      <c r="B188" s="44">
        <f>'Standard Value Calculator'!S40</f>
        <v>200</v>
      </c>
      <c r="C188" s="45" t="s">
        <v>237</v>
      </c>
      <c r="D188" s="366"/>
      <c r="E188" s="113"/>
      <c r="I188" s="57"/>
    </row>
    <row r="189" spans="1:9" ht="12.75" customHeight="1" x14ac:dyDescent="0.2">
      <c r="A189" s="696" t="s">
        <v>866</v>
      </c>
      <c r="B189" s="44">
        <f>'Standard Value Calculator'!S41</f>
        <v>9.5299999999999994</v>
      </c>
      <c r="C189" s="45" t="s">
        <v>237</v>
      </c>
      <c r="D189" s="366"/>
      <c r="E189" s="113"/>
      <c r="I189" s="57"/>
    </row>
    <row r="190" spans="1:9" ht="12.75" customHeight="1" x14ac:dyDescent="0.2">
      <c r="A190" s="209"/>
      <c r="B190" s="44"/>
      <c r="C190" s="210"/>
      <c r="I190" s="57"/>
    </row>
    <row r="191" spans="1:9" ht="12.75" customHeight="1" x14ac:dyDescent="0.2">
      <c r="A191" s="209" t="s">
        <v>529</v>
      </c>
      <c r="B191" s="379">
        <f>'Design Regulator'!E57*1000</f>
        <v>41200</v>
      </c>
      <c r="C191" s="113" t="s">
        <v>9</v>
      </c>
      <c r="I191" s="57"/>
    </row>
    <row r="192" spans="1:9" ht="12.75" customHeight="1" x14ac:dyDescent="0.2">
      <c r="A192" s="209" t="s">
        <v>311</v>
      </c>
      <c r="B192" s="378">
        <f>10*10^-6/Fdither/0.12</f>
        <v>2.0226537216828479E-9</v>
      </c>
      <c r="C192" s="113" t="s">
        <v>24</v>
      </c>
      <c r="I192" s="57"/>
    </row>
    <row r="193" spans="1:9" ht="12.75" customHeight="1" x14ac:dyDescent="0.2">
      <c r="A193" s="209" t="s">
        <v>312</v>
      </c>
      <c r="B193" s="378">
        <f>'Standard Value Calculator'!S21</f>
        <v>2.1999999999999998E-9</v>
      </c>
      <c r="C193" s="113" t="s">
        <v>24</v>
      </c>
      <c r="I193" s="57"/>
    </row>
    <row r="194" spans="1:9" ht="12.75" customHeight="1" thickBot="1" x14ac:dyDescent="0.25">
      <c r="A194" s="60"/>
      <c r="B194" s="70"/>
      <c r="C194" s="286"/>
      <c r="D194" s="61"/>
      <c r="E194" s="61"/>
      <c r="F194" s="61"/>
      <c r="G194" s="61"/>
      <c r="H194" s="61"/>
      <c r="I194" s="62"/>
    </row>
    <row r="195" spans="1:9" x14ac:dyDescent="0.2">
      <c r="B195" s="44"/>
      <c r="C195" s="287"/>
    </row>
    <row r="196" spans="1:9" ht="16.5" thickBot="1" x14ac:dyDescent="0.3">
      <c r="A196" s="509" t="s">
        <v>562</v>
      </c>
    </row>
    <row r="197" spans="1:9" x14ac:dyDescent="0.2">
      <c r="A197" s="361" t="s">
        <v>38</v>
      </c>
      <c r="B197" s="362">
        <v>3.1415926500000002</v>
      </c>
      <c r="C197" s="363"/>
      <c r="D197" s="364" t="s">
        <v>364</v>
      </c>
      <c r="E197" s="63"/>
      <c r="F197" s="63"/>
      <c r="G197" s="63"/>
      <c r="H197" s="63"/>
      <c r="I197" s="64"/>
    </row>
    <row r="198" spans="1:9" x14ac:dyDescent="0.2">
      <c r="A198" s="113" t="s">
        <v>374</v>
      </c>
      <c r="B198" s="113">
        <v>10</v>
      </c>
      <c r="C198" s="46"/>
      <c r="D198" s="210"/>
      <c r="I198" s="57"/>
    </row>
    <row r="199" spans="1:9" x14ac:dyDescent="0.2">
      <c r="A199" s="113" t="s">
        <v>353</v>
      </c>
      <c r="B199">
        <f>Rs*CSAmp_gain</f>
        <v>0.02</v>
      </c>
      <c r="C199" s="210" t="s">
        <v>116</v>
      </c>
      <c r="E199" s="210"/>
      <c r="F199" s="113" t="s">
        <v>369</v>
      </c>
      <c r="I199" s="57"/>
    </row>
    <row r="200" spans="1:9" x14ac:dyDescent="0.2">
      <c r="A200" s="113" t="s">
        <v>334</v>
      </c>
      <c r="B200" s="557">
        <f>IF(COMP_TYPE=1,0.00003,0.0012)</f>
        <v>1.1999999999999999E-3</v>
      </c>
      <c r="C200" s="113" t="s">
        <v>66</v>
      </c>
      <c r="F200" s="113" t="s">
        <v>354</v>
      </c>
      <c r="I200" s="57"/>
    </row>
    <row r="201" spans="1:9" x14ac:dyDescent="0.2">
      <c r="A201" s="113"/>
      <c r="B201" s="113"/>
      <c r="C201" s="113"/>
      <c r="F201" s="113"/>
      <c r="I201" s="57"/>
    </row>
    <row r="202" spans="1:9" x14ac:dyDescent="0.2">
      <c r="A202" s="113" t="s">
        <v>438</v>
      </c>
      <c r="B202" s="539">
        <f>B206/Ri*1000</f>
        <v>3863636.3636363628</v>
      </c>
      <c r="C202" s="477" t="s">
        <v>355</v>
      </c>
      <c r="D202" s="539"/>
      <c r="E202" s="477"/>
      <c r="F202" s="477" t="s">
        <v>375</v>
      </c>
      <c r="H202" s="4"/>
      <c r="I202" s="57"/>
    </row>
    <row r="203" spans="1:9" x14ac:dyDescent="0.2">
      <c r="A203" s="113" t="s">
        <v>356</v>
      </c>
      <c r="B203" s="539">
        <f>(Vin-Vout)/Lf</f>
        <v>17272727.272727273</v>
      </c>
      <c r="C203" s="477" t="s">
        <v>355</v>
      </c>
      <c r="D203" s="539"/>
      <c r="E203" s="477"/>
      <c r="F203" s="477" t="s">
        <v>357</v>
      </c>
      <c r="H203" s="4"/>
      <c r="I203" s="57"/>
    </row>
    <row r="204" spans="1:9" x14ac:dyDescent="0.2">
      <c r="A204" s="113" t="s">
        <v>373</v>
      </c>
      <c r="B204" s="539">
        <f>Vout/Lf</f>
        <v>5454545.4545454541</v>
      </c>
      <c r="C204" s="477" t="s">
        <v>355</v>
      </c>
      <c r="D204" s="539"/>
      <c r="E204" s="477"/>
      <c r="F204" s="477" t="s">
        <v>372</v>
      </c>
      <c r="H204" s="4"/>
      <c r="I204" s="57"/>
    </row>
    <row r="205" spans="1:9" x14ac:dyDescent="0.2">
      <c r="A205" s="113"/>
      <c r="B205" s="365"/>
      <c r="C205" s="350"/>
      <c r="F205" s="350"/>
      <c r="I205" s="57"/>
    </row>
    <row r="206" spans="1:9" x14ac:dyDescent="0.2">
      <c r="A206" s="113" t="s">
        <v>376</v>
      </c>
      <c r="B206" s="373">
        <f>Fsw*0.001*(5/22)</f>
        <v>77.272727272727266</v>
      </c>
      <c r="C206" s="374" t="s">
        <v>412</v>
      </c>
      <c r="D206" s="373"/>
      <c r="E206" s="374"/>
      <c r="F206" s="374" t="s">
        <v>384</v>
      </c>
      <c r="I206" s="57"/>
    </row>
    <row r="207" spans="1:9" x14ac:dyDescent="0.2">
      <c r="A207" s="113" t="s">
        <v>382</v>
      </c>
      <c r="B207" s="373">
        <f>Sn*Ri/1000</f>
        <v>345.4545454545455</v>
      </c>
      <c r="C207" s="374" t="s">
        <v>412</v>
      </c>
      <c r="D207" s="373"/>
      <c r="E207" s="374"/>
      <c r="F207" s="374" t="s">
        <v>385</v>
      </c>
      <c r="I207" s="57"/>
    </row>
    <row r="208" spans="1:9" x14ac:dyDescent="0.2">
      <c r="A208" s="113" t="s">
        <v>383</v>
      </c>
      <c r="B208" s="373">
        <f>Sf*Ri/1000</f>
        <v>109.09090909090909</v>
      </c>
      <c r="C208" s="374" t="s">
        <v>412</v>
      </c>
      <c r="D208" s="373"/>
      <c r="E208" s="374"/>
      <c r="F208" s="374" t="s">
        <v>385</v>
      </c>
      <c r="I208" s="57"/>
    </row>
    <row r="209" spans="1:9" x14ac:dyDescent="0.2">
      <c r="A209" s="113"/>
      <c r="B209" s="373"/>
      <c r="C209" s="374"/>
      <c r="D209" s="374"/>
      <c r="I209" s="57"/>
    </row>
    <row r="210" spans="1:9" x14ac:dyDescent="0.2">
      <c r="A210" s="113" t="s">
        <v>410</v>
      </c>
      <c r="B210" s="348">
        <f>1+Se_ext/Sn</f>
        <v>1.2236842105263157</v>
      </c>
      <c r="C210"/>
      <c r="D210" s="348"/>
      <c r="F210" s="113" t="s">
        <v>760</v>
      </c>
      <c r="I210" s="57"/>
    </row>
    <row r="211" spans="1:9" x14ac:dyDescent="0.2">
      <c r="A211" s="113" t="s">
        <v>411</v>
      </c>
      <c r="B211" s="367">
        <f>mc_buck*(1-D1_Vinnom_2)</f>
        <v>0.92938583335964386</v>
      </c>
      <c r="C211" s="350"/>
      <c r="D211" s="367"/>
      <c r="F211" s="350" t="s">
        <v>641</v>
      </c>
      <c r="I211" s="57"/>
    </row>
    <row r="212" spans="1:9" x14ac:dyDescent="0.2">
      <c r="A212" s="2"/>
      <c r="B212" s="382"/>
      <c r="C212" s="350"/>
      <c r="D212" s="350"/>
      <c r="I212" s="57"/>
    </row>
    <row r="213" spans="1:9" x14ac:dyDescent="0.2">
      <c r="A213" s="2" t="s">
        <v>358</v>
      </c>
      <c r="B213" s="367">
        <f>1+Se_ext/Sn</f>
        <v>1.2236842105263157</v>
      </c>
      <c r="C213" s="350"/>
      <c r="D213" s="367"/>
      <c r="I213" s="57"/>
    </row>
    <row r="214" spans="1:9" x14ac:dyDescent="0.2">
      <c r="A214" s="2" t="s">
        <v>333</v>
      </c>
      <c r="B214" s="408">
        <f>mc_buck*(1-D1_Vinnom_2)</f>
        <v>0.92938583335964386</v>
      </c>
      <c r="C214" s="350"/>
      <c r="D214" s="408"/>
      <c r="I214" s="57"/>
    </row>
    <row r="215" spans="1:9" x14ac:dyDescent="0.2">
      <c r="A215" s="113" t="s">
        <v>27</v>
      </c>
      <c r="B215" s="348">
        <f>1/Pi/(k-0.5)</f>
        <v>0.74131436535052986</v>
      </c>
      <c r="C215"/>
      <c r="D215" s="348"/>
      <c r="F215" s="113" t="s">
        <v>367</v>
      </c>
      <c r="H215" s="113" t="s">
        <v>378</v>
      </c>
      <c r="I215" s="57"/>
    </row>
    <row r="216" spans="1:9" x14ac:dyDescent="0.2">
      <c r="A216" s="113"/>
      <c r="B216" s="348"/>
      <c r="C216"/>
      <c r="D216" s="113"/>
      <c r="F216" s="113"/>
      <c r="I216" s="57"/>
    </row>
    <row r="217" spans="1:9" x14ac:dyDescent="0.2">
      <c r="A217" s="350" t="s">
        <v>413</v>
      </c>
      <c r="B217" s="348"/>
      <c r="C217"/>
      <c r="D217" s="113"/>
      <c r="I217" s="57"/>
    </row>
    <row r="218" spans="1:9" ht="15" x14ac:dyDescent="0.25">
      <c r="A218" s="113" t="s">
        <v>359</v>
      </c>
      <c r="B218" s="671">
        <v>6</v>
      </c>
      <c r="C218" s="113" t="s">
        <v>178</v>
      </c>
      <c r="F218" s="113" t="s">
        <v>443</v>
      </c>
      <c r="I218" s="57"/>
    </row>
    <row r="219" spans="1:9" ht="15" x14ac:dyDescent="0.25">
      <c r="A219" s="113" t="s">
        <v>360</v>
      </c>
      <c r="B219" s="672">
        <f>gm/(2*Pi*GBW*1000000)</f>
        <v>3.1830988654751269E-11</v>
      </c>
      <c r="C219" s="113" t="s">
        <v>24</v>
      </c>
      <c r="F219" s="113" t="s">
        <v>442</v>
      </c>
      <c r="I219" s="57"/>
    </row>
    <row r="220" spans="1:9" ht="15" x14ac:dyDescent="0.25">
      <c r="A220" s="113" t="s">
        <v>361</v>
      </c>
      <c r="B220" s="673">
        <v>64000000</v>
      </c>
      <c r="C220" s="210" t="s">
        <v>116</v>
      </c>
      <c r="F220" s="113" t="s">
        <v>441</v>
      </c>
      <c r="I220" s="57"/>
    </row>
    <row r="221" spans="1:9" x14ac:dyDescent="0.2">
      <c r="A221" s="2" t="s">
        <v>362</v>
      </c>
      <c r="B221" s="299">
        <f>gm*RoEA</f>
        <v>76800</v>
      </c>
      <c r="C221" s="113" t="s">
        <v>28</v>
      </c>
      <c r="F221" s="113" t="s">
        <v>440</v>
      </c>
      <c r="I221" s="57"/>
    </row>
    <row r="222" spans="1:9" x14ac:dyDescent="0.2">
      <c r="A222" s="2" t="s">
        <v>363</v>
      </c>
      <c r="B222" s="4">
        <f>IF(VOUT_setting=1,Vref/Vout,SQRT((1+(Fcross*zterm1)^2)/((1+Afbr-pterm4*(Fcross)^2)^2+(Fcross*pterm3)^2)))</f>
        <v>6.749667855362608E-2</v>
      </c>
      <c r="C222" s="113" t="s">
        <v>28</v>
      </c>
      <c r="D222" s="4"/>
      <c r="E222" s="113"/>
      <c r="F222" s="113" t="s">
        <v>439</v>
      </c>
      <c r="I222" s="57"/>
    </row>
    <row r="223" spans="1:9" x14ac:dyDescent="0.2">
      <c r="A223" s="2" t="s">
        <v>318</v>
      </c>
      <c r="B223" s="382">
        <f>1/Ri</f>
        <v>50</v>
      </c>
      <c r="C223" s="113"/>
      <c r="D223" s="382"/>
      <c r="E223" s="113"/>
      <c r="F223" s="113" t="s">
        <v>368</v>
      </c>
      <c r="I223" s="57"/>
    </row>
    <row r="224" spans="1:9" x14ac:dyDescent="0.2">
      <c r="A224" s="2" t="s">
        <v>404</v>
      </c>
      <c r="B224" s="4">
        <f>(Ro/Number_of_Phases)/Ri/((1+Ro/Number_of_Phases*(k-0.5)/(Fsw*Lf)))</f>
        <v>50.468758959280407</v>
      </c>
      <c r="C224" s="4"/>
      <c r="D224" s="4"/>
      <c r="I224" s="57"/>
    </row>
    <row r="225" spans="1:9" x14ac:dyDescent="0.2">
      <c r="A225" s="2" t="s">
        <v>323</v>
      </c>
      <c r="B225" s="4">
        <f>(Ro*Number_of_Phases)/Ri/((1+Ro*Number_of_Phases*(k-0.5)/(Fsw*Lf)))</f>
        <v>50.468758959280407</v>
      </c>
      <c r="C225" s="4"/>
      <c r="D225" s="4"/>
      <c r="F225" s="350" t="s">
        <v>697</v>
      </c>
      <c r="I225" s="57"/>
    </row>
    <row r="226" spans="1:9" x14ac:dyDescent="0.2">
      <c r="A226" s="2"/>
      <c r="B226" s="4"/>
      <c r="C226"/>
      <c r="D226" s="350"/>
      <c r="I226" s="57"/>
    </row>
    <row r="227" spans="1:9" x14ac:dyDescent="0.2">
      <c r="A227" s="113" t="s">
        <v>698</v>
      </c>
      <c r="B227" s="4">
        <f>2*Pi*Ri/gm</f>
        <v>104.71975500000002</v>
      </c>
      <c r="C227"/>
      <c r="F227" s="113" t="s">
        <v>444</v>
      </c>
      <c r="I227" s="57"/>
    </row>
    <row r="228" spans="1:9" x14ac:dyDescent="0.2">
      <c r="A228" s="350" t="s">
        <v>405</v>
      </c>
      <c r="B228" s="4"/>
      <c r="C228"/>
      <c r="F228" s="113"/>
      <c r="I228" s="57"/>
    </row>
    <row r="229" spans="1:9" x14ac:dyDescent="0.2">
      <c r="A229" s="350"/>
      <c r="B229" s="4"/>
      <c r="C229"/>
      <c r="F229" s="113"/>
      <c r="I229" s="57"/>
    </row>
    <row r="230" spans="1:9" x14ac:dyDescent="0.2">
      <c r="A230" s="209" t="s">
        <v>42</v>
      </c>
      <c r="B230" s="382">
        <f>Rout</f>
        <v>2.4</v>
      </c>
      <c r="C230" s="210" t="s">
        <v>116</v>
      </c>
      <c r="D230" s="348"/>
      <c r="E230" s="210"/>
      <c r="F230" s="113" t="s">
        <v>263</v>
      </c>
      <c r="I230" s="57"/>
    </row>
    <row r="231" spans="1:9" x14ac:dyDescent="0.2">
      <c r="A231" s="113"/>
      <c r="B231" s="113"/>
      <c r="C231" s="210"/>
      <c r="D231" s="113"/>
      <c r="I231" s="57"/>
    </row>
    <row r="232" spans="1:9" x14ac:dyDescent="0.2">
      <c r="A232" s="113" t="s">
        <v>399</v>
      </c>
      <c r="B232" s="372">
        <f>1/(2*Pi*Ro*Cout)+(k-0.5)/(2*Pi*Fsw*Lf*Cout/Number_of_Phases)</f>
        <v>788.38347997702385</v>
      </c>
      <c r="C232" t="s">
        <v>9</v>
      </c>
      <c r="D232" s="359"/>
      <c r="F232" s="113" t="s">
        <v>398</v>
      </c>
      <c r="I232" s="57"/>
    </row>
    <row r="233" spans="1:9" x14ac:dyDescent="0.2">
      <c r="A233" s="113" t="s">
        <v>431</v>
      </c>
      <c r="B233" s="359">
        <f>Fload_u</f>
        <v>788.38347997702385</v>
      </c>
      <c r="C233" s="113" t="s">
        <v>9</v>
      </c>
      <c r="D233" s="359"/>
      <c r="E233" s="113"/>
      <c r="F233" s="365"/>
      <c r="I233" s="57"/>
    </row>
    <row r="234" spans="1:9" x14ac:dyDescent="0.2">
      <c r="A234" s="113"/>
      <c r="B234" s="358">
        <f>Cbw</f>
        <v>3.1830988654751269E-11</v>
      </c>
      <c r="C234"/>
      <c r="D234" s="113"/>
      <c r="E234" s="46"/>
      <c r="I234" s="57"/>
    </row>
    <row r="235" spans="1:9" x14ac:dyDescent="0.2">
      <c r="A235" s="113" t="s">
        <v>370</v>
      </c>
      <c r="B235" s="422">
        <f>1/(2*Pi*(RoEA+Rcea1_u)*Cc1ea_u)</f>
        <v>0.75342856523137813</v>
      </c>
      <c r="C235" t="s">
        <v>9</v>
      </c>
      <c r="D235" s="624"/>
      <c r="F235" s="113" t="s">
        <v>397</v>
      </c>
      <c r="I235" s="57"/>
    </row>
    <row r="236" spans="1:9" x14ac:dyDescent="0.2">
      <c r="A236" s="113" t="s">
        <v>371</v>
      </c>
      <c r="B236" s="372">
        <f>1/(2*Pi*Rcea1_u*(Cc2ea_u+Cbw))</f>
        <v>162817.6468352669</v>
      </c>
      <c r="C236" t="s">
        <v>9</v>
      </c>
      <c r="D236" s="359"/>
      <c r="F236" s="113" t="s">
        <v>379</v>
      </c>
      <c r="I236" s="57"/>
    </row>
    <row r="237" spans="1:9" x14ac:dyDescent="0.2">
      <c r="A237" s="209" t="s">
        <v>26</v>
      </c>
      <c r="B237" s="372">
        <f>1/(2*Pi*Cout*Cout_ESR)</f>
        <v>795774.71636878187</v>
      </c>
      <c r="C237" t="s">
        <v>9</v>
      </c>
      <c r="D237" s="359"/>
      <c r="F237" s="113" t="s">
        <v>396</v>
      </c>
      <c r="I237" s="57"/>
    </row>
    <row r="238" spans="1:9" x14ac:dyDescent="0.2">
      <c r="A238" s="113" t="s">
        <v>403</v>
      </c>
      <c r="B238" s="372">
        <f>Fsw/2</f>
        <v>170000</v>
      </c>
      <c r="C238" t="s">
        <v>9</v>
      </c>
      <c r="D238" s="359"/>
      <c r="F238" s="113" t="s">
        <v>681</v>
      </c>
      <c r="I238" s="57"/>
    </row>
    <row r="239" spans="1:9" x14ac:dyDescent="0.2">
      <c r="A239" s="113"/>
      <c r="B239" s="359"/>
      <c r="C239"/>
      <c r="D239" s="675" t="s">
        <v>829</v>
      </c>
      <c r="E239" s="46"/>
      <c r="I239" s="57"/>
    </row>
    <row r="240" spans="1:9" x14ac:dyDescent="0.2">
      <c r="A240" s="209" t="s">
        <v>395</v>
      </c>
      <c r="B240" s="305">
        <f>CHOOSE(COMP_TYPE,Fcross_Ch2,'Design Regulator'!E63*1000)</f>
        <v>40000</v>
      </c>
      <c r="C240" s="358" t="s">
        <v>9</v>
      </c>
      <c r="D240" s="676">
        <f>Fsw/50</f>
        <v>6800</v>
      </c>
      <c r="E240" s="358"/>
      <c r="I240" s="57"/>
    </row>
    <row r="241" spans="1:12" x14ac:dyDescent="0.2">
      <c r="A241" s="66" t="s">
        <v>33</v>
      </c>
      <c r="B241" s="359">
        <f>Fcross*Cout/Number_of_Phases*2*Pi*Ri/(gm*Afb)</f>
        <v>12411.84096687664</v>
      </c>
      <c r="C241" s="210" t="s">
        <v>116</v>
      </c>
      <c r="D241" s="359"/>
      <c r="E241" s="210"/>
      <c r="F241" s="113" t="s">
        <v>365</v>
      </c>
      <c r="I241" s="57"/>
      <c r="K241" s="299">
        <f>Fcross/Fp_dominant/(gm*Afb*Am)</f>
        <v>12411.84096687664</v>
      </c>
      <c r="L241" s="210"/>
    </row>
    <row r="242" spans="1:12" x14ac:dyDescent="0.2">
      <c r="A242" s="66" t="s">
        <v>656</v>
      </c>
      <c r="B242" s="358">
        <f>10/(Rcea1*Fcross*2*Pi)</f>
        <v>3.2057078337228865E-9</v>
      </c>
      <c r="C242" t="s">
        <v>24</v>
      </c>
      <c r="D242" s="358"/>
      <c r="F242" s="113" t="s">
        <v>642</v>
      </c>
      <c r="I242" s="57"/>
    </row>
    <row r="243" spans="1:12" x14ac:dyDescent="0.2">
      <c r="A243" s="66" t="s">
        <v>657</v>
      </c>
      <c r="B243" s="358">
        <f>MAX(1/(Rcea1*2*Pi*Fesr)-Cbw, 1/(Rcea1*2*Pi*(Fsw/2))-Cbw)</f>
        <v>4.3597430962257836E-11</v>
      </c>
      <c r="C243" t="s">
        <v>24</v>
      </c>
      <c r="D243" s="358"/>
      <c r="F243" s="113" t="s">
        <v>366</v>
      </c>
      <c r="I243" s="57"/>
    </row>
    <row r="244" spans="1:12" x14ac:dyDescent="0.2">
      <c r="A244" s="65"/>
      <c r="B244" s="1"/>
      <c r="C244" s="210"/>
      <c r="I244" s="57"/>
    </row>
    <row r="245" spans="1:12" x14ac:dyDescent="0.2">
      <c r="A245" s="674" t="str">
        <f>CHOOSE(COMP_TYPE,"Internal Compensation","External Compensation")</f>
        <v>External Compensation</v>
      </c>
      <c r="B245" s="1"/>
      <c r="C245" s="210"/>
      <c r="I245" s="57"/>
    </row>
    <row r="246" spans="1:12" x14ac:dyDescent="0.2">
      <c r="A246" s="66" t="s">
        <v>314</v>
      </c>
      <c r="D246" s="676" t="s">
        <v>828</v>
      </c>
      <c r="I246" s="57"/>
    </row>
    <row r="247" spans="1:12" x14ac:dyDescent="0.2">
      <c r="A247" s="56" t="s">
        <v>34</v>
      </c>
      <c r="B247" s="69">
        <f>CHOOSE(COMP_TYPE,D247,'Design Regulator'!D71*1000)</f>
        <v>12400</v>
      </c>
      <c r="C247" s="210" t="s">
        <v>116</v>
      </c>
      <c r="D247" s="677">
        <v>400000</v>
      </c>
      <c r="G247">
        <f>1/(Rcea1*2*Pi*(Fsw/2))-Cbw</f>
        <v>4.3597430962257836E-11</v>
      </c>
      <c r="I247" s="57"/>
    </row>
    <row r="248" spans="1:12" x14ac:dyDescent="0.2">
      <c r="A248" s="56" t="s">
        <v>35</v>
      </c>
      <c r="B248" s="69">
        <f>CHOOSE(COMP_TYPE,Cc3ea_u,'Design Regulator'!D72*0.000000001)</f>
        <v>3.3000000000000006E-9</v>
      </c>
      <c r="C248" t="s">
        <v>24</v>
      </c>
      <c r="D248" s="678">
        <f>50*0.000000000001</f>
        <v>5.0000000000000002E-11</v>
      </c>
      <c r="I248" s="57"/>
    </row>
    <row r="249" spans="1:12" x14ac:dyDescent="0.2">
      <c r="A249" s="56" t="s">
        <v>36</v>
      </c>
      <c r="B249" s="69">
        <f>CHOOSE(COMP_TYPE,Cc4ea_u,'Design Regulator'!D73*0.000000000001)</f>
        <v>4.6999999999999999E-11</v>
      </c>
      <c r="C249" t="s">
        <v>24</v>
      </c>
      <c r="D249" s="678">
        <f>0.000000000001</f>
        <v>9.9999999999999998E-13</v>
      </c>
      <c r="I249" s="57"/>
    </row>
    <row r="250" spans="1:12" x14ac:dyDescent="0.2">
      <c r="A250" s="56"/>
      <c r="B250" s="48"/>
      <c r="C250"/>
      <c r="I250" s="57"/>
    </row>
    <row r="251" spans="1:12" x14ac:dyDescent="0.2">
      <c r="A251" s="66" t="s">
        <v>381</v>
      </c>
      <c r="C251"/>
      <c r="F251">
        <f>Cout</f>
        <v>2.0000000000000001E-4</v>
      </c>
      <c r="G251">
        <f>Cout_ESR</f>
        <v>1E-3</v>
      </c>
      <c r="I251" s="57"/>
    </row>
    <row r="252" spans="1:12" x14ac:dyDescent="0.2">
      <c r="A252" s="66" t="s">
        <v>37</v>
      </c>
      <c r="B252" s="360">
        <f>1/(2*Pi*Rcea1_u*Cc1ea_u)</f>
        <v>3889.4169910497644</v>
      </c>
      <c r="C252" t="s">
        <v>9</v>
      </c>
      <c r="D252" s="359"/>
      <c r="F252" s="113" t="s">
        <v>436</v>
      </c>
      <c r="I252" s="57"/>
    </row>
    <row r="253" spans="1:12" x14ac:dyDescent="0.2">
      <c r="A253" s="66" t="s">
        <v>707</v>
      </c>
      <c r="B253" s="360">
        <f>1/(2*Pi*Rcea1_u*(Cc1ea_u*(Cc2ea_u+Cbw)/(Cc1ea_u+Cc2ea_u+Cbw)))</f>
        <v>166707.06382631665</v>
      </c>
      <c r="C253" t="s">
        <v>9</v>
      </c>
      <c r="D253" s="359"/>
      <c r="F253" t="s">
        <v>132</v>
      </c>
      <c r="I253" s="57"/>
    </row>
    <row r="254" spans="1:12" x14ac:dyDescent="0.2">
      <c r="C254"/>
      <c r="D254" s="676" t="s">
        <v>828</v>
      </c>
      <c r="I254" s="57"/>
    </row>
    <row r="255" spans="1:12" x14ac:dyDescent="0.2">
      <c r="A255" s="56" t="s">
        <v>29</v>
      </c>
      <c r="B255" s="305">
        <f>IF(VOUT_setting=1,'Design Regulator'!E65*1000,2500000)</f>
        <v>2500000</v>
      </c>
      <c r="C255" s="210" t="s">
        <v>116</v>
      </c>
      <c r="E255" s="210"/>
      <c r="F255" s="113" t="s">
        <v>389</v>
      </c>
      <c r="I255" s="57"/>
    </row>
    <row r="256" spans="1:12" x14ac:dyDescent="0.2">
      <c r="A256" s="66" t="s">
        <v>40</v>
      </c>
      <c r="B256" s="349">
        <f>IF(Vout=Vref,100000000,Vref*B255/((Vout-Vref)))</f>
        <v>178571.42857142858</v>
      </c>
      <c r="C256" s="210" t="s">
        <v>116</v>
      </c>
      <c r="D256" s="625"/>
      <c r="E256" s="210"/>
      <c r="F256" s="113" t="s">
        <v>388</v>
      </c>
      <c r="I256" s="57"/>
    </row>
    <row r="257" spans="1:9" x14ac:dyDescent="0.2">
      <c r="A257" s="56" t="s">
        <v>136</v>
      </c>
      <c r="B257" s="68">
        <f>IF(Vout=Vref,"N/A",CHOOSE(VOUT_setting,'Standard Value Calculator'!S11,471000,792000,177000))</f>
        <v>177000</v>
      </c>
      <c r="C257" s="210" t="s">
        <v>116</v>
      </c>
      <c r="E257" s="210"/>
      <c r="F257" s="113" t="s">
        <v>387</v>
      </c>
      <c r="I257" s="57"/>
    </row>
    <row r="258" spans="1:9" x14ac:dyDescent="0.2">
      <c r="B258" s="685"/>
      <c r="C258" s="210"/>
      <c r="E258" s="210"/>
      <c r="F258" s="113"/>
      <c r="I258" s="57"/>
    </row>
    <row r="259" spans="1:9" x14ac:dyDescent="0.2">
      <c r="A259" t="s">
        <v>840</v>
      </c>
      <c r="B259" s="305">
        <v>20000</v>
      </c>
      <c r="C259" s="210" t="s">
        <v>116</v>
      </c>
      <c r="E259" s="210"/>
      <c r="F259" s="113"/>
      <c r="I259" s="57"/>
    </row>
    <row r="260" spans="1:9" x14ac:dyDescent="0.2">
      <c r="A260" t="s">
        <v>841</v>
      </c>
      <c r="B260" s="69">
        <v>3.67E-13</v>
      </c>
      <c r="C260" t="s">
        <v>24</v>
      </c>
      <c r="E260" s="210"/>
      <c r="F260" s="113"/>
      <c r="I260" s="57"/>
    </row>
    <row r="261" spans="1:9" x14ac:dyDescent="0.2">
      <c r="A261" t="s">
        <v>842</v>
      </c>
      <c r="B261" s="69">
        <v>2.1999999999999999E-12</v>
      </c>
      <c r="C261" t="s">
        <v>24</v>
      </c>
      <c r="E261" s="210"/>
      <c r="F261" s="113"/>
      <c r="I261" s="57"/>
    </row>
    <row r="262" spans="1:9" x14ac:dyDescent="0.2">
      <c r="B262" s="685"/>
      <c r="C262" s="210"/>
      <c r="E262" s="210"/>
      <c r="F262" s="113"/>
      <c r="I262" s="57"/>
    </row>
    <row r="263" spans="1:9" x14ac:dyDescent="0.2">
      <c r="A263" s="113" t="s">
        <v>836</v>
      </c>
      <c r="B263" s="687">
        <f>1/(2*Pi*Rff*Cff)</f>
        <v>21683234.778440922</v>
      </c>
      <c r="C263" s="113" t="s">
        <v>9</v>
      </c>
      <c r="E263" s="210"/>
      <c r="F263" s="113"/>
      <c r="I263" s="57"/>
    </row>
    <row r="264" spans="1:9" x14ac:dyDescent="0.2">
      <c r="A264" s="113" t="s">
        <v>837</v>
      </c>
      <c r="B264" s="687">
        <f>1/(2*Pi*Rfb1_*Cfb)</f>
        <v>28937.262413410252</v>
      </c>
      <c r="C264" s="113" t="s">
        <v>9</v>
      </c>
      <c r="E264" s="210"/>
      <c r="F264" s="113"/>
      <c r="I264" s="57"/>
    </row>
    <row r="265" spans="1:9" x14ac:dyDescent="0.2">
      <c r="A265" s="113" t="s">
        <v>838</v>
      </c>
      <c r="B265" s="687">
        <f>1/(2*Pi*Rfb2_u*Cfb)</f>
        <v>408718.39566963637</v>
      </c>
      <c r="C265" s="113" t="s">
        <v>9</v>
      </c>
      <c r="E265" s="210"/>
      <c r="F265" s="113"/>
      <c r="I265" s="57"/>
    </row>
    <row r="266" spans="1:9" x14ac:dyDescent="0.2">
      <c r="A266" s="113" t="s">
        <v>839</v>
      </c>
      <c r="B266" s="687">
        <f>1/(2*Pi*Rff*Cfb)</f>
        <v>3617157.8016762817</v>
      </c>
      <c r="C266" s="113" t="s">
        <v>9</v>
      </c>
      <c r="E266" s="210"/>
      <c r="F266" s="113"/>
      <c r="I266" s="57"/>
    </row>
    <row r="267" spans="1:9" x14ac:dyDescent="0.2">
      <c r="A267" s="113" t="s">
        <v>848</v>
      </c>
      <c r="B267" s="687">
        <f>1/(2*Pi*Cff*Rfb1_)</f>
        <v>173465.8782275274</v>
      </c>
      <c r="C267" s="113" t="s">
        <v>9</v>
      </c>
      <c r="E267" s="210"/>
      <c r="F267" s="113"/>
      <c r="I267" s="57"/>
    </row>
    <row r="268" spans="1:9" x14ac:dyDescent="0.2">
      <c r="A268" t="s">
        <v>843</v>
      </c>
      <c r="B268" s="685">
        <f>2*Pi*Cfb*(Rff+Rfb1_)/(Rff*Rfb1_)</f>
        <v>6.96679586064E-16</v>
      </c>
      <c r="C268" s="113" t="s">
        <v>9</v>
      </c>
      <c r="E268" s="210"/>
      <c r="F268" s="113"/>
      <c r="I268" s="57"/>
    </row>
    <row r="269" spans="1:9" x14ac:dyDescent="0.2">
      <c r="B269" s="685"/>
      <c r="C269" s="113"/>
      <c r="E269" s="210"/>
      <c r="F269" s="113"/>
      <c r="I269" s="57"/>
    </row>
    <row r="270" spans="1:9" x14ac:dyDescent="0.2">
      <c r="B270" s="685"/>
      <c r="C270" s="113"/>
      <c r="E270" s="210"/>
      <c r="F270" s="113"/>
      <c r="I270" s="57"/>
    </row>
    <row r="271" spans="1:9" ht="13.5" thickBot="1" x14ac:dyDescent="0.25">
      <c r="A271" s="371"/>
      <c r="B271" s="686"/>
      <c r="C271" s="71"/>
      <c r="D271" s="61"/>
      <c r="E271" s="71"/>
      <c r="F271" s="61"/>
      <c r="G271" s="61"/>
      <c r="H271" s="61"/>
      <c r="I271" s="62"/>
    </row>
    <row r="272" spans="1:9" x14ac:dyDescent="0.2">
      <c r="A272" s="1"/>
      <c r="B272" s="46"/>
      <c r="C272" s="46"/>
      <c r="E272" s="46"/>
    </row>
    <row r="273" spans="1:9" x14ac:dyDescent="0.2">
      <c r="A273" s="66" t="s">
        <v>169</v>
      </c>
      <c r="B273" s="1"/>
      <c r="C273"/>
    </row>
    <row r="274" spans="1:9" x14ac:dyDescent="0.2">
      <c r="A274" s="66" t="s">
        <v>170</v>
      </c>
      <c r="B274" s="2">
        <v>0</v>
      </c>
      <c r="C274" s="210" t="s">
        <v>116</v>
      </c>
      <c r="D274" s="113" t="s">
        <v>262</v>
      </c>
    </row>
    <row r="275" spans="1:9" x14ac:dyDescent="0.2">
      <c r="A275" s="66" t="s">
        <v>173</v>
      </c>
      <c r="B275" s="369" t="e">
        <f>0.00000002*Fsw*0.6*4/Iripple1</f>
        <v>#NAME?</v>
      </c>
      <c r="C275" s="46"/>
      <c r="E275" s="46"/>
    </row>
    <row r="276" spans="1:9" x14ac:dyDescent="0.2">
      <c r="A276" s="66" t="s">
        <v>172</v>
      </c>
      <c r="B276" s="369" t="e">
        <f>_Don2*RdsonTop+Doff2*RdsonBot</f>
        <v>#NAME?</v>
      </c>
      <c r="C276" s="46"/>
      <c r="E276" s="46"/>
    </row>
    <row r="277" spans="1:9" x14ac:dyDescent="0.2">
      <c r="A277" s="66" t="s">
        <v>171</v>
      </c>
      <c r="B277" s="369" t="e">
        <f>B278*Vin^2*Fsw/2/(((Iripple1/SQRT(3))^2))</f>
        <v>#NAME?</v>
      </c>
      <c r="C277" s="46"/>
      <c r="E277" s="46"/>
    </row>
    <row r="278" spans="1:9" x14ac:dyDescent="0.2">
      <c r="A278" s="66" t="s">
        <v>174</v>
      </c>
      <c r="B278" s="370">
        <v>5.0000000000000001E-9</v>
      </c>
      <c r="C278" s="46"/>
      <c r="E278" s="46"/>
    </row>
    <row r="279" spans="1:9" x14ac:dyDescent="0.2">
      <c r="A279" s="2"/>
      <c r="B279" s="370"/>
      <c r="C279" s="46"/>
      <c r="E279" s="46"/>
    </row>
    <row r="280" spans="1:9" ht="16.5" thickBot="1" x14ac:dyDescent="0.3">
      <c r="A280" s="509" t="s">
        <v>764</v>
      </c>
    </row>
    <row r="281" spans="1:9" x14ac:dyDescent="0.2">
      <c r="A281" s="361"/>
      <c r="B281" s="362"/>
      <c r="C281" s="363"/>
      <c r="D281" s="364"/>
      <c r="E281" s="63"/>
      <c r="F281" s="63"/>
      <c r="G281" s="63"/>
      <c r="H281" s="63"/>
      <c r="I281" s="64"/>
    </row>
    <row r="282" spans="1:9" x14ac:dyDescent="0.2">
      <c r="A282" s="113" t="s">
        <v>771</v>
      </c>
      <c r="B282" s="397">
        <f>20*LOG10(Vinripple2*1000000)</f>
        <v>101.11425394500608</v>
      </c>
      <c r="C282" s="1" t="s">
        <v>770</v>
      </c>
      <c r="E282" s="46"/>
      <c r="I282" s="57"/>
    </row>
    <row r="283" spans="1:9" x14ac:dyDescent="0.2">
      <c r="A283" s="113" t="s">
        <v>772</v>
      </c>
      <c r="B283" s="359" t="e">
        <f>CHOOSE(OSC,35,50)</f>
        <v>#VALUE!</v>
      </c>
      <c r="C283" s="1" t="s">
        <v>770</v>
      </c>
      <c r="D283" s="113" t="s">
        <v>850</v>
      </c>
      <c r="E283" s="46"/>
      <c r="I283" s="57"/>
    </row>
    <row r="284" spans="1:9" x14ac:dyDescent="0.2">
      <c r="A284" s="113" t="s">
        <v>773</v>
      </c>
      <c r="B284" s="397" t="e">
        <f>VinRipple_dBuV-B283+3</f>
        <v>#VALUE!</v>
      </c>
      <c r="C284" s="1" t="s">
        <v>770</v>
      </c>
      <c r="D284" s="113" t="s">
        <v>851</v>
      </c>
      <c r="E284" s="46"/>
      <c r="I284" s="57"/>
    </row>
    <row r="285" spans="1:9" x14ac:dyDescent="0.2">
      <c r="A285" s="113" t="s">
        <v>774</v>
      </c>
      <c r="B285" s="647" t="e">
        <f>Fsw/(POWER(10,Attn_req/40))</f>
        <v>#VALUE!</v>
      </c>
      <c r="C285" s="46" t="s">
        <v>9</v>
      </c>
      <c r="D285" s="113" t="s">
        <v>852</v>
      </c>
      <c r="E285" s="46"/>
      <c r="I285" s="57"/>
    </row>
    <row r="286" spans="1:9" x14ac:dyDescent="0.2">
      <c r="A286" s="113"/>
      <c r="B286" s="370"/>
      <c r="C286" s="46"/>
      <c r="E286" s="46"/>
      <c r="I286" s="57"/>
    </row>
    <row r="287" spans="1:9" x14ac:dyDescent="0.2">
      <c r="A287" s="113" t="s">
        <v>775</v>
      </c>
      <c r="B287" s="358">
        <f>'Design Regulator'!E49</f>
        <v>0.68</v>
      </c>
      <c r="C287" s="370" t="s">
        <v>10</v>
      </c>
      <c r="D287" s="113" t="s">
        <v>853</v>
      </c>
      <c r="E287" s="46"/>
      <c r="I287" s="57"/>
    </row>
    <row r="288" spans="1:9" x14ac:dyDescent="0.2">
      <c r="A288" s="113"/>
      <c r="B288" s="397"/>
      <c r="C288" s="46"/>
      <c r="E288" s="46"/>
      <c r="I288" s="57"/>
    </row>
    <row r="289" spans="1:9" x14ac:dyDescent="0.2">
      <c r="A289" s="113" t="s">
        <v>767</v>
      </c>
      <c r="B289" s="113" t="e">
        <f>CHOOSE(OSC,20,100)</f>
        <v>#VALUE!</v>
      </c>
      <c r="C289" s="46"/>
      <c r="E289" s="46"/>
      <c r="I289" s="57"/>
    </row>
    <row r="290" spans="1:9" x14ac:dyDescent="0.2">
      <c r="A290" s="113" t="s">
        <v>768</v>
      </c>
      <c r="B290" s="113">
        <v>3</v>
      </c>
      <c r="C290" s="46"/>
      <c r="E290" s="46"/>
      <c r="F290" s="113" t="s">
        <v>855</v>
      </c>
      <c r="I290" s="57"/>
    </row>
    <row r="291" spans="1:9" x14ac:dyDescent="0.2">
      <c r="A291" s="113"/>
      <c r="B291" s="397"/>
      <c r="C291" s="46"/>
      <c r="E291" s="46"/>
      <c r="I291" s="57"/>
    </row>
    <row r="292" spans="1:9" x14ac:dyDescent="0.2">
      <c r="A292" s="113" t="s">
        <v>806</v>
      </c>
      <c r="B292" s="397" t="e">
        <f>1000000/(LinfilterPssv*POWER(2*Pi*Fx_infilter,2))</f>
        <v>#VALUE!</v>
      </c>
      <c r="C292" s="46" t="s">
        <v>23</v>
      </c>
      <c r="D292">
        <f>'Design Input Filter'!G9*0.000001</f>
        <v>6.8E-8</v>
      </c>
      <c r="E292" s="46"/>
      <c r="I292" s="57"/>
    </row>
    <row r="293" spans="1:9" ht="15" x14ac:dyDescent="0.25">
      <c r="A293" s="113" t="s">
        <v>765</v>
      </c>
      <c r="B293" s="397" t="e">
        <f>1000000/(L_infilter*Gop_AEF*0.000001*POWER(2*Pi*Fx_infilter,2))</f>
        <v>#VALUE!</v>
      </c>
      <c r="C293" s="46" t="s">
        <v>23</v>
      </c>
      <c r="D293" s="660" t="e">
        <f>'Design Regulator'!#REF!*0.000001</f>
        <v>#REF!</v>
      </c>
      <c r="E293" s="46"/>
      <c r="I293" s="57"/>
    </row>
    <row r="294" spans="1:9" x14ac:dyDescent="0.2">
      <c r="A294" s="113"/>
      <c r="B294" s="397"/>
      <c r="C294" s="46"/>
      <c r="E294" s="46"/>
      <c r="I294" s="57"/>
    </row>
    <row r="295" spans="1:9" x14ac:dyDescent="0.2">
      <c r="A295" s="113" t="s">
        <v>769</v>
      </c>
      <c r="B295" s="397" t="e">
        <f>CHOOSE(OSC,0,Cinj_AEF/nAEF)</f>
        <v>#VALUE!</v>
      </c>
      <c r="C295" s="46" t="s">
        <v>23</v>
      </c>
      <c r="D295" t="e">
        <f>'Design Regulator'!#REF!*0.000001</f>
        <v>#REF!</v>
      </c>
      <c r="E295" s="46"/>
      <c r="I295" s="57"/>
    </row>
    <row r="296" spans="1:9" x14ac:dyDescent="0.2">
      <c r="A296" s="113" t="s">
        <v>766</v>
      </c>
      <c r="B296" s="397" t="e">
        <f>CHOOSE(OSC,SQRT(L_infilter*Gop_AEF/(Cinj_AEF)),1.09*SQRT(L_infilter*Gop_AEF/Cinj_AEF))</f>
        <v>#VALUE!</v>
      </c>
      <c r="C296" s="370" t="s">
        <v>138</v>
      </c>
      <c r="D296" t="e">
        <f>'Design Regulator'!#REF!</f>
        <v>#REF!</v>
      </c>
      <c r="E296" s="46"/>
      <c r="I296" s="57"/>
    </row>
    <row r="297" spans="1:9" x14ac:dyDescent="0.2">
      <c r="A297" s="113" t="s">
        <v>776</v>
      </c>
      <c r="B297" s="113" t="e">
        <f>CHOOSE(OSC,5,1)</f>
        <v>#VALUE!</v>
      </c>
      <c r="C297" s="370" t="s">
        <v>141</v>
      </c>
      <c r="D297" t="e">
        <f>B297*0.000000001</f>
        <v>#VALUE!</v>
      </c>
      <c r="E297" s="46"/>
      <c r="F297" s="113" t="s">
        <v>854</v>
      </c>
      <c r="I297" s="57"/>
    </row>
    <row r="298" spans="1:9" x14ac:dyDescent="0.2">
      <c r="A298" s="113" t="s">
        <v>777</v>
      </c>
      <c r="B298" s="113" t="e">
        <f>CHOOSE(OSC,200,1000)</f>
        <v>#VALUE!</v>
      </c>
      <c r="C298" s="370" t="s">
        <v>138</v>
      </c>
      <c r="E298" s="46"/>
      <c r="I298" s="57"/>
    </row>
    <row r="299" spans="1:9" x14ac:dyDescent="0.2">
      <c r="A299" s="113" t="s">
        <v>778</v>
      </c>
      <c r="B299" s="113" t="e">
        <f>Gop_AEF*B297</f>
        <v>#VALUE!</v>
      </c>
      <c r="C299" s="370" t="s">
        <v>141</v>
      </c>
      <c r="D299" t="e">
        <f>B299*0.000000001</f>
        <v>#VALUE!</v>
      </c>
      <c r="E299" s="46"/>
      <c r="I299" s="57"/>
    </row>
    <row r="300" spans="1:9" x14ac:dyDescent="0.2">
      <c r="A300" s="113"/>
      <c r="B300" s="113"/>
      <c r="C300" s="370"/>
      <c r="E300" s="46"/>
      <c r="I300" s="57"/>
    </row>
    <row r="301" spans="1:9" x14ac:dyDescent="0.2">
      <c r="A301" s="113" t="s">
        <v>908</v>
      </c>
      <c r="B301" s="113">
        <f>SQRT(L_infilter*0.000001/Cin)</f>
        <v>0.15055453054181619</v>
      </c>
      <c r="C301" s="370"/>
      <c r="D301" s="4">
        <f>'Standard Value Calculator'!S14</f>
        <v>0.15</v>
      </c>
      <c r="E301" s="46"/>
      <c r="I301" s="57"/>
    </row>
    <row r="302" spans="1:9" x14ac:dyDescent="0.2">
      <c r="A302" s="2"/>
      <c r="B302" s="113"/>
      <c r="C302" s="46"/>
      <c r="E302" s="46"/>
      <c r="I302" s="57"/>
    </row>
    <row r="303" spans="1:9" x14ac:dyDescent="0.2">
      <c r="A303" s="2" t="s">
        <v>785</v>
      </c>
      <c r="B303" s="113">
        <f>'Input Filter Calculations'!W97</f>
        <v>0</v>
      </c>
      <c r="C303" s="1" t="s">
        <v>770</v>
      </c>
      <c r="E303" s="46"/>
      <c r="I303" s="57"/>
    </row>
    <row r="304" spans="1:9" x14ac:dyDescent="0.2">
      <c r="A304" s="2" t="s">
        <v>802</v>
      </c>
      <c r="B304" s="113">
        <f>VinRipple_dBuV+B303</f>
        <v>101.11425394500608</v>
      </c>
      <c r="C304" s="1" t="s">
        <v>770</v>
      </c>
      <c r="E304" s="46"/>
      <c r="I304" s="57"/>
    </row>
    <row r="305" spans="1:9" ht="13.5" thickBot="1" x14ac:dyDescent="0.25">
      <c r="A305" s="371"/>
      <c r="B305" s="371"/>
      <c r="C305" s="71"/>
      <c r="D305" s="61"/>
      <c r="E305" s="71"/>
      <c r="F305" s="61"/>
      <c r="G305" s="61"/>
      <c r="H305" s="61"/>
      <c r="I305" s="62"/>
    </row>
    <row r="306" spans="1:9" x14ac:dyDescent="0.2">
      <c r="A306" s="1"/>
      <c r="B306" s="46"/>
      <c r="C306" s="46"/>
      <c r="E306" s="46"/>
    </row>
    <row r="307" spans="1:9" ht="16.5" thickBot="1" x14ac:dyDescent="0.3">
      <c r="A307" s="91" t="s">
        <v>190</v>
      </c>
    </row>
    <row r="308" spans="1:9" x14ac:dyDescent="0.2">
      <c r="A308" s="208" t="s">
        <v>586</v>
      </c>
      <c r="B308" s="63">
        <v>0</v>
      </c>
      <c r="C308" s="288"/>
      <c r="D308" s="63"/>
      <c r="E308" s="63"/>
      <c r="F308" s="63"/>
      <c r="G308" s="63"/>
      <c r="H308" s="63"/>
      <c r="I308" s="64"/>
    </row>
    <row r="309" spans="1:9" x14ac:dyDescent="0.2">
      <c r="A309" s="66" t="s">
        <v>55</v>
      </c>
      <c r="I309" s="57"/>
    </row>
    <row r="310" spans="1:9" x14ac:dyDescent="0.2">
      <c r="A310" s="56" t="s">
        <v>83</v>
      </c>
      <c r="B310" s="29">
        <f>'Design Regulator'!E13</f>
        <v>25</v>
      </c>
      <c r="C310" s="113" t="s">
        <v>223</v>
      </c>
      <c r="D310" t="s">
        <v>96</v>
      </c>
      <c r="I310" s="57"/>
    </row>
    <row r="311" spans="1:9" x14ac:dyDescent="0.2">
      <c r="A311" s="66" t="s">
        <v>58</v>
      </c>
      <c r="C311"/>
      <c r="I311" s="57"/>
    </row>
    <row r="312" spans="1:9" x14ac:dyDescent="0.2">
      <c r="A312" s="56" t="s">
        <v>82</v>
      </c>
      <c r="B312" s="59">
        <f>4000/1000000</f>
        <v>4.0000000000000001E-3</v>
      </c>
      <c r="C312" s="113" t="s">
        <v>271</v>
      </c>
      <c r="D312" s="113" t="s">
        <v>465</v>
      </c>
      <c r="I312" s="57"/>
    </row>
    <row r="313" spans="1:9" ht="15.75" x14ac:dyDescent="0.3">
      <c r="A313" s="209" t="s">
        <v>462</v>
      </c>
      <c r="B313" s="59">
        <v>20</v>
      </c>
      <c r="C313" s="113" t="s">
        <v>202</v>
      </c>
      <c r="D313" s="113" t="s">
        <v>463</v>
      </c>
      <c r="I313" s="57"/>
    </row>
    <row r="314" spans="1:9" x14ac:dyDescent="0.2">
      <c r="A314" s="56" t="s">
        <v>86</v>
      </c>
      <c r="B314" s="29">
        <f>RCinEsr</f>
        <v>1E-3</v>
      </c>
      <c r="C314" s="210" t="s">
        <v>116</v>
      </c>
      <c r="D314" s="113" t="s">
        <v>464</v>
      </c>
      <c r="I314" s="57"/>
    </row>
    <row r="315" spans="1:9" x14ac:dyDescent="0.2">
      <c r="A315" s="56"/>
      <c r="B315" s="29"/>
      <c r="C315" s="210"/>
      <c r="D315" s="113"/>
      <c r="I315" s="57"/>
    </row>
    <row r="316" spans="1:9" x14ac:dyDescent="0.2">
      <c r="A316" s="65" t="s">
        <v>666</v>
      </c>
      <c r="C316"/>
      <c r="I316" s="57"/>
    </row>
    <row r="317" spans="1:9" x14ac:dyDescent="0.2">
      <c r="A317" s="209" t="s">
        <v>640</v>
      </c>
      <c r="B317" s="59">
        <v>5</v>
      </c>
      <c r="C317" t="s">
        <v>0</v>
      </c>
      <c r="D317" s="350" t="s">
        <v>664</v>
      </c>
      <c r="I317" s="57"/>
    </row>
    <row r="318" spans="1:9" x14ac:dyDescent="0.2">
      <c r="A318" s="66" t="s">
        <v>112</v>
      </c>
      <c r="C318"/>
      <c r="I318" s="57"/>
    </row>
    <row r="319" spans="1:9" x14ac:dyDescent="0.2">
      <c r="A319" s="56" t="s">
        <v>61</v>
      </c>
      <c r="B319" s="59">
        <v>1</v>
      </c>
      <c r="C319" s="210" t="s">
        <v>116</v>
      </c>
      <c r="D319" s="113" t="s">
        <v>390</v>
      </c>
      <c r="I319" s="57"/>
    </row>
    <row r="320" spans="1:9" x14ac:dyDescent="0.2">
      <c r="A320" s="56" t="s">
        <v>126</v>
      </c>
      <c r="B320" s="59">
        <v>0.5</v>
      </c>
      <c r="C320" s="210" t="s">
        <v>116</v>
      </c>
      <c r="D320" s="113" t="s">
        <v>391</v>
      </c>
      <c r="I320" s="57"/>
    </row>
    <row r="321" spans="1:9" x14ac:dyDescent="0.2">
      <c r="A321" s="66" t="s">
        <v>113</v>
      </c>
      <c r="C321"/>
      <c r="I321" s="57"/>
    </row>
    <row r="322" spans="1:9" x14ac:dyDescent="0.2">
      <c r="A322" s="56" t="s">
        <v>60</v>
      </c>
      <c r="B322" s="105">
        <v>1</v>
      </c>
      <c r="C322" s="210" t="s">
        <v>116</v>
      </c>
      <c r="D322" s="113" t="s">
        <v>392</v>
      </c>
      <c r="I322" s="57"/>
    </row>
    <row r="323" spans="1:9" x14ac:dyDescent="0.2">
      <c r="A323" s="56" t="s">
        <v>125</v>
      </c>
      <c r="B323" s="59">
        <v>0.5</v>
      </c>
      <c r="C323" s="210" t="s">
        <v>116</v>
      </c>
      <c r="D323" s="113" t="s">
        <v>393</v>
      </c>
      <c r="I323" s="57"/>
    </row>
    <row r="324" spans="1:9" x14ac:dyDescent="0.2">
      <c r="A324" s="66" t="s">
        <v>62</v>
      </c>
      <c r="C324"/>
      <c r="I324" s="57"/>
    </row>
    <row r="325" spans="1:9" x14ac:dyDescent="0.2">
      <c r="A325" s="56" t="s">
        <v>62</v>
      </c>
      <c r="B325" s="67">
        <v>1.4E-8</v>
      </c>
      <c r="C325" t="s">
        <v>133</v>
      </c>
      <c r="D325" t="s">
        <v>98</v>
      </c>
      <c r="G325" s="350" t="s">
        <v>736</v>
      </c>
      <c r="I325" s="57"/>
    </row>
    <row r="326" spans="1:9" x14ac:dyDescent="0.2">
      <c r="A326" s="66" t="s">
        <v>52</v>
      </c>
      <c r="C326"/>
      <c r="I326" s="57"/>
    </row>
    <row r="327" spans="1:9" x14ac:dyDescent="0.2">
      <c r="A327" s="56" t="s">
        <v>128</v>
      </c>
      <c r="B327" s="59">
        <v>2.2000000000000001E-6</v>
      </c>
      <c r="C327" t="s">
        <v>1</v>
      </c>
      <c r="D327" s="113" t="s">
        <v>665</v>
      </c>
      <c r="I327" s="57"/>
    </row>
    <row r="328" spans="1:9" x14ac:dyDescent="0.2">
      <c r="A328" s="56"/>
      <c r="C328"/>
      <c r="I328" s="57"/>
    </row>
    <row r="329" spans="1:9" x14ac:dyDescent="0.2">
      <c r="A329" s="66" t="s">
        <v>663</v>
      </c>
      <c r="B329" s="2" t="s">
        <v>512</v>
      </c>
      <c r="C329"/>
      <c r="D329" s="2" t="s">
        <v>513</v>
      </c>
      <c r="I329" s="57"/>
    </row>
    <row r="330" spans="1:9" x14ac:dyDescent="0.2">
      <c r="A330" s="209" t="s">
        <v>514</v>
      </c>
      <c r="B330" s="29">
        <f>'Design Regulator'!E82/1000</f>
        <v>1.2E-2</v>
      </c>
      <c r="C330" s="210" t="s">
        <v>116</v>
      </c>
      <c r="D330" s="29">
        <f>'Design Regulator'!F82/1000</f>
        <v>4.0999999999999995E-3</v>
      </c>
      <c r="E330" s="210" t="s">
        <v>116</v>
      </c>
      <c r="F330" s="113" t="s">
        <v>668</v>
      </c>
      <c r="I330" s="57"/>
    </row>
    <row r="331" spans="1:9" x14ac:dyDescent="0.2">
      <c r="A331" s="56" t="s">
        <v>79</v>
      </c>
      <c r="B331" s="59">
        <f>4000/1000000</f>
        <v>4.0000000000000001E-3</v>
      </c>
      <c r="C331" s="113" t="s">
        <v>271</v>
      </c>
      <c r="D331" s="395">
        <v>4.0000000000000001E-3</v>
      </c>
      <c r="E331" s="113" t="s">
        <v>271</v>
      </c>
      <c r="F331" s="113" t="s">
        <v>394</v>
      </c>
      <c r="I331" s="57"/>
    </row>
    <row r="332" spans="1:9" x14ac:dyDescent="0.2">
      <c r="A332" s="209" t="s">
        <v>122</v>
      </c>
      <c r="B332" s="72">
        <f>'Design Regulator'!E83/1000000000</f>
        <v>8.0000000000000005E-9</v>
      </c>
      <c r="C332" t="s">
        <v>134</v>
      </c>
      <c r="D332" s="72">
        <f>'Design Regulator'!F83/1000000000</f>
        <v>2.4999999999999999E-8</v>
      </c>
      <c r="E332" t="s">
        <v>134</v>
      </c>
      <c r="F332" s="113" t="s">
        <v>667</v>
      </c>
      <c r="I332" s="57"/>
    </row>
    <row r="333" spans="1:9" x14ac:dyDescent="0.2">
      <c r="A333" s="209" t="s">
        <v>515</v>
      </c>
      <c r="B333" s="72">
        <f>'Design Regulator'!E84/1000000000</f>
        <v>2.8999999999999999E-9</v>
      </c>
      <c r="C333" t="s">
        <v>134</v>
      </c>
      <c r="D333" s="72">
        <f>'Design Regulator'!F84/1000000000</f>
        <v>8.9999999999999995E-9</v>
      </c>
      <c r="E333" t="s">
        <v>134</v>
      </c>
      <c r="F333" t="s">
        <v>121</v>
      </c>
      <c r="I333" s="57"/>
    </row>
    <row r="334" spans="1:9" x14ac:dyDescent="0.2">
      <c r="A334" s="209" t="s">
        <v>516</v>
      </c>
      <c r="B334" s="72">
        <f>'Design Regulator'!E85/1000000000</f>
        <v>3.1E-9</v>
      </c>
      <c r="C334" t="s">
        <v>134</v>
      </c>
      <c r="D334" s="72">
        <f>'Design Regulator'!F85/1000000000</f>
        <v>8.6999999999999985E-9</v>
      </c>
      <c r="E334" t="s">
        <v>134</v>
      </c>
      <c r="F334" t="s">
        <v>719</v>
      </c>
      <c r="I334" s="57"/>
    </row>
    <row r="335" spans="1:9" x14ac:dyDescent="0.2">
      <c r="A335" s="585" t="s">
        <v>715</v>
      </c>
      <c r="B335" s="72">
        <f>'Design Regulator'!E86/1000000000</f>
        <v>0</v>
      </c>
      <c r="C335" t="s">
        <v>134</v>
      </c>
      <c r="D335" s="72">
        <f>'Design Regulator'!F86/1000000000</f>
        <v>2.9999999999999997E-8</v>
      </c>
      <c r="E335" t="s">
        <v>134</v>
      </c>
      <c r="F335" s="113" t="s">
        <v>717</v>
      </c>
      <c r="I335" s="57"/>
    </row>
    <row r="336" spans="1:9" x14ac:dyDescent="0.2">
      <c r="A336" s="585" t="s">
        <v>716</v>
      </c>
      <c r="B336" s="72">
        <f>'Design Regulator'!E87/1000000000000</f>
        <v>1.16E-10</v>
      </c>
      <c r="C336" t="s">
        <v>24</v>
      </c>
      <c r="D336" s="72">
        <f>'Design Regulator'!F87/1000000000000</f>
        <v>3.6599999999999998E-10</v>
      </c>
      <c r="E336" t="s">
        <v>24</v>
      </c>
      <c r="F336" s="113" t="s">
        <v>718</v>
      </c>
      <c r="I336" s="57"/>
    </row>
    <row r="337" spans="1:9" x14ac:dyDescent="0.2">
      <c r="A337" s="209" t="s">
        <v>517</v>
      </c>
      <c r="B337" s="29">
        <f>'Design Regulator'!E88</f>
        <v>1.2</v>
      </c>
      <c r="C337" s="210" t="s">
        <v>116</v>
      </c>
      <c r="D337" s="29">
        <f>'Design Regulator'!F88</f>
        <v>1.2</v>
      </c>
      <c r="E337" s="210" t="s">
        <v>116</v>
      </c>
      <c r="F337" t="s">
        <v>100</v>
      </c>
      <c r="I337" s="57"/>
    </row>
    <row r="338" spans="1:9" x14ac:dyDescent="0.2">
      <c r="A338" s="209" t="s">
        <v>518</v>
      </c>
      <c r="B338" s="29">
        <f>'Design Regulator'!E89</f>
        <v>55</v>
      </c>
      <c r="C338" t="s">
        <v>66</v>
      </c>
      <c r="D338" s="29">
        <f>'Design Regulator'!F89</f>
        <v>178</v>
      </c>
      <c r="E338" t="s">
        <v>66</v>
      </c>
      <c r="F338" s="113" t="s">
        <v>670</v>
      </c>
      <c r="I338" s="57"/>
    </row>
    <row r="339" spans="1:9" x14ac:dyDescent="0.2">
      <c r="A339" s="209" t="s">
        <v>519</v>
      </c>
      <c r="B339" s="29">
        <f>'Design Regulator'!E90</f>
        <v>3.1</v>
      </c>
      <c r="C339" t="s">
        <v>0</v>
      </c>
      <c r="D339" s="29">
        <f>'Design Regulator'!F90</f>
        <v>3</v>
      </c>
      <c r="E339" t="s">
        <v>0</v>
      </c>
      <c r="F339" s="113" t="s">
        <v>671</v>
      </c>
      <c r="I339" s="57"/>
    </row>
    <row r="340" spans="1:9" x14ac:dyDescent="0.2">
      <c r="A340" s="209" t="s">
        <v>520</v>
      </c>
      <c r="B340" s="376">
        <f>Vth_Q1+(Iout/Number_of_Phases)/Gfs_Q1</f>
        <v>3.1909090909090909</v>
      </c>
      <c r="C340" t="s">
        <v>0</v>
      </c>
      <c r="D340" s="376">
        <f>Vth_Q2+(Iout/Number_of_Phases)/Gfs_Q2</f>
        <v>3.0280898876404496</v>
      </c>
      <c r="E340" t="s">
        <v>0</v>
      </c>
      <c r="F340" s="113" t="s">
        <v>672</v>
      </c>
      <c r="I340" s="57"/>
    </row>
    <row r="341" spans="1:9" x14ac:dyDescent="0.2">
      <c r="A341" s="56"/>
      <c r="C341"/>
      <c r="F341" s="113"/>
      <c r="I341" s="57"/>
    </row>
    <row r="342" spans="1:9" x14ac:dyDescent="0.2">
      <c r="A342" s="209" t="s">
        <v>522</v>
      </c>
      <c r="B342" s="29">
        <f>'Design Regulator'!E91</f>
        <v>0.7</v>
      </c>
      <c r="C342" t="s">
        <v>0</v>
      </c>
      <c r="D342" s="29">
        <f>'Design Regulator'!F91</f>
        <v>0.7</v>
      </c>
      <c r="E342" t="s">
        <v>0</v>
      </c>
      <c r="F342" s="113" t="s">
        <v>521</v>
      </c>
      <c r="I342" s="57"/>
    </row>
    <row r="343" spans="1:9" x14ac:dyDescent="0.2">
      <c r="A343" s="209" t="s">
        <v>482</v>
      </c>
      <c r="B343" s="72"/>
      <c r="C343" t="s">
        <v>134</v>
      </c>
      <c r="D343" s="72">
        <f>'Design Regulator'!F92/1000000000</f>
        <v>5.8999999999999999E-8</v>
      </c>
      <c r="E343" t="s">
        <v>134</v>
      </c>
      <c r="F343" t="s">
        <v>110</v>
      </c>
      <c r="I343" s="57"/>
    </row>
    <row r="344" spans="1:9" x14ac:dyDescent="0.2">
      <c r="A344" s="209" t="s">
        <v>483</v>
      </c>
      <c r="B344" s="72">
        <v>4.0000000000000001E-8</v>
      </c>
      <c r="C344" t="s">
        <v>133</v>
      </c>
      <c r="D344" s="72">
        <v>4.0000000000000001E-8</v>
      </c>
      <c r="E344" t="s">
        <v>133</v>
      </c>
      <c r="F344" t="s">
        <v>106</v>
      </c>
      <c r="I344" s="57"/>
    </row>
    <row r="345" spans="1:9" x14ac:dyDescent="0.2">
      <c r="A345" s="209" t="s">
        <v>579</v>
      </c>
      <c r="B345" s="29">
        <f>'Design Regulator'!E93</f>
        <v>42</v>
      </c>
      <c r="C345" s="113" t="s">
        <v>202</v>
      </c>
      <c r="D345" s="29">
        <f>'Design Regulator'!F93</f>
        <v>40.700000000000003</v>
      </c>
      <c r="E345" s="113" t="s">
        <v>202</v>
      </c>
      <c r="F345" s="113" t="s">
        <v>669</v>
      </c>
      <c r="I345" s="57"/>
    </row>
    <row r="346" spans="1:9" x14ac:dyDescent="0.2">
      <c r="A346" s="209"/>
      <c r="B346" s="29"/>
      <c r="C346" s="113"/>
      <c r="D346" s="29"/>
      <c r="E346" s="113"/>
      <c r="I346" s="57"/>
    </row>
    <row r="347" spans="1:9" x14ac:dyDescent="0.2">
      <c r="A347" s="209"/>
      <c r="B347" s="113"/>
      <c r="C347" s="113"/>
      <c r="D347" s="113"/>
      <c r="E347" s="113"/>
      <c r="I347" s="57"/>
    </row>
    <row r="348" spans="1:9" x14ac:dyDescent="0.2">
      <c r="A348" s="209"/>
      <c r="B348" s="29"/>
      <c r="C348" s="113"/>
      <c r="D348" s="29"/>
      <c r="E348" s="113"/>
      <c r="I348" s="57"/>
    </row>
    <row r="349" spans="1:9" x14ac:dyDescent="0.2">
      <c r="A349" s="66" t="s">
        <v>506</v>
      </c>
      <c r="B349" s="472"/>
      <c r="D349" s="472"/>
      <c r="I349" s="57"/>
    </row>
    <row r="350" spans="1:9" x14ac:dyDescent="0.2">
      <c r="A350" s="56" t="s">
        <v>192</v>
      </c>
      <c r="B350" s="29">
        <f>'Design Regulator'!F96</f>
        <v>0</v>
      </c>
      <c r="C350" t="s">
        <v>0</v>
      </c>
      <c r="D350" s="29" t="e">
        <f>'Design Regulator'!#REF!</f>
        <v>#REF!</v>
      </c>
      <c r="E350" t="s">
        <v>0</v>
      </c>
      <c r="F350" t="s">
        <v>195</v>
      </c>
      <c r="I350" s="57"/>
    </row>
    <row r="351" spans="1:9" x14ac:dyDescent="0.2">
      <c r="A351" s="56" t="s">
        <v>193</v>
      </c>
      <c r="B351" s="72">
        <f>'Design Regulator'!F97/1000000000</f>
        <v>0</v>
      </c>
      <c r="C351" t="s">
        <v>134</v>
      </c>
      <c r="D351" s="72" t="e">
        <f>'Design Regulator'!#REF!/1000000000</f>
        <v>#REF!</v>
      </c>
      <c r="E351" t="s">
        <v>134</v>
      </c>
      <c r="F351" t="s">
        <v>196</v>
      </c>
      <c r="I351" s="57"/>
    </row>
    <row r="352" spans="1:9" x14ac:dyDescent="0.2">
      <c r="A352" s="56" t="s">
        <v>194</v>
      </c>
      <c r="B352" s="29">
        <v>0</v>
      </c>
      <c r="C352" t="s">
        <v>1</v>
      </c>
      <c r="D352" s="29">
        <v>0</v>
      </c>
      <c r="E352" t="s">
        <v>1</v>
      </c>
      <c r="F352" t="s">
        <v>197</v>
      </c>
      <c r="I352" s="57"/>
    </row>
    <row r="353" spans="1:9" x14ac:dyDescent="0.2">
      <c r="A353" s="56"/>
      <c r="C353"/>
      <c r="I353" s="57"/>
    </row>
    <row r="354" spans="1:9" x14ac:dyDescent="0.2">
      <c r="A354" s="66" t="s">
        <v>117</v>
      </c>
      <c r="C354"/>
      <c r="I354" s="57"/>
    </row>
    <row r="355" spans="1:9" x14ac:dyDescent="0.2">
      <c r="A355" s="209" t="s">
        <v>457</v>
      </c>
      <c r="B355" s="395">
        <v>34.1</v>
      </c>
      <c r="C355" s="113" t="s">
        <v>202</v>
      </c>
      <c r="D355" s="113"/>
      <c r="E355" s="113"/>
      <c r="F355" t="s">
        <v>461</v>
      </c>
      <c r="I355" s="57"/>
    </row>
    <row r="356" spans="1:9" x14ac:dyDescent="0.2">
      <c r="A356" s="66" t="s">
        <v>77</v>
      </c>
      <c r="C356"/>
      <c r="I356" s="57"/>
    </row>
    <row r="357" spans="1:9" x14ac:dyDescent="0.2">
      <c r="A357" s="209" t="s">
        <v>59</v>
      </c>
      <c r="C357"/>
      <c r="I357" s="57"/>
    </row>
    <row r="358" spans="1:9" x14ac:dyDescent="0.2">
      <c r="A358" s="56" t="s">
        <v>88</v>
      </c>
      <c r="B358" s="69">
        <f>(Qgd_Q1+Qgs_Q1/2)*(RdsonDRT+Rgate1)/(VCC-Vsp_Q1)</f>
        <v>5.4115577889447241E-9</v>
      </c>
      <c r="C358" t="s">
        <v>133</v>
      </c>
      <c r="D358" s="30"/>
      <c r="I358" s="57"/>
    </row>
    <row r="359" spans="1:9" x14ac:dyDescent="0.2">
      <c r="A359" s="56" t="s">
        <v>89</v>
      </c>
      <c r="B359" s="69">
        <f>(Qgd_Q1+Qgs_Q1/2)*(RdsonDRT2+Rgate1)/(Vsp_Q1)</f>
        <v>2.3707977207977209E-9</v>
      </c>
      <c r="C359" t="s">
        <v>133</v>
      </c>
      <c r="D359" s="30"/>
      <c r="I359" s="57"/>
    </row>
    <row r="360" spans="1:9" x14ac:dyDescent="0.2">
      <c r="A360" s="56"/>
      <c r="C360"/>
      <c r="I360" s="57"/>
    </row>
    <row r="361" spans="1:9" x14ac:dyDescent="0.2">
      <c r="A361" s="66" t="s">
        <v>400</v>
      </c>
      <c r="B361" s="2" t="s">
        <v>7</v>
      </c>
      <c r="C361" s="2" t="s">
        <v>76</v>
      </c>
      <c r="I361" s="57"/>
    </row>
    <row r="362" spans="1:9" x14ac:dyDescent="0.2">
      <c r="A362" s="58" t="s">
        <v>115</v>
      </c>
      <c r="B362" s="3">
        <f>CHOOSE(Ext_VCC, (Qg_Q1+Qg_Q2)*Fsw*VCC, (Qg_Q1+Qg_Q2)*Fsw*Vin)</f>
        <v>5.6099999999999997E-2</v>
      </c>
      <c r="C362" s="3" t="s">
        <v>116</v>
      </c>
      <c r="I362" s="57"/>
    </row>
    <row r="363" spans="1:9" x14ac:dyDescent="0.2">
      <c r="A363" s="58" t="s">
        <v>119</v>
      </c>
      <c r="B363" s="584">
        <f>B362*ThetaJaCtrl</f>
        <v>1.9130099999999999</v>
      </c>
      <c r="C363" s="113" t="s">
        <v>223</v>
      </c>
      <c r="I363" s="57"/>
    </row>
    <row r="364" spans="1:9" x14ac:dyDescent="0.2">
      <c r="A364" s="209" t="s">
        <v>703</v>
      </c>
      <c r="B364" s="584">
        <f>B363 + Ta</f>
        <v>26.91301</v>
      </c>
      <c r="C364" s="113" t="s">
        <v>223</v>
      </c>
      <c r="I364" s="57"/>
    </row>
    <row r="365" spans="1:9" x14ac:dyDescent="0.2">
      <c r="A365" s="585"/>
      <c r="B365" s="584"/>
      <c r="C365" s="113"/>
      <c r="I365" s="57"/>
    </row>
    <row r="366" spans="1:9" x14ac:dyDescent="0.2">
      <c r="A366" s="58" t="s">
        <v>207</v>
      </c>
      <c r="B366" s="42">
        <f>(Qg_Q1+Qg_Q2)*Fsw+Iq</f>
        <v>1.12222E-2</v>
      </c>
      <c r="C366" t="s">
        <v>1</v>
      </c>
      <c r="I366" s="57"/>
    </row>
    <row r="367" spans="1:9" x14ac:dyDescent="0.2">
      <c r="A367" s="58" t="s">
        <v>208</v>
      </c>
      <c r="B367">
        <f>Qrr_Q2*Fsw</f>
        <v>2.0059999999999998E-2</v>
      </c>
      <c r="C367" t="s">
        <v>1</v>
      </c>
      <c r="I367" s="57"/>
    </row>
    <row r="368" spans="1:9" x14ac:dyDescent="0.2">
      <c r="A368" s="58" t="s">
        <v>209</v>
      </c>
      <c r="B368" t="e">
        <f>C368/Vin</f>
        <v>#NAME?</v>
      </c>
      <c r="C368" t="e">
        <f>Deadtime*Fsw*(Ipp/2)*(Vsd_Q1+Vsd_Q2)</f>
        <v>#NAME?</v>
      </c>
      <c r="I368" s="57"/>
    </row>
    <row r="369" spans="1:9" x14ac:dyDescent="0.2">
      <c r="A369" s="58" t="s">
        <v>211</v>
      </c>
      <c r="B369" t="e">
        <f>SUM(B366:B368)</f>
        <v>#NAME?</v>
      </c>
      <c r="C369" t="s">
        <v>1</v>
      </c>
      <c r="I369" s="57"/>
    </row>
    <row r="370" spans="1:9" x14ac:dyDescent="0.2">
      <c r="A370" s="56"/>
      <c r="I370" s="57"/>
    </row>
    <row r="371" spans="1:9" x14ac:dyDescent="0.2">
      <c r="A371" s="66" t="s">
        <v>427</v>
      </c>
      <c r="I371" s="57"/>
    </row>
    <row r="372" spans="1:9" x14ac:dyDescent="0.2">
      <c r="A372" s="56" t="s">
        <v>114</v>
      </c>
      <c r="I372" s="57"/>
    </row>
    <row r="373" spans="1:9" ht="13.5" thickBot="1" x14ac:dyDescent="0.25">
      <c r="A373" s="60" t="s">
        <v>115</v>
      </c>
      <c r="B373" s="61"/>
      <c r="C373" s="289"/>
      <c r="D373" s="61"/>
      <c r="E373" s="61"/>
      <c r="F373" s="61"/>
      <c r="G373" s="61"/>
      <c r="H373" s="61"/>
      <c r="I373" s="62"/>
    </row>
    <row r="374" spans="1:9" x14ac:dyDescent="0.2">
      <c r="A374" s="1"/>
      <c r="B374" s="1"/>
      <c r="C374" s="1"/>
    </row>
    <row r="375" spans="1:9" ht="21.75" customHeight="1" thickBot="1" x14ac:dyDescent="0.3">
      <c r="A375" s="88" t="s">
        <v>203</v>
      </c>
      <c r="D375" s="2"/>
    </row>
    <row r="376" spans="1:9" x14ac:dyDescent="0.2">
      <c r="A376" s="89" t="str">
        <f>"RC1 = "&amp;'Design Regulator'!D71&amp;"kΩ"</f>
        <v>RC1 = 12.4kΩ</v>
      </c>
      <c r="B376" s="63" t="str">
        <f>'Design Regulator'!D71&amp;"kΩ"</f>
        <v>12.4kΩ</v>
      </c>
      <c r="C376" s="288"/>
      <c r="D376" s="283" t="str">
        <f>'Design Regulator'!D74&amp;"kΩ"</f>
        <v>kΩ</v>
      </c>
      <c r="E376" s="63"/>
      <c r="F376" s="63"/>
      <c r="G376" s="63"/>
      <c r="H376" s="63"/>
      <c r="I376" s="64"/>
    </row>
    <row r="377" spans="1:9" x14ac:dyDescent="0.2">
      <c r="A377" s="56" t="str">
        <f>"RC2 = "&amp;'Design Regulator'!D74&amp;"kΩ"</f>
        <v>RC2 = kΩ</v>
      </c>
      <c r="B377" t="str">
        <f>'Design Regulator'!D74&amp;"kΩ"</f>
        <v>kΩ</v>
      </c>
      <c r="I377" s="57"/>
    </row>
    <row r="378" spans="1:9" x14ac:dyDescent="0.2">
      <c r="A378" s="56"/>
      <c r="I378" s="57"/>
    </row>
    <row r="379" spans="1:9" x14ac:dyDescent="0.2">
      <c r="A379" s="56" t="str">
        <f>"Lo = "&amp;'Design Regulator'!E27&amp;"µH"</f>
        <v>Lo = 2.2µH</v>
      </c>
      <c r="B379" t="str">
        <f>'Design Regulator'!E27&amp;"µH"</f>
        <v>2.2µH</v>
      </c>
      <c r="D379" t="str">
        <f>IF(MODE = 1, 'Design Regulator'!I27&amp;"µH", 'Design Regulator'!E27&amp;"µH")</f>
        <v>µH</v>
      </c>
      <c r="I379" s="57"/>
    </row>
    <row r="380" spans="1:9" x14ac:dyDescent="0.2">
      <c r="A380" s="56" t="str">
        <f>"Rdcr = "&amp;Rdcr*1000&amp;"mΩ"</f>
        <v>Rdcr = 3.5mΩ</v>
      </c>
      <c r="B380" t="str">
        <f>Rdcr*1000&amp;"mΩ"</f>
        <v>3.5mΩ</v>
      </c>
      <c r="D380" t="str">
        <f>IF(MODE=1, Rdcr2*1000&amp;"mΩ", Rdcr*1000&amp;"mΩ")</f>
        <v>0mΩ</v>
      </c>
      <c r="I380" s="57"/>
    </row>
    <row r="381" spans="1:9" x14ac:dyDescent="0.2">
      <c r="A381" s="56" t="str">
        <f>"Rs = "&amp;'Design Regulator'!E18&amp;"mΩ"</f>
        <v>Rs = 2mΩ</v>
      </c>
      <c r="B381" t="str">
        <f>'Design Regulator'!E18&amp;"mΩ"</f>
        <v>2mΩ</v>
      </c>
      <c r="D381" t="str">
        <f>IF(MODE = 1, 'Design Regulator'!I18&amp;"mΩ", 'Design Regulator'!E18&amp;"mΩ")</f>
        <v>mΩ</v>
      </c>
      <c r="I381" s="57"/>
    </row>
    <row r="382" spans="1:9" x14ac:dyDescent="0.2">
      <c r="A382" s="670"/>
      <c r="I382" s="57"/>
    </row>
    <row r="383" spans="1:9" x14ac:dyDescent="0.2">
      <c r="A383" s="585" t="s">
        <v>917</v>
      </c>
      <c r="B383" t="str">
        <f>IF(VIN_max&gt;42,"LM5148(-Q1)","LM25148(-Q1)")</f>
        <v>LM5148(-Q1)</v>
      </c>
      <c r="I383" s="57"/>
    </row>
    <row r="384" spans="1:9" x14ac:dyDescent="0.2">
      <c r="A384" s="56"/>
      <c r="I384" s="57"/>
    </row>
    <row r="385" spans="1:9" x14ac:dyDescent="0.2">
      <c r="A385" s="670" t="str">
        <f>IF((INFILTER_TYPE=1),"AEF IS DISABLED!","AEF")</f>
        <v>AEF IS DISABLED!</v>
      </c>
      <c r="B385" s="113" t="str">
        <f>IF((INFILTER_TYPE=1),"","0.1µF")</f>
        <v/>
      </c>
      <c r="C385" s="113" t="str">
        <f>IF((INFILTER_TYPE=1),"","0.47Ω")</f>
        <v/>
      </c>
      <c r="D385" t="str">
        <f>IF((INFILTER_TYPE=1),"","3Ω")</f>
        <v/>
      </c>
      <c r="E385" t="str">
        <f>IF((INFILTER_TYPE=1),"","50kΩ")</f>
        <v/>
      </c>
      <c r="I385" s="57"/>
    </row>
    <row r="386" spans="1:9" x14ac:dyDescent="0.2">
      <c r="A386" s="670" t="str">
        <f>"LAEF ="&amp;L_infilter&amp;" uF"</f>
        <v>LAEF =0.68 uF</v>
      </c>
      <c r="B386" s="113" t="str">
        <f>IF((INFILTER_TYPE=1),"",L_infilter&amp;"µH")</f>
        <v/>
      </c>
      <c r="C386" s="113"/>
      <c r="I386" s="57"/>
    </row>
    <row r="387" spans="1:9" x14ac:dyDescent="0.2">
      <c r="A387" s="670"/>
      <c r="B387" t="str">
        <f>IF((INFILTER_TYPE=1),"",CinjSel*1000000&amp;"µF")</f>
        <v/>
      </c>
      <c r="I387" s="57"/>
    </row>
    <row r="388" spans="1:9" x14ac:dyDescent="0.2">
      <c r="A388" s="670"/>
      <c r="B388" t="str">
        <f>IF((INFILTER_TYPE=1),"",IF(OSC=1,"DNP",CdampSel*1000000&amp;"µF"))</f>
        <v/>
      </c>
      <c r="I388" s="57"/>
    </row>
    <row r="389" spans="1:9" x14ac:dyDescent="0.2">
      <c r="A389" s="670"/>
      <c r="B389" t="str">
        <f>IF((INFILTER_TYPE=1),"",RdampSel&amp;"Ω")</f>
        <v/>
      </c>
      <c r="I389" s="57"/>
    </row>
    <row r="390" spans="1:9" x14ac:dyDescent="0.2">
      <c r="A390" s="670" t="e">
        <f>"Rcomp ="&amp;Rcomp_AEF&amp;"Ω"</f>
        <v>#VALUE!</v>
      </c>
      <c r="B390" t="str">
        <f>IF((INFILTER_TYPE=1),"",Rcomp_AEF&amp;"Ω")</f>
        <v/>
      </c>
      <c r="I390" s="57"/>
    </row>
    <row r="391" spans="1:9" x14ac:dyDescent="0.2">
      <c r="A391" s="670" t="e">
        <f>"Ccomp ="&amp;Ccomp_AEF*1000000000000&amp;"pF"</f>
        <v>#VALUE!</v>
      </c>
      <c r="B391" t="str">
        <f>IF((INFILTER_TYPE=1),"",Ccomp_AEF*1000000000000&amp;"pF")</f>
        <v/>
      </c>
      <c r="I391" s="57"/>
    </row>
    <row r="392" spans="1:9" x14ac:dyDescent="0.2">
      <c r="A392" s="670" t="e">
        <f>"Csen ="&amp;Csen_AEF*1000000&amp;"µF"</f>
        <v>#VALUE!</v>
      </c>
      <c r="B392" t="str">
        <f>IF((INFILTER_TYPE=1),"",Csen_AEF*1000000&amp;"µF")</f>
        <v/>
      </c>
      <c r="I392" s="57"/>
    </row>
    <row r="393" spans="1:9" ht="15.75" x14ac:dyDescent="0.3">
      <c r="A393" s="670"/>
      <c r="B393" s="113" t="s">
        <v>887</v>
      </c>
      <c r="I393" s="57"/>
    </row>
    <row r="394" spans="1:9" x14ac:dyDescent="0.2">
      <c r="A394" s="670"/>
      <c r="I394" s="57"/>
    </row>
    <row r="395" spans="1:9" x14ac:dyDescent="0.2">
      <c r="A395" s="56" t="str">
        <f>"VOUT = "&amp;'Design Regulator'!E9&amp;"V"</f>
        <v>VOUT = 12V</v>
      </c>
      <c r="B395" t="str">
        <f>'Design Regulator'!E9&amp;"V"</f>
        <v>12V</v>
      </c>
      <c r="D395" t="str">
        <f>IF(MODE=1, 'Design Regulator'!I10&amp;"V", "")</f>
        <v>V</v>
      </c>
      <c r="I395" s="57"/>
    </row>
    <row r="396" spans="1:9" x14ac:dyDescent="0.2">
      <c r="A396" s="56"/>
      <c r="I396" s="57"/>
    </row>
    <row r="397" spans="1:9" x14ac:dyDescent="0.2">
      <c r="A397" s="56" t="str">
        <f>"COUT = "&amp;'Design Regulator'!$E$35&amp;"µF"</f>
        <v>COUT = 200µF</v>
      </c>
      <c r="B397" t="str">
        <f>ROUND('Design Regulator'!$E$35/Number_of_Phases, 0)&amp;"µF"</f>
        <v>200µF</v>
      </c>
      <c r="D397" t="str">
        <f>IF(MODE=1, 'Design Regulator'!$I$35&amp;"µF", ROUND('Design Regulator'!$E$35/Number_of_Phases, 0)&amp;"µF")</f>
        <v>µF</v>
      </c>
      <c r="I397" s="57"/>
    </row>
    <row r="398" spans="1:9" x14ac:dyDescent="0.2">
      <c r="A398" s="209" t="s">
        <v>258</v>
      </c>
      <c r="B398" t="str">
        <f>"22µF"</f>
        <v>22µF</v>
      </c>
      <c r="I398" s="57"/>
    </row>
    <row r="399" spans="1:9" x14ac:dyDescent="0.2">
      <c r="A399" s="209" t="s">
        <v>259</v>
      </c>
      <c r="B399" s="115" t="str">
        <f>ROUNDUP(Cout*1000000/22,0)&amp;" x"</f>
        <v>10 x</v>
      </c>
      <c r="C399" s="290"/>
      <c r="I399" s="57"/>
    </row>
    <row r="400" spans="1:9" x14ac:dyDescent="0.2">
      <c r="A400" s="56"/>
      <c r="I400" s="57"/>
    </row>
    <row r="401" spans="1:9" x14ac:dyDescent="0.2">
      <c r="A401" s="56" t="s">
        <v>212</v>
      </c>
      <c r="B401" t="str">
        <f>Cin*1000000&amp;"µF"</f>
        <v>30µF</v>
      </c>
      <c r="I401" s="57"/>
    </row>
    <row r="402" spans="1:9" x14ac:dyDescent="0.2">
      <c r="A402" s="209" t="s">
        <v>257</v>
      </c>
      <c r="B402" t="str">
        <f>"10µF"</f>
        <v>10µF</v>
      </c>
      <c r="I402" s="57"/>
    </row>
    <row r="403" spans="1:9" x14ac:dyDescent="0.2">
      <c r="A403" s="209" t="s">
        <v>256</v>
      </c>
      <c r="B403" s="115" t="str">
        <f>ROUNDUP(Cin*1000000/10,0)&amp;" x"</f>
        <v>3 x</v>
      </c>
      <c r="C403" s="290"/>
      <c r="I403" s="57"/>
    </row>
    <row r="404" spans="1:9" x14ac:dyDescent="0.2">
      <c r="A404" s="585" t="s">
        <v>753</v>
      </c>
      <c r="B404" s="115" t="str">
        <f>CHOOSE(INFILTER_TYPE,"",4*Cin*1000000&amp;"µF")</f>
        <v/>
      </c>
      <c r="C404" s="290"/>
      <c r="E404">
        <f>COMP_TYPE</f>
        <v>2</v>
      </c>
      <c r="I404" s="57"/>
    </row>
    <row r="405" spans="1:9" x14ac:dyDescent="0.2">
      <c r="A405" s="585" t="s">
        <v>832</v>
      </c>
      <c r="B405" s="115" t="str">
        <f>CHOOSE(INFILTER_TYPE,"",D301&amp;"Ω")</f>
        <v/>
      </c>
      <c r="C405" s="290"/>
      <c r="I405" s="57"/>
    </row>
    <row r="406" spans="1:9" x14ac:dyDescent="0.2">
      <c r="A406" s="209"/>
      <c r="B406" s="115"/>
      <c r="C406" s="290"/>
      <c r="I406" s="57"/>
    </row>
    <row r="407" spans="1:9" x14ac:dyDescent="0.2">
      <c r="A407" s="56" t="str">
        <f>"RC1 = "&amp;Rcea1_u/1000&amp;"kΩ"</f>
        <v>RC1 = 12.4kΩ</v>
      </c>
      <c r="B407" t="str">
        <f>IF(COMP_TYPE=1,"",ROUND(Rcea1_u/1000,2)&amp;"kΩ")</f>
        <v>12.4kΩ</v>
      </c>
      <c r="C407" t="str">
        <f>IF(OR(Vout=3.3,Vout=5,Vout=12),"",IF(COMP_TYPE=1,"100kΩ",""))</f>
        <v/>
      </c>
      <c r="D407" s="366" t="str">
        <f>IF(OR(Vout=3.3,Vout=5,Vout=12), IF(COMP_TYPE=1,"",ROUND(Rcea1_u/1000,2)&amp;"kΩ"), "")</f>
        <v>12.4kΩ</v>
      </c>
      <c r="E407" t="str">
        <f>IF(OR(Vout=3.3,Vout=5,Vout=12),IF(COMP_TYPE=1,"100kΩ",""),"")</f>
        <v/>
      </c>
      <c r="I407" s="57"/>
    </row>
    <row r="408" spans="1:9" x14ac:dyDescent="0.2">
      <c r="A408" s="56" t="str">
        <f>"CC1 = "&amp;Cc1ea_u*10^9&amp;"nF"</f>
        <v>CC1 = 3.3nF</v>
      </c>
      <c r="B408" t="str">
        <f>IF(COMP_TYPE=1,"",Cc1ea_u*10^9&amp;"nF")</f>
        <v>3.3nF</v>
      </c>
      <c r="C408" s="113"/>
      <c r="I408" s="57"/>
    </row>
    <row r="409" spans="1:9" x14ac:dyDescent="0.2">
      <c r="A409" s="56" t="str">
        <f>"CC2 = "&amp;IF(Cc2ea_u&gt;0, Cc2ea_u*10^12&amp;"pF", "OPEN")</f>
        <v>CC2 = 47pF</v>
      </c>
      <c r="B409" t="str">
        <f>IF(COMP_TYPE=1,"",IF(Cc2ea_u&gt;0, ROUND(Cc2ea_u*10^12,1)&amp;"pF", "N/A"))</f>
        <v>47pF</v>
      </c>
      <c r="C409" s="113"/>
      <c r="I409" s="57"/>
    </row>
    <row r="410" spans="1:9" x14ac:dyDescent="0.2">
      <c r="A410" s="56"/>
      <c r="I410" s="57"/>
    </row>
    <row r="411" spans="1:9" x14ac:dyDescent="0.2">
      <c r="A411" s="56" t="str">
        <f>"gm = "&amp;$B$200*1000&amp;"mS"</f>
        <v>gm = 1.2mS</v>
      </c>
      <c r="B411" t="str">
        <f>$B$200*1000&amp;"mS"</f>
        <v>1.2mS</v>
      </c>
      <c r="I411" s="57"/>
    </row>
    <row r="412" spans="1:9" x14ac:dyDescent="0.2">
      <c r="A412" s="56" t="str">
        <f>"RoEA = "&amp;RoEA/1000000&amp;"MΩ"</f>
        <v>RoEA = 64MΩ</v>
      </c>
      <c r="B412" t="str">
        <f>RoEA/1000000&amp;"MΩ"</f>
        <v>64MΩ</v>
      </c>
      <c r="I412" s="57"/>
    </row>
    <row r="413" spans="1:9" x14ac:dyDescent="0.2">
      <c r="A413" s="56" t="str">
        <f>"GBW = "&amp;GBW&amp;"MHz"</f>
        <v>GBW = 6MHz</v>
      </c>
      <c r="B413" t="str">
        <f>GBW&amp;"MHz"</f>
        <v>6MHz</v>
      </c>
      <c r="I413" s="57"/>
    </row>
    <row r="414" spans="1:9" x14ac:dyDescent="0.2">
      <c r="A414" s="56"/>
      <c r="I414" s="57"/>
    </row>
    <row r="415" spans="1:9" x14ac:dyDescent="0.2">
      <c r="A415" s="56"/>
      <c r="I415" s="57"/>
    </row>
    <row r="416" spans="1:9" x14ac:dyDescent="0.2">
      <c r="A416" s="209" t="s">
        <v>753</v>
      </c>
      <c r="B416" t="str">
        <f>IF(DITHER=1, ROUND(Cdither*1000000000,1)&amp;"nF", "")</f>
        <v>2.2nF</v>
      </c>
      <c r="C416" s="2" t="str">
        <f>IF(DITHER=1, "Cd", "")</f>
        <v>Cd</v>
      </c>
      <c r="I416" s="57"/>
    </row>
    <row r="417" spans="1:9" x14ac:dyDescent="0.2">
      <c r="A417" s="56" t="str">
        <f>"RFB1 = "&amp;'Design Regulator'!E65&amp;"kΩ"</f>
        <v>RFB1 = 78.7kΩ</v>
      </c>
      <c r="B417" t="str">
        <f>IF(VOUT_setting=1, 'Design Regulator'!E65&amp;"kΩ", "")</f>
        <v/>
      </c>
      <c r="D417" t="str">
        <f>'Design Regulator'!I65&amp;"kΩ"</f>
        <v>kΩ</v>
      </c>
      <c r="I417" s="57"/>
    </row>
    <row r="418" spans="1:9" x14ac:dyDescent="0.2">
      <c r="A418" s="56" t="str">
        <f>"RFB2 = "&amp;IF(Vout=Vref,"OPEN",'Design Regulator'!E66&amp;"kΩ")</f>
        <v>RFB2 = 177kΩ</v>
      </c>
      <c r="B418" t="str">
        <f>IF(VOUT_setting=1, IF(Vout=Vref,"OPEN",Rfb2_u/1000&amp;"kΩ"), "")</f>
        <v/>
      </c>
      <c r="D418" t="str">
        <f>IF(Vout2=Vref,"OPEN",Rfb4_u/1000&amp;"kΩ")</f>
        <v>0kΩ</v>
      </c>
      <c r="I418" s="57"/>
    </row>
    <row r="419" spans="1:9" x14ac:dyDescent="0.2">
      <c r="A419" s="585" t="str">
        <f>"RFBSET = "&amp;CHOOSE(VOUT_setting,"","24.9kΩ","0Ω","48.7kΩ")</f>
        <v>RFBSET = 48.7kΩ</v>
      </c>
      <c r="D419" t="str">
        <f>CHOOSE(VOUT_setting,"","24.9kΩ","0Ω","48.7kΩ")</f>
        <v>48.7kΩ</v>
      </c>
      <c r="I419" s="57"/>
    </row>
    <row r="420" spans="1:9" x14ac:dyDescent="0.2">
      <c r="A420" s="585"/>
      <c r="I420" s="57"/>
    </row>
    <row r="421" spans="1:9" x14ac:dyDescent="0.2">
      <c r="A421" s="585" t="s">
        <v>872</v>
      </c>
      <c r="B421" t="str">
        <f>IF((UVLO_TYPE=1),B188&amp;"kΩ","0Ω")</f>
        <v>200kΩ</v>
      </c>
      <c r="I421" s="57"/>
    </row>
    <row r="422" spans="1:9" x14ac:dyDescent="0.2">
      <c r="A422" s="585" t="s">
        <v>873</v>
      </c>
      <c r="B422" t="str">
        <f>IF((UVLO_TYPE=1),B189&amp;"kΩ","N/A")</f>
        <v>9.53kΩ</v>
      </c>
      <c r="I422" s="57"/>
    </row>
    <row r="423" spans="1:9" x14ac:dyDescent="0.2">
      <c r="A423" s="670"/>
      <c r="I423" s="57"/>
    </row>
    <row r="424" spans="1:9" x14ac:dyDescent="0.2">
      <c r="A424" s="56" t="str">
        <f>"Crossover frequency = "&amp;ROUND('Stability Calculations'!U4,0)&amp;"kHz"</f>
        <v>Crossover frequency = 39kHz</v>
      </c>
      <c r="B424" t="str">
        <f>ROUND('Stability Calculations'!U4,0)&amp;"kHz"</f>
        <v>39kHz</v>
      </c>
      <c r="D424" s="114">
        <f>'Stability Calculations'!U4</f>
        <v>39.131500000000003</v>
      </c>
      <c r="I424" s="57"/>
    </row>
    <row r="425" spans="1:9" x14ac:dyDescent="0.2">
      <c r="A425" s="56" t="str">
        <f>CHOOSE(BODE_PLOT_TYPE, "Phase margin = "&amp;ROUND('Stability Calculations'!U5,0)&amp;"°", "°")</f>
        <v>Phase margin = 63°</v>
      </c>
      <c r="B425" s="115" t="str">
        <f>ROUND('Stability Calculations'!U5,0)&amp;"°"</f>
        <v>63°</v>
      </c>
      <c r="C425" s="290"/>
      <c r="E425" s="210"/>
      <c r="I425" s="57"/>
    </row>
    <row r="426" spans="1:9" x14ac:dyDescent="0.2">
      <c r="A426" s="56" t="str">
        <f>IF(loopPM&lt;45,CHOOSE(COMP_TYPE,"Phase margin is LOW, increase Cout","Phase margin is LOW, recompensate"),"")</f>
        <v/>
      </c>
      <c r="B426" s="115"/>
      <c r="C426" s="290"/>
      <c r="E426" s="210"/>
      <c r="I426" s="57"/>
    </row>
    <row r="427" spans="1:9" x14ac:dyDescent="0.2">
      <c r="A427" s="670"/>
      <c r="B427" s="115"/>
      <c r="C427" s="290"/>
      <c r="E427" s="210"/>
      <c r="I427" s="57"/>
    </row>
    <row r="428" spans="1:9" x14ac:dyDescent="0.2">
      <c r="A428" s="66" t="s">
        <v>577</v>
      </c>
      <c r="B428" s="476" t="str">
        <f>IF(PLOT_TYPE=1, ROUND('Efficiency Calculations'!AZ109,1)&amp;"%", ROUND(#REF!,1)&amp;"%")</f>
        <v>96.5%</v>
      </c>
      <c r="C428" s="290"/>
      <c r="D428" s="476"/>
      <c r="E428" s="210"/>
      <c r="I428" s="57"/>
    </row>
    <row r="429" spans="1:9" x14ac:dyDescent="0.2">
      <c r="A429" s="66" t="s">
        <v>578</v>
      </c>
      <c r="B429" s="476" t="str">
        <f>IF(PLOT_TYPE=1, ROUND('Efficiency Calculations'!AZ59,1)&amp;"%", ROUND(#REF!,1)&amp;"%")</f>
        <v>96.1%</v>
      </c>
      <c r="C429" s="290"/>
      <c r="D429" s="476"/>
      <c r="E429" s="210"/>
      <c r="I429" s="57"/>
    </row>
    <row r="430" spans="1:9" x14ac:dyDescent="0.2">
      <c r="A430" s="631"/>
      <c r="B430" s="476" t="str">
        <f>IF(VOUT_setting=1, "", IF(OSC=1, "Tie OSC to VDDA", "Tie OSC to AGND"))</f>
        <v>Tie OSC to AGND</v>
      </c>
      <c r="C430" s="290"/>
      <c r="D430" s="476"/>
      <c r="E430" s="210"/>
      <c r="I430" s="57"/>
    </row>
    <row r="431" spans="1:9" x14ac:dyDescent="0.2">
      <c r="A431" s="56"/>
      <c r="B431" s="115"/>
      <c r="C431" s="290"/>
      <c r="E431" s="210"/>
      <c r="I431" s="57"/>
    </row>
    <row r="432" spans="1:9" x14ac:dyDescent="0.2">
      <c r="A432" s="56"/>
      <c r="I432" s="57"/>
    </row>
    <row r="433" spans="1:9" x14ac:dyDescent="0.2">
      <c r="A433" s="56" t="str">
        <f>"Rs = "&amp;Rs&amp;"Ω"</f>
        <v>Rs = 0.002Ω</v>
      </c>
      <c r="B433" t="str">
        <f>'Standard Value Calculator'!S6&amp;"Ω"</f>
        <v>Ω</v>
      </c>
      <c r="I433" s="57"/>
    </row>
    <row r="434" spans="1:9" x14ac:dyDescent="0.2">
      <c r="A434" s="56" t="s">
        <v>186</v>
      </c>
      <c r="B434" t="str">
        <f>'Standard Value Calculator'!S16&amp;"mΩ"</f>
        <v>1.91mΩ</v>
      </c>
      <c r="I434" s="57"/>
    </row>
    <row r="435" spans="1:9" x14ac:dyDescent="0.2">
      <c r="A435" s="56" t="s">
        <v>164</v>
      </c>
      <c r="B435" t="str">
        <f>'Standard Value Calculator'!S6&amp;"mΩ"</f>
        <v>mΩ</v>
      </c>
      <c r="I435" s="57"/>
    </row>
    <row r="436" spans="1:9" x14ac:dyDescent="0.2">
      <c r="A436" s="56" t="e">
        <f>"Rshunt = "&amp;ROUND(Rshunt,1)&amp;"mΩ"</f>
        <v>#NAME?</v>
      </c>
      <c r="B436" t="e">
        <f>IF(Rshunt="0", "N/A",ROUND(Rshunt,1)&amp;"mΩ")</f>
        <v>#NAME?</v>
      </c>
      <c r="I436" s="57"/>
    </row>
    <row r="437" spans="1:9" x14ac:dyDescent="0.2">
      <c r="A437" s="56"/>
      <c r="I437" s="57"/>
    </row>
    <row r="438" spans="1:9" x14ac:dyDescent="0.2">
      <c r="A438" s="209" t="s">
        <v>254</v>
      </c>
      <c r="B438" s="113" t="s">
        <v>255</v>
      </c>
      <c r="I438" s="57"/>
    </row>
    <row r="439" spans="1:9" ht="15.75" x14ac:dyDescent="0.3">
      <c r="A439" s="209" t="s">
        <v>888</v>
      </c>
      <c r="B439" s="113"/>
      <c r="I439" s="57"/>
    </row>
    <row r="440" spans="1:9" x14ac:dyDescent="0.2">
      <c r="A440" s="585"/>
      <c r="B440" s="113"/>
      <c r="I440" s="57"/>
    </row>
    <row r="441" spans="1:9" x14ac:dyDescent="0.2">
      <c r="A441" s="585" t="s">
        <v>891</v>
      </c>
      <c r="B441" s="113" t="str">
        <f>IF((Ext_VCC=1),"5V","GND")</f>
        <v>5V</v>
      </c>
      <c r="I441" s="57"/>
    </row>
    <row r="442" spans="1:9" x14ac:dyDescent="0.2">
      <c r="A442" s="209" t="s">
        <v>890</v>
      </c>
      <c r="B442" s="113" t="str">
        <f xml:space="preserve"> 'Design Regulator'!E57&amp;"kΩ"</f>
        <v>41.2kΩ</v>
      </c>
      <c r="I442" s="57"/>
    </row>
    <row r="443" spans="1:9" x14ac:dyDescent="0.2">
      <c r="A443" s="209" t="s">
        <v>272</v>
      </c>
      <c r="B443" t="str">
        <f xml:space="preserve"> Rfadj&amp;"kΩ"</f>
        <v>64.9kΩ</v>
      </c>
      <c r="C443" s="2">
        <f>Rfadj</f>
        <v>64.900000000000006</v>
      </c>
      <c r="D443">
        <f>Fsw</f>
        <v>340000</v>
      </c>
      <c r="F443" t="b">
        <f>OR((Fsw=440000),(Fsw=2200000))</f>
        <v>0</v>
      </c>
      <c r="H443" t="b">
        <f>OR(OR(AND(OSC=1, OR(Fsw/1000&gt;2530, Fsw/1000&lt;1800)), AND(OSC=2, OR(Fsw/1000&gt;500, Fsw/1000&lt;300))), OR((Fsw=440000),(Fsw=2200000)))</f>
        <v>0</v>
      </c>
      <c r="I443" s="57"/>
    </row>
    <row r="444" spans="1:9" x14ac:dyDescent="0.2">
      <c r="A444" s="56" t="s">
        <v>150</v>
      </c>
      <c r="B444" s="630" t="str">
        <f>'Standard Value Calculator'!B4*1000000000&amp;"nF"</f>
        <v>0nF</v>
      </c>
      <c r="C444" s="113" t="str">
        <f>IF(MODE=1,"Css","")</f>
        <v>Css</v>
      </c>
      <c r="I444" s="57"/>
    </row>
    <row r="445" spans="1:9" x14ac:dyDescent="0.2">
      <c r="A445" s="209" t="s">
        <v>630</v>
      </c>
      <c r="B445" t="str">
        <f>IF(Cres_u = 0, "N/A", Cres_u*1000000000 &amp;"nF")</f>
        <v>330nF</v>
      </c>
      <c r="C445" t="str">
        <f>IF(Cres_u = 0, "N/A", Cres_u*1000000 &amp;"µF")</f>
        <v>0.33µF</v>
      </c>
      <c r="D445">
        <f>Cres_u</f>
        <v>3.3000000000000002E-7</v>
      </c>
      <c r="I445" s="57"/>
    </row>
    <row r="446" spans="1:9" x14ac:dyDescent="0.2">
      <c r="A446" s="585"/>
      <c r="I446" s="57"/>
    </row>
    <row r="447" spans="1:9" x14ac:dyDescent="0.2">
      <c r="A447" s="56" t="s">
        <v>187</v>
      </c>
      <c r="B447" t="str">
        <f>IF(B76="y","","|")</f>
        <v>|</v>
      </c>
      <c r="I447" s="57"/>
    </row>
    <row r="448" spans="1:9" x14ac:dyDescent="0.2">
      <c r="A448" s="56" t="s">
        <v>204</v>
      </c>
      <c r="B448" t="str">
        <f>'Design Regulator'!$E$10&amp;"A"</f>
        <v>5A</v>
      </c>
      <c r="I448" s="57"/>
    </row>
    <row r="449" spans="1:9" x14ac:dyDescent="0.2">
      <c r="A449" s="56" t="s">
        <v>144</v>
      </c>
      <c r="B449" t="str">
        <f>VIN_nom&amp;"V"</f>
        <v>50V</v>
      </c>
      <c r="I449" s="57"/>
    </row>
    <row r="450" spans="1:9" x14ac:dyDescent="0.2">
      <c r="A450" s="209" t="s">
        <v>583</v>
      </c>
      <c r="B450" t="str">
        <f>VIN_min&amp;"V"&amp;"..."&amp;VIN_max&amp;"V"</f>
        <v>40V...60V</v>
      </c>
      <c r="I450" s="57"/>
    </row>
    <row r="451" spans="1:9" x14ac:dyDescent="0.2">
      <c r="A451" s="56"/>
      <c r="B451" t="str">
        <f>IF(INFILTER_TYPE=1,B450,"")</f>
        <v>40V...60V</v>
      </c>
      <c r="C451" t="str">
        <f>IF(INFILTER_TYPE=1,"",B450)</f>
        <v/>
      </c>
      <c r="I451" s="57"/>
    </row>
    <row r="452" spans="1:9" ht="13.5" thickBot="1" x14ac:dyDescent="0.25">
      <c r="A452" s="60" t="str">
        <f>CHOOSE(Ext_VCC, "", "Tie VCCX to PGND")</f>
        <v/>
      </c>
      <c r="B452" s="61"/>
      <c r="C452" s="289"/>
      <c r="D452" s="61"/>
      <c r="E452" s="61"/>
      <c r="F452" s="61"/>
      <c r="G452" s="61"/>
      <c r="H452" s="61"/>
      <c r="I452" s="62"/>
    </row>
  </sheetData>
  <sheetProtection selectLockedCells="1"/>
  <mergeCells count="2">
    <mergeCell ref="E5:H5"/>
    <mergeCell ref="A1:I1"/>
  </mergeCells>
  <phoneticPr fontId="5" type="noConversion"/>
  <conditionalFormatting sqref="B393">
    <cfRule type="expression" dxfId="0" priority="1">
      <formula>OSC=1</formula>
    </cfRule>
  </conditionalFormatting>
  <pageMargins left="0.75" right="0.75" top="1" bottom="1" header="0.5" footer="0.5"/>
  <pageSetup orientation="portrait" r:id="rId1"/>
  <headerFooter alignWithMargins="0"/>
  <ignoredErrors>
    <ignoredError sqref="K1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Drop Down 1">
              <controlPr defaultSize="0" autoLine="0" autoPict="0">
                <anchor>
                  <from>
                    <xdr:col>9</xdr:col>
                    <xdr:colOff>361950</xdr:colOff>
                    <xdr:row>18</xdr:row>
                    <xdr:rowOff>57150</xdr:rowOff>
                  </from>
                  <to>
                    <xdr:col>11</xdr:col>
                    <xdr:colOff>0</xdr:colOff>
                    <xdr:row>19</xdr:row>
                    <xdr:rowOff>133350</xdr:rowOff>
                  </to>
                </anchor>
              </controlPr>
            </control>
          </mc:Choice>
        </mc:AlternateContent>
        <mc:AlternateContent xmlns:mc="http://schemas.openxmlformats.org/markup-compatibility/2006">
          <mc:Choice Requires="x14">
            <control shapeId="702468" r:id="rId5" name="Drop Down 4">
              <controlPr defaultSize="0" autoLine="0" autoPict="0">
                <anchor moveWithCells="1">
                  <from>
                    <xdr:col>17</xdr:col>
                    <xdr:colOff>361950</xdr:colOff>
                    <xdr:row>15</xdr:row>
                    <xdr:rowOff>133350</xdr:rowOff>
                  </from>
                  <to>
                    <xdr:col>20</xdr:col>
                    <xdr:colOff>28575</xdr:colOff>
                    <xdr:row>17</xdr:row>
                    <xdr:rowOff>0</xdr:rowOff>
                  </to>
                </anchor>
              </controlPr>
            </control>
          </mc:Choice>
        </mc:AlternateContent>
        <mc:AlternateContent xmlns:mc="http://schemas.openxmlformats.org/markup-compatibility/2006">
          <mc:Choice Requires="x14">
            <control shapeId="702470" r:id="rId6" name="Drop Down 6">
              <controlPr defaultSize="0" autoLine="0" autoPict="0">
                <anchor moveWithCells="1">
                  <from>
                    <xdr:col>22</xdr:col>
                    <xdr:colOff>409575</xdr:colOff>
                    <xdr:row>31</xdr:row>
                    <xdr:rowOff>38100</xdr:rowOff>
                  </from>
                  <to>
                    <xdr:col>25</xdr:col>
                    <xdr:colOff>66675</xdr:colOff>
                    <xdr:row>32</xdr:row>
                    <xdr:rowOff>171450</xdr:rowOff>
                  </to>
                </anchor>
              </controlPr>
            </control>
          </mc:Choice>
        </mc:AlternateContent>
        <mc:AlternateContent xmlns:mc="http://schemas.openxmlformats.org/markup-compatibility/2006">
          <mc:Choice Requires="x14">
            <control shapeId="702471" r:id="rId7" name="Drop Down 7">
              <controlPr defaultSize="0" autoLine="0" autoPict="0">
                <anchor moveWithCells="1">
                  <from>
                    <xdr:col>9</xdr:col>
                    <xdr:colOff>228600</xdr:colOff>
                    <xdr:row>51</xdr:row>
                    <xdr:rowOff>38100</xdr:rowOff>
                  </from>
                  <to>
                    <xdr:col>10</xdr:col>
                    <xdr:colOff>523875</xdr:colOff>
                    <xdr:row>52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29"/>
  <sheetViews>
    <sheetView topLeftCell="A4" zoomScale="70" zoomScaleNormal="70" workbookViewId="0">
      <selection activeCell="G5" sqref="G5"/>
    </sheetView>
  </sheetViews>
  <sheetFormatPr defaultRowHeight="12.75" x14ac:dyDescent="0.2"/>
  <cols>
    <col min="1" max="1" width="10.5703125" customWidth="1"/>
    <col min="2" max="2" width="102.140625" customWidth="1"/>
  </cols>
  <sheetData>
    <row r="1" spans="1:14" x14ac:dyDescent="0.2">
      <c r="J1" s="113"/>
      <c r="N1" s="113" t="s">
        <v>592</v>
      </c>
    </row>
    <row r="2" spans="1:14" x14ac:dyDescent="0.2">
      <c r="A2" t="str">
        <f>IF(MODE=1, CHOOSE(SCH_SETTING, "SCH_SetVout_IntComp_nAEF","SCH_SetVout_IntComp_AEF","SCH_SetVout_ExtComp_nAEF","SCH_SetVout_ExtComp_AEF","SCH_AdjVout_IntComp_nAEF","SCH_AdjVout_IntComp_AEF","SCH_AdjVout_ExtComp_nAEF","SCH_AdjVout_ExtComp_AEF"))</f>
        <v>SCH_SetVout_ExtComp_nAEF</v>
      </c>
      <c r="J2" s="113"/>
      <c r="N2" s="113" t="s">
        <v>682</v>
      </c>
    </row>
    <row r="3" spans="1:14" x14ac:dyDescent="0.2">
      <c r="J3" s="113"/>
    </row>
    <row r="4" spans="1:14" ht="19.5" customHeight="1" x14ac:dyDescent="0.2">
      <c r="J4" s="113"/>
    </row>
    <row r="5" spans="1:14" ht="311.10000000000002" customHeight="1" x14ac:dyDescent="0.2">
      <c r="B5" s="521"/>
    </row>
    <row r="6" spans="1:14" ht="12" customHeight="1" x14ac:dyDescent="0.2">
      <c r="B6" s="521"/>
    </row>
    <row r="7" spans="1:14" ht="34.5" customHeight="1" x14ac:dyDescent="0.2"/>
    <row r="8" spans="1:14" ht="311.10000000000002" customHeight="1" x14ac:dyDescent="0.2">
      <c r="B8" s="521"/>
    </row>
    <row r="9" spans="1:14" x14ac:dyDescent="0.2">
      <c r="B9" s="521"/>
    </row>
    <row r="10" spans="1:14" ht="312" customHeight="1" x14ac:dyDescent="0.2">
      <c r="B10" s="521"/>
    </row>
    <row r="12" spans="1:14" ht="311.64999999999998" customHeight="1" x14ac:dyDescent="0.2">
      <c r="B12" s="521"/>
    </row>
    <row r="14" spans="1:14" ht="309.75" customHeight="1" x14ac:dyDescent="0.2">
      <c r="B14" s="521"/>
    </row>
    <row r="16" spans="1:14" ht="15" customHeight="1" x14ac:dyDescent="0.2"/>
    <row r="17" spans="2:2" ht="311.64999999999998" customHeight="1" x14ac:dyDescent="0.2">
      <c r="B17" s="521" t="s">
        <v>175</v>
      </c>
    </row>
    <row r="18" spans="2:2" ht="9.75" customHeight="1" x14ac:dyDescent="0.2"/>
    <row r="19" spans="2:2" ht="312" customHeight="1" x14ac:dyDescent="0.2">
      <c r="B19" s="521"/>
    </row>
    <row r="20" spans="2:2" ht="16.149999999999999" customHeight="1" x14ac:dyDescent="0.2"/>
    <row r="21" spans="2:2" ht="312" customHeight="1" x14ac:dyDescent="0.2">
      <c r="B21" s="521"/>
    </row>
    <row r="23" spans="2:2" ht="409.5" customHeight="1" x14ac:dyDescent="0.2">
      <c r="B23" s="521"/>
    </row>
    <row r="25" spans="2:2" ht="408.75" customHeight="1" x14ac:dyDescent="0.2">
      <c r="B25" s="521"/>
    </row>
    <row r="27" spans="2:2" ht="409.5" customHeight="1" x14ac:dyDescent="0.2">
      <c r="B27" s="521"/>
    </row>
    <row r="29" spans="2:2" ht="409.5" customHeight="1" x14ac:dyDescent="0.2">
      <c r="B29" s="52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I687"/>
  <sheetViews>
    <sheetView topLeftCell="M1" zoomScaleNormal="100" workbookViewId="0">
      <pane ySplit="11" topLeftCell="A12" activePane="bottomLeft" state="frozen"/>
      <selection activeCell="A93" sqref="A93"/>
      <selection pane="bottomLeft" activeCell="AI9" sqref="AI9"/>
    </sheetView>
  </sheetViews>
  <sheetFormatPr defaultColWidth="9.140625" defaultRowHeight="12.75" x14ac:dyDescent="0.2"/>
  <cols>
    <col min="1" max="1" width="16.140625" style="307" customWidth="1"/>
    <col min="2" max="2" width="15.7109375" style="307" customWidth="1"/>
    <col min="3" max="3" width="10" style="307" customWidth="1"/>
    <col min="4" max="4" width="10.7109375" style="307" customWidth="1"/>
    <col min="5" max="5" width="10.140625" style="307" customWidth="1"/>
    <col min="6" max="8" width="11.7109375" style="307" customWidth="1"/>
    <col min="9" max="9" width="14.28515625" style="307" customWidth="1"/>
    <col min="10" max="10" width="11" style="307" customWidth="1"/>
    <col min="11" max="11" width="12" style="307" customWidth="1"/>
    <col min="12" max="12" width="11.42578125" style="307" customWidth="1"/>
    <col min="13" max="13" width="10.7109375" style="307" customWidth="1"/>
    <col min="14" max="18" width="11.42578125" style="307" customWidth="1"/>
    <col min="19" max="19" width="12.28515625" style="307" customWidth="1"/>
    <col min="20" max="20" width="12.140625" style="307" customWidth="1"/>
    <col min="21" max="21" width="9.42578125" style="307" customWidth="1"/>
    <col min="22" max="22" width="16.140625" style="307" bestFit="1" customWidth="1"/>
    <col min="23" max="23" width="16.140625" style="347" customWidth="1"/>
    <col min="24" max="24" width="9.140625" style="307"/>
    <col min="25" max="25" width="13.42578125" style="307" bestFit="1" customWidth="1"/>
    <col min="26" max="26" width="9.28515625" style="307" bestFit="1" customWidth="1"/>
    <col min="27" max="27" width="9.140625" style="307"/>
    <col min="28" max="28" width="13.5703125" style="307" customWidth="1"/>
    <col min="29" max="29" width="10.5703125" style="307" customWidth="1"/>
    <col min="30" max="30" width="9.140625" style="307"/>
    <col min="31" max="31" width="9.28515625" style="307" bestFit="1" customWidth="1"/>
    <col min="32" max="32" width="11.28515625" style="307" bestFit="1" customWidth="1"/>
    <col min="33" max="33" width="9.140625" style="307"/>
    <col min="34" max="34" width="12.28515625" customWidth="1"/>
    <col min="35" max="35" width="8.7109375" customWidth="1"/>
    <col min="36" max="16384" width="9.140625" style="307"/>
  </cols>
  <sheetData>
    <row r="1" spans="1:35" ht="13.5" thickBot="1" x14ac:dyDescent="0.25"/>
    <row r="2" spans="1:35" x14ac:dyDescent="0.2">
      <c r="A2" s="860" t="s">
        <v>409</v>
      </c>
      <c r="B2" s="861"/>
      <c r="C2" s="862"/>
      <c r="D2" s="863"/>
      <c r="E2" s="860" t="s">
        <v>315</v>
      </c>
      <c r="F2" s="861"/>
      <c r="G2" s="861"/>
      <c r="H2" s="388"/>
      <c r="I2" s="404"/>
      <c r="J2" s="860" t="s">
        <v>407</v>
      </c>
      <c r="K2" s="862"/>
      <c r="L2" s="863"/>
      <c r="M2" s="860" t="s">
        <v>408</v>
      </c>
      <c r="N2" s="861"/>
      <c r="O2" s="861"/>
      <c r="P2" s="875" t="s">
        <v>835</v>
      </c>
      <c r="Q2" s="861"/>
      <c r="R2" s="861"/>
      <c r="S2" s="869"/>
      <c r="T2" s="860" t="s">
        <v>316</v>
      </c>
      <c r="U2" s="861"/>
      <c r="V2" s="869"/>
      <c r="W2" s="689"/>
      <c r="AH2" s="113"/>
      <c r="AI2" s="113"/>
    </row>
    <row r="3" spans="1:35" x14ac:dyDescent="0.2">
      <c r="B3" s="308" t="s">
        <v>317</v>
      </c>
      <c r="C3" s="391">
        <f>Afb</f>
        <v>6.749667855362608E-2</v>
      </c>
      <c r="D3" s="310" t="s">
        <v>28</v>
      </c>
      <c r="E3" s="311" t="s">
        <v>318</v>
      </c>
      <c r="F3" s="309">
        <f>Acs</f>
        <v>50</v>
      </c>
      <c r="G3" s="310" t="s">
        <v>406</v>
      </c>
      <c r="H3" s="402" t="s">
        <v>334</v>
      </c>
      <c r="I3" s="414">
        <f>gm</f>
        <v>1.1999999999999999E-3</v>
      </c>
      <c r="J3" s="311" t="s">
        <v>425</v>
      </c>
      <c r="K3" s="312">
        <f>Fesr</f>
        <v>795774.71636878187</v>
      </c>
      <c r="L3" s="310" t="s">
        <v>9</v>
      </c>
      <c r="M3" s="311" t="s">
        <v>320</v>
      </c>
      <c r="N3" s="312">
        <f>Fsw/2</f>
        <v>170000</v>
      </c>
      <c r="O3" s="310" t="s">
        <v>9</v>
      </c>
      <c r="P3" s="680" t="s">
        <v>844</v>
      </c>
      <c r="Q3" s="681">
        <f>((1/wffHz)+(1/wfftHz))</f>
        <v>5.8109410928520001E-6</v>
      </c>
      <c r="S3" s="680"/>
      <c r="T3" s="313" t="s">
        <v>321</v>
      </c>
      <c r="U3" s="312">
        <f>IF(VOUT_setting=1,Am*Afb*AEA,Am*AEA)</f>
        <v>3876000.6880727354</v>
      </c>
      <c r="V3" s="310" t="s">
        <v>28</v>
      </c>
    </row>
    <row r="4" spans="1:35" x14ac:dyDescent="0.2">
      <c r="B4" s="308" t="s">
        <v>430</v>
      </c>
      <c r="C4" s="312">
        <f>Fz1_u</f>
        <v>3889.4169910497644</v>
      </c>
      <c r="D4" s="310" t="s">
        <v>9</v>
      </c>
      <c r="E4" s="311" t="s">
        <v>323</v>
      </c>
      <c r="F4" s="317">
        <f>Am</f>
        <v>50.468758959280407</v>
      </c>
      <c r="G4" s="310" t="s">
        <v>28</v>
      </c>
      <c r="H4" s="403"/>
      <c r="I4" s="403"/>
      <c r="J4" s="311" t="s">
        <v>424</v>
      </c>
      <c r="K4" s="312">
        <f>Fp_dominant</f>
        <v>788.38347997702385</v>
      </c>
      <c r="L4" s="310" t="s">
        <v>9</v>
      </c>
      <c r="M4" s="311" t="s">
        <v>325</v>
      </c>
      <c r="N4" s="389">
        <f>Q*pole3</f>
        <v>126023.44210959008</v>
      </c>
      <c r="O4" s="681"/>
      <c r="P4" s="681" t="s">
        <v>845</v>
      </c>
      <c r="Q4" s="681">
        <f>((1/wfbtHz)+(1/wffHz)+(1/wfftHz)+(Afbr/wffHz))</f>
        <v>4.1019852617174042E-5</v>
      </c>
      <c r="R4" s="681"/>
      <c r="T4" s="313" t="s">
        <v>326</v>
      </c>
      <c r="U4" s="353">
        <f>AI7</f>
        <v>39.131500000000003</v>
      </c>
      <c r="V4" s="310" t="s">
        <v>2</v>
      </c>
    </row>
    <row r="5" spans="1:35" x14ac:dyDescent="0.2">
      <c r="B5" s="308" t="s">
        <v>429</v>
      </c>
      <c r="C5" s="317">
        <f>Fp1_u</f>
        <v>0.75342856523137813</v>
      </c>
      <c r="D5" s="310" t="s">
        <v>9</v>
      </c>
      <c r="E5" s="311" t="s">
        <v>27</v>
      </c>
      <c r="F5" s="391">
        <f>Q</f>
        <v>0.74131436535052986</v>
      </c>
      <c r="G5" s="310"/>
      <c r="H5" s="403"/>
      <c r="I5" s="403"/>
      <c r="J5" s="311"/>
      <c r="K5" s="312"/>
      <c r="L5" s="310"/>
      <c r="M5" s="311" t="s">
        <v>328</v>
      </c>
      <c r="N5" s="309">
        <f>pole3^2</f>
        <v>28900000000</v>
      </c>
      <c r="O5" s="402"/>
      <c r="P5" s="402" t="s">
        <v>846</v>
      </c>
      <c r="Q5" s="402">
        <f>1/(wffHz*wfbtHz)</f>
        <v>1.5937437150456741E-12</v>
      </c>
      <c r="R5" s="402"/>
      <c r="S5" s="310"/>
      <c r="T5" s="313" t="s">
        <v>329</v>
      </c>
      <c r="U5" s="317">
        <f>AI9</f>
        <v>63.378267224922681</v>
      </c>
      <c r="V5" s="375" t="s">
        <v>386</v>
      </c>
    </row>
    <row r="6" spans="1:35" x14ac:dyDescent="0.2">
      <c r="B6" s="308" t="s">
        <v>330</v>
      </c>
      <c r="C6" s="309">
        <f>AEA</f>
        <v>76800</v>
      </c>
      <c r="D6" s="310" t="s">
        <v>28</v>
      </c>
      <c r="E6" s="311" t="s">
        <v>358</v>
      </c>
      <c r="F6" s="391">
        <f>mc</f>
        <v>1.2236842105263157</v>
      </c>
      <c r="G6" s="402"/>
      <c r="H6" s="405"/>
      <c r="I6" s="316"/>
      <c r="J6" s="314"/>
      <c r="K6" s="315"/>
      <c r="L6" s="316"/>
      <c r="M6" s="314"/>
      <c r="N6" s="417"/>
      <c r="O6" s="682"/>
      <c r="P6" s="682" t="s">
        <v>847</v>
      </c>
      <c r="Q6" s="688">
        <f>Rfb1_/Rfb2_u</f>
        <v>14.124293785310735</v>
      </c>
      <c r="R6" s="682"/>
      <c r="S6" s="316"/>
      <c r="T6" s="387" t="s">
        <v>331</v>
      </c>
      <c r="U6" s="315">
        <f>180/Pi</f>
        <v>57.295779578552292</v>
      </c>
      <c r="V6" s="316"/>
      <c r="AH6" s="5" t="s">
        <v>46</v>
      </c>
      <c r="AI6" s="5"/>
    </row>
    <row r="7" spans="1:35" ht="13.5" thickBot="1" x14ac:dyDescent="0.25">
      <c r="B7" s="383" t="s">
        <v>428</v>
      </c>
      <c r="C7" s="390">
        <f>Fp2_u</f>
        <v>162817.6468352669</v>
      </c>
      <c r="D7" s="385" t="s">
        <v>9</v>
      </c>
      <c r="E7" s="384" t="s">
        <v>333</v>
      </c>
      <c r="F7" s="386">
        <f>k</f>
        <v>0.92938583335964386</v>
      </c>
      <c r="G7" s="386"/>
      <c r="H7" s="406"/>
      <c r="I7" s="385"/>
      <c r="J7" s="384"/>
      <c r="K7" s="384"/>
      <c r="L7" s="385"/>
      <c r="M7" s="384"/>
      <c r="N7" s="384"/>
      <c r="O7" s="384"/>
      <c r="P7" s="384"/>
      <c r="Q7" s="384"/>
      <c r="R7" s="384"/>
      <c r="S7" s="385"/>
      <c r="T7" s="384"/>
      <c r="U7" s="384"/>
      <c r="V7" s="385"/>
      <c r="AH7" t="s">
        <v>43</v>
      </c>
      <c r="AI7">
        <f>SUM(AH12:AH613)/1000</f>
        <v>39.131500000000003</v>
      </c>
    </row>
    <row r="8" spans="1:35" x14ac:dyDescent="0.2">
      <c r="B8" s="392"/>
      <c r="C8" s="393"/>
      <c r="F8" s="394"/>
      <c r="G8" s="394"/>
      <c r="H8" s="394"/>
    </row>
    <row r="9" spans="1:35" ht="13.5" thickBot="1" x14ac:dyDescent="0.25">
      <c r="AH9" t="s">
        <v>44</v>
      </c>
      <c r="AI9" s="4">
        <f>SUM(AI13:AI613)</f>
        <v>63.378267224922681</v>
      </c>
    </row>
    <row r="10" spans="1:35" ht="15" x14ac:dyDescent="0.25">
      <c r="A10" s="864" t="s">
        <v>437</v>
      </c>
      <c r="B10" s="858"/>
      <c r="C10" s="870" t="s">
        <v>335</v>
      </c>
      <c r="D10" s="871"/>
      <c r="E10" s="871"/>
      <c r="F10" s="871"/>
      <c r="G10" s="871"/>
      <c r="H10" s="872"/>
      <c r="I10" s="870" t="s">
        <v>336</v>
      </c>
      <c r="J10" s="871"/>
      <c r="K10" s="871"/>
      <c r="L10" s="871"/>
      <c r="M10" s="871"/>
      <c r="N10" s="872"/>
      <c r="O10" s="870" t="s">
        <v>833</v>
      </c>
      <c r="P10" s="871"/>
      <c r="Q10" s="871"/>
      <c r="R10" s="871"/>
      <c r="S10" s="867" t="s">
        <v>337</v>
      </c>
      <c r="T10" s="868"/>
      <c r="U10" s="867" t="s">
        <v>338</v>
      </c>
      <c r="V10" s="873"/>
      <c r="W10" s="874"/>
      <c r="AB10" s="851" t="s">
        <v>339</v>
      </c>
      <c r="AC10" s="852"/>
      <c r="AE10" s="851" t="s">
        <v>340</v>
      </c>
      <c r="AF10" s="852"/>
    </row>
    <row r="11" spans="1:35" x14ac:dyDescent="0.2">
      <c r="A11" s="865"/>
      <c r="B11" s="859"/>
      <c r="C11" s="853" t="s">
        <v>424</v>
      </c>
      <c r="D11" s="854"/>
      <c r="E11" s="854" t="s">
        <v>425</v>
      </c>
      <c r="F11" s="855"/>
      <c r="G11" s="856" t="s">
        <v>426</v>
      </c>
      <c r="H11" s="857"/>
      <c r="I11" s="853" t="s">
        <v>324</v>
      </c>
      <c r="J11" s="854"/>
      <c r="K11" s="854" t="s">
        <v>319</v>
      </c>
      <c r="L11" s="855"/>
      <c r="M11" s="856" t="s">
        <v>327</v>
      </c>
      <c r="N11" s="857"/>
      <c r="O11" s="853" t="s">
        <v>319</v>
      </c>
      <c r="P11" s="854"/>
      <c r="Q11" s="854" t="s">
        <v>834</v>
      </c>
      <c r="R11" s="855"/>
      <c r="S11" s="853" t="s">
        <v>320</v>
      </c>
      <c r="T11" s="855"/>
      <c r="U11" s="311"/>
      <c r="V11" s="309"/>
      <c r="W11" s="354"/>
      <c r="AB11" s="311"/>
      <c r="AC11" s="310"/>
      <c r="AE11" s="311"/>
      <c r="AF11" s="310"/>
    </row>
    <row r="12" spans="1:35" ht="13.5" thickBot="1" x14ac:dyDescent="0.25">
      <c r="A12" s="866"/>
      <c r="B12" s="351"/>
      <c r="C12" s="318" t="s">
        <v>341</v>
      </c>
      <c r="D12" s="319" t="s">
        <v>342</v>
      </c>
      <c r="E12" s="319" t="s">
        <v>341</v>
      </c>
      <c r="F12" s="320" t="s">
        <v>342</v>
      </c>
      <c r="G12" s="319" t="s">
        <v>341</v>
      </c>
      <c r="H12" s="320" t="s">
        <v>342</v>
      </c>
      <c r="I12" s="318" t="s">
        <v>341</v>
      </c>
      <c r="J12" s="319" t="s">
        <v>342</v>
      </c>
      <c r="K12" s="319" t="s">
        <v>341</v>
      </c>
      <c r="L12" s="320" t="s">
        <v>342</v>
      </c>
      <c r="M12" s="318" t="s">
        <v>341</v>
      </c>
      <c r="N12" s="319" t="s">
        <v>342</v>
      </c>
      <c r="O12" s="318" t="s">
        <v>341</v>
      </c>
      <c r="P12" s="319" t="s">
        <v>342</v>
      </c>
      <c r="Q12" s="319" t="s">
        <v>341</v>
      </c>
      <c r="R12" s="320" t="s">
        <v>342</v>
      </c>
      <c r="S12" s="318" t="s">
        <v>341</v>
      </c>
      <c r="T12" s="320" t="s">
        <v>342</v>
      </c>
      <c r="U12" s="318" t="s">
        <v>343</v>
      </c>
      <c r="V12" s="319" t="s">
        <v>345</v>
      </c>
      <c r="W12" s="355" t="s">
        <v>344</v>
      </c>
      <c r="Z12" s="321" t="s">
        <v>346</v>
      </c>
      <c r="AB12" s="322" t="s">
        <v>347</v>
      </c>
      <c r="AC12" s="323" t="s">
        <v>348</v>
      </c>
      <c r="AE12" s="322" t="s">
        <v>347</v>
      </c>
      <c r="AF12" s="323" t="s">
        <v>348</v>
      </c>
    </row>
    <row r="13" spans="1:35" x14ac:dyDescent="0.2">
      <c r="A13" s="324">
        <v>1</v>
      </c>
      <c r="B13" s="352">
        <f>A13/1000</f>
        <v>1E-3</v>
      </c>
      <c r="C13" s="325">
        <f t="shared" ref="C13:C76" si="0">SQRT(1+(A13/pole1)^2)</f>
        <v>1.0000008044421145</v>
      </c>
      <c r="D13" s="326">
        <f t="shared" ref="D13:D76" si="1">ATAN(A13/pole1)</f>
        <v>1.2684175773631154E-3</v>
      </c>
      <c r="E13" s="326">
        <f t="shared" ref="E13:E76" si="2">SQRT(1+(A13/Zero1)^2)</f>
        <v>1.0000000000007896</v>
      </c>
      <c r="F13" s="327">
        <f t="shared" ref="F13:F76" si="3">ATAN(A13/Zero1)</f>
        <v>1.2566370599993386E-6</v>
      </c>
      <c r="G13" s="326">
        <f t="shared" ref="G13:G76" si="4">IF(VIN_nom&gt;Vout, 1, SQRT(1+(A13/z_RHP)^2))</f>
        <v>1</v>
      </c>
      <c r="H13" s="327">
        <f t="shared" ref="H13:H76" si="5">IF(VIN_nom&gt;Vout, 0, -ATAN(A13/z_RHP))</f>
        <v>0</v>
      </c>
      <c r="I13" s="325">
        <f t="shared" ref="I13:I76" si="6">SQRT(1+(A13/Pole2)^2)</f>
        <v>1.6618166622095933</v>
      </c>
      <c r="J13" s="328">
        <f t="shared" ref="J13:J76" si="7">ATAN(A13/Pole2)</f>
        <v>0.92510454497905803</v>
      </c>
      <c r="K13" s="326">
        <f t="shared" ref="K13:K76" si="8">SQRT(1+(A13/Zero2)^2)</f>
        <v>1.0000000330522465</v>
      </c>
      <c r="L13" s="327">
        <f t="shared" ref="L13:L76" si="9">ATAN(A13/Zero2)</f>
        <v>2.5710793681067012E-4</v>
      </c>
      <c r="M13" s="325">
        <f t="shared" ref="M13:M76" si="10">SQRT(1+(A13/pole4)^2)</f>
        <v>1.0000000000188611</v>
      </c>
      <c r="N13" s="690">
        <f t="shared" ref="N13:N76" si="11">ATAN(A13/pole4)</f>
        <v>6.1418403927627712E-6</v>
      </c>
      <c r="O13" s="683">
        <f t="shared" ref="O13:O76" si="12">IF(VOUT_setting=1,1,SQRT(1+(A13*zterm1)^2))</f>
        <v>1.0000000000168834</v>
      </c>
      <c r="P13" s="684">
        <f t="shared" ref="P13:P76" si="13">IF(VOUT_setting=1,0,ATAN(((A13*zterm1))))</f>
        <v>5.8109410927865939E-6</v>
      </c>
      <c r="Q13" s="683">
        <f>IF(VOUT_setting=1,1,SQRT((1+Afbr-pterm4*(A13)^2)^2+(A13*$Q$4)^2))</f>
        <v>15.124293785364769</v>
      </c>
      <c r="R13" s="690">
        <f t="shared" ref="R13:R76" si="14">IF(VOUT_setting=1,0,ATAN(A13*$Q$4/(1+Afbr-$Q$5*(A13)^2)))</f>
        <v>2.7121830083013699E-6</v>
      </c>
      <c r="S13" s="329">
        <f t="shared" ref="S13:S76" si="15">SQRT((1-(Z13/pterm2))^2+(A13/pterm1)^2)</f>
        <v>0.99999999999688027</v>
      </c>
      <c r="T13" s="330">
        <f t="shared" ref="T13:T76" si="16">IF((ATAN((A13/pterm1)/(1-A13^2/pterm2))&gt;0),ATAN((A13/pterm1)/(1-A13^2/pterm2)),PI()+ATAN((A13/pterm1)/(1-A13^2/pterm2)))</f>
        <v>7.9350316359714502E-6</v>
      </c>
      <c r="U13" s="331">
        <f t="shared" ref="U13:U76" si="17">20*LOG10(((E13*K13*G13*O13)/(C13*I13*S13*M13*Q13))*Adc)</f>
        <v>103.76250593059312</v>
      </c>
      <c r="V13" s="332">
        <f t="shared" ref="V13:V76" si="18">((F13+L13+H13+P13)-(D13+J13+T13+N13+R13))*radconv</f>
        <v>-53.063086870084511</v>
      </c>
      <c r="W13" s="563">
        <f t="shared" ref="W13:W76" si="19">IF(V13&gt;0,V13,V13+180)</f>
        <v>126.9369131299155</v>
      </c>
      <c r="Y13" s="307">
        <f t="shared" ref="Y13:Y76" si="20">IF(U13&lt;0,A13,1000000000)</f>
        <v>1000000000</v>
      </c>
      <c r="Z13" s="307">
        <f t="shared" ref="Z13:Z76" si="21">A13^2</f>
        <v>1</v>
      </c>
      <c r="AB13" s="333">
        <f t="shared" ref="AB13:AB76" si="22">20*LOG10((K13/(I13*M13))*AEA)</f>
        <v>93.295562505363691</v>
      </c>
      <c r="AC13" s="334">
        <f t="shared" ref="AC13:AC76" si="23">(L13-(J13+N13))*radconv</f>
        <v>-52.990206798094974</v>
      </c>
      <c r="AE13" s="333">
        <f t="shared" ref="AE13:AE76" si="24">20*LOG10((E13*G13/(C13*S13))*Acs*Am)</f>
        <v>68.039845608336705</v>
      </c>
      <c r="AF13" s="334">
        <f t="shared" ref="AF13:AF76" si="25">(F13+H13-(D13+T13))*radconv</f>
        <v>-7.3057617749721859E-2</v>
      </c>
      <c r="AH13">
        <f t="shared" ref="AH13:AH76" si="26">SUM((U14&lt;0)*(U13&gt;0))*A13</f>
        <v>0</v>
      </c>
      <c r="AI13">
        <f t="shared" ref="AI13:AI44" si="27">IF(AH13&gt;0,W11,0)</f>
        <v>0</v>
      </c>
    </row>
    <row r="14" spans="1:35" x14ac:dyDescent="0.2">
      <c r="A14" s="335">
        <v>1.0965</v>
      </c>
      <c r="B14" s="352">
        <f t="shared" ref="B14:B77" si="28">A14/1000</f>
        <v>1.0965E-3</v>
      </c>
      <c r="C14" s="325">
        <f t="shared" si="0"/>
        <v>1.0000009671905301</v>
      </c>
      <c r="D14" s="326">
        <f t="shared" si="1"/>
        <v>1.3908197226762753E-3</v>
      </c>
      <c r="E14" s="326">
        <f t="shared" si="2"/>
        <v>1.0000000000009495</v>
      </c>
      <c r="F14" s="327">
        <f t="shared" si="3"/>
        <v>1.3779025362891282E-6</v>
      </c>
      <c r="G14" s="326">
        <f t="shared" si="4"/>
        <v>1</v>
      </c>
      <c r="H14" s="327">
        <f t="shared" si="5"/>
        <v>0</v>
      </c>
      <c r="I14" s="325">
        <f t="shared" si="6"/>
        <v>1.7657958212104352</v>
      </c>
      <c r="J14" s="328">
        <f t="shared" si="7"/>
        <v>0.96876614346746304</v>
      </c>
      <c r="K14" s="336">
        <f t="shared" si="8"/>
        <v>1.0000000397391207</v>
      </c>
      <c r="L14" s="337">
        <f t="shared" si="9"/>
        <v>2.8191885145612922E-4</v>
      </c>
      <c r="M14" s="325">
        <f t="shared" si="10"/>
        <v>1.000000000022677</v>
      </c>
      <c r="N14" s="337">
        <f t="shared" si="11"/>
        <v>6.7345279906472473E-6</v>
      </c>
      <c r="O14" s="343">
        <f t="shared" si="12"/>
        <v>1.0000000000202993</v>
      </c>
      <c r="P14" s="691">
        <f t="shared" si="13"/>
        <v>6.3716969082259915E-6</v>
      </c>
      <c r="Q14" s="336">
        <f>IF(VOUT_setting=1,1,SQRT((1+Afbr-pterm4*(A14)^2)^2+(A14*$Q$4)^2))</f>
        <v>15.1242937853757</v>
      </c>
      <c r="R14" s="692">
        <f t="shared" si="14"/>
        <v>2.9739086686010407E-6</v>
      </c>
      <c r="S14" s="329">
        <f t="shared" si="15"/>
        <v>0.99999999999624911</v>
      </c>
      <c r="T14" s="330">
        <f t="shared" si="16"/>
        <v>8.7007621888666573E-6</v>
      </c>
      <c r="U14" s="331">
        <f t="shared" si="17"/>
        <v>103.23535706288351</v>
      </c>
      <c r="V14" s="332">
        <f t="shared" si="18"/>
        <v>-55.570357509225644</v>
      </c>
      <c r="W14" s="334">
        <f t="shared" si="19"/>
        <v>124.42964249077436</v>
      </c>
      <c r="Y14" s="307">
        <f t="shared" si="20"/>
        <v>1000000000</v>
      </c>
      <c r="Z14" s="307">
        <f t="shared" si="21"/>
        <v>1.2023122500000001</v>
      </c>
      <c r="AB14" s="333">
        <f t="shared" si="22"/>
        <v>92.768415051237326</v>
      </c>
      <c r="AC14" s="334">
        <f t="shared" si="23"/>
        <v>-55.490444518935178</v>
      </c>
      <c r="AE14" s="333">
        <f t="shared" si="24"/>
        <v>68.039844194730051</v>
      </c>
      <c r="AF14" s="334">
        <f t="shared" si="25"/>
        <v>-8.0107669216501851E-2</v>
      </c>
      <c r="AH14">
        <f t="shared" si="26"/>
        <v>0</v>
      </c>
      <c r="AI14">
        <f t="shared" si="27"/>
        <v>0</v>
      </c>
    </row>
    <row r="15" spans="1:35" x14ac:dyDescent="0.2">
      <c r="A15" s="335">
        <v>1.2022999999999999</v>
      </c>
      <c r="B15" s="352">
        <f t="shared" si="28"/>
        <v>1.2022999999999999E-3</v>
      </c>
      <c r="C15" s="325">
        <f t="shared" si="0"/>
        <v>1.0000011628412127</v>
      </c>
      <c r="D15" s="326">
        <f t="shared" si="1"/>
        <v>1.5250180888871547E-3</v>
      </c>
      <c r="E15" s="326">
        <f t="shared" si="2"/>
        <v>1.0000000000011413</v>
      </c>
      <c r="F15" s="327">
        <f t="shared" si="3"/>
        <v>1.5108547372368504E-6</v>
      </c>
      <c r="G15" s="326">
        <f t="shared" si="4"/>
        <v>1</v>
      </c>
      <c r="H15" s="327">
        <f t="shared" si="5"/>
        <v>0</v>
      </c>
      <c r="I15" s="325">
        <f t="shared" si="6"/>
        <v>1.8832119883887741</v>
      </c>
      <c r="J15" s="328">
        <f t="shared" si="7"/>
        <v>1.0110070324912452</v>
      </c>
      <c r="K15" s="336">
        <f t="shared" si="8"/>
        <v>1.0000000477778579</v>
      </c>
      <c r="L15" s="337">
        <f t="shared" si="9"/>
        <v>3.091208693928062E-4</v>
      </c>
      <c r="M15" s="325">
        <f t="shared" si="10"/>
        <v>1.0000000000272642</v>
      </c>
      <c r="N15" s="337">
        <f t="shared" si="11"/>
        <v>7.3843347041773131E-6</v>
      </c>
      <c r="O15" s="343">
        <f t="shared" si="12"/>
        <v>1.0000000000244056</v>
      </c>
      <c r="P15" s="691">
        <f t="shared" si="13"/>
        <v>6.9864944758222864E-6</v>
      </c>
      <c r="Q15" s="336">
        <f t="shared" ref="Q15:Q78" si="29">IF(VOUT_setting=1,1,SQRT((1+Afbr-$Q$5*(A15)^2)^2+(A15*$Q$4)^2))</f>
        <v>15.12429378538884</v>
      </c>
      <c r="R15" s="692">
        <f t="shared" si="14"/>
        <v>3.2608576308773277E-6</v>
      </c>
      <c r="S15" s="329">
        <f t="shared" si="15"/>
        <v>0.99999999999549027</v>
      </c>
      <c r="T15" s="330">
        <f t="shared" si="16"/>
        <v>9.5402885359863381E-6</v>
      </c>
      <c r="U15" s="331">
        <f t="shared" si="17"/>
        <v>102.67618092377404</v>
      </c>
      <c r="V15" s="332">
        <f t="shared" si="18"/>
        <v>-57.996771545678122</v>
      </c>
      <c r="W15" s="334">
        <f t="shared" si="19"/>
        <v>122.00322845432189</v>
      </c>
      <c r="Y15" s="307">
        <f t="shared" si="20"/>
        <v>1000000000</v>
      </c>
      <c r="Z15" s="307">
        <f t="shared" si="21"/>
        <v>1.4455252899999997</v>
      </c>
      <c r="AB15" s="333">
        <f t="shared" si="22"/>
        <v>92.209240611489918</v>
      </c>
      <c r="AC15" s="334">
        <f t="shared" si="23"/>
        <v>-57.909147856002321</v>
      </c>
      <c r="AE15" s="333">
        <f t="shared" si="24"/>
        <v>68.039842495339883</v>
      </c>
      <c r="AF15" s="334">
        <f t="shared" si="25"/>
        <v>-8.783715294325721E-2</v>
      </c>
      <c r="AH15">
        <f t="shared" si="26"/>
        <v>0</v>
      </c>
      <c r="AI15">
        <f t="shared" si="27"/>
        <v>0</v>
      </c>
    </row>
    <row r="16" spans="1:35" x14ac:dyDescent="0.2">
      <c r="A16" s="335">
        <v>1.3183</v>
      </c>
      <c r="B16" s="352">
        <f t="shared" si="28"/>
        <v>1.3183000000000001E-3</v>
      </c>
      <c r="C16" s="325">
        <f t="shared" si="0"/>
        <v>1.0000013980515141</v>
      </c>
      <c r="D16" s="326">
        <f t="shared" si="1"/>
        <v>1.672154230500553E-3</v>
      </c>
      <c r="E16" s="326">
        <f t="shared" si="2"/>
        <v>1.0000000000013722</v>
      </c>
      <c r="F16" s="327">
        <f t="shared" si="3"/>
        <v>1.6566246361964847E-6</v>
      </c>
      <c r="G16" s="326">
        <f t="shared" si="4"/>
        <v>1</v>
      </c>
      <c r="H16" s="327">
        <f t="shared" si="5"/>
        <v>0</v>
      </c>
      <c r="I16" s="325">
        <f t="shared" si="6"/>
        <v>2.0153339759820295</v>
      </c>
      <c r="J16" s="328">
        <f t="shared" si="7"/>
        <v>1.0515848663013667</v>
      </c>
      <c r="K16" s="336">
        <f t="shared" si="8"/>
        <v>1.0000000574419907</v>
      </c>
      <c r="L16" s="337">
        <f t="shared" si="9"/>
        <v>3.3894538758631238E-4</v>
      </c>
      <c r="M16" s="325">
        <f t="shared" si="10"/>
        <v>1.0000000000327791</v>
      </c>
      <c r="N16" s="337">
        <f t="shared" si="11"/>
        <v>8.0967881897040355E-6</v>
      </c>
      <c r="O16" s="343">
        <f t="shared" si="12"/>
        <v>1.0000000000293421</v>
      </c>
      <c r="P16" s="691">
        <f t="shared" si="13"/>
        <v>7.6605636425569403E-6</v>
      </c>
      <c r="Q16" s="336">
        <f t="shared" si="29"/>
        <v>15.124293785404641</v>
      </c>
      <c r="R16" s="692">
        <f t="shared" si="14"/>
        <v>3.5754708598375044E-6</v>
      </c>
      <c r="S16" s="329">
        <f t="shared" si="15"/>
        <v>0.99999999999457823</v>
      </c>
      <c r="T16" s="330">
        <f t="shared" si="16"/>
        <v>1.046075220580625E-5</v>
      </c>
      <c r="U16" s="331">
        <f t="shared" si="17"/>
        <v>102.0872226364047</v>
      </c>
      <c r="V16" s="332">
        <f t="shared" si="18"/>
        <v>-60.32849624030866</v>
      </c>
      <c r="W16" s="334">
        <f t="shared" si="19"/>
        <v>119.67150375969135</v>
      </c>
      <c r="Y16" s="307">
        <f t="shared" si="20"/>
        <v>1000000000</v>
      </c>
      <c r="Z16" s="307">
        <f t="shared" si="21"/>
        <v>1.7379148900000001</v>
      </c>
      <c r="AB16" s="333">
        <f t="shared" si="22"/>
        <v>91.620284367084977</v>
      </c>
      <c r="AC16" s="334">
        <f t="shared" si="23"/>
        <v>-60.232418479319584</v>
      </c>
      <c r="AE16" s="333">
        <f t="shared" si="24"/>
        <v>68.039840452341707</v>
      </c>
      <c r="AF16" s="334">
        <f t="shared" si="25"/>
        <v>-9.6311819564713214E-2</v>
      </c>
      <c r="AH16">
        <f t="shared" si="26"/>
        <v>0</v>
      </c>
      <c r="AI16">
        <f t="shared" si="27"/>
        <v>0</v>
      </c>
    </row>
    <row r="17" spans="1:35" x14ac:dyDescent="0.2">
      <c r="A17" s="335">
        <v>1.4454</v>
      </c>
      <c r="B17" s="352">
        <f t="shared" si="28"/>
        <v>1.4454000000000001E-3</v>
      </c>
      <c r="C17" s="325">
        <f t="shared" si="0"/>
        <v>1.0000016806245737</v>
      </c>
      <c r="D17" s="326">
        <f t="shared" si="1"/>
        <v>1.8333696954103982E-3</v>
      </c>
      <c r="E17" s="326">
        <f t="shared" si="2"/>
        <v>1.0000000000016496</v>
      </c>
      <c r="F17" s="327">
        <f t="shared" si="3"/>
        <v>1.8163432065220026E-6</v>
      </c>
      <c r="G17" s="326">
        <f t="shared" si="4"/>
        <v>1</v>
      </c>
      <c r="H17" s="327">
        <f t="shared" si="5"/>
        <v>0</v>
      </c>
      <c r="I17" s="325">
        <f t="shared" si="6"/>
        <v>2.1634171711427688</v>
      </c>
      <c r="J17" s="328">
        <f t="shared" si="7"/>
        <v>1.0902860802919385</v>
      </c>
      <c r="K17" s="336">
        <f t="shared" si="8"/>
        <v>1.0000000690521293</v>
      </c>
      <c r="L17" s="337">
        <f t="shared" si="9"/>
        <v>3.7162380294720055E-4</v>
      </c>
      <c r="M17" s="325">
        <f t="shared" si="10"/>
        <v>1.0000000000394043</v>
      </c>
      <c r="N17" s="337">
        <f t="shared" si="11"/>
        <v>8.8774161035777311E-6</v>
      </c>
      <c r="O17" s="343">
        <f t="shared" si="12"/>
        <v>1.0000000000352727</v>
      </c>
      <c r="P17" s="691">
        <f t="shared" si="13"/>
        <v>8.3991342554107729E-6</v>
      </c>
      <c r="Q17" s="336">
        <f t="shared" si="29"/>
        <v>15.124293785423621</v>
      </c>
      <c r="R17" s="692">
        <f t="shared" si="14"/>
        <v>3.9201893201887803E-6</v>
      </c>
      <c r="S17" s="329">
        <f t="shared" si="15"/>
        <v>0.99999999999348244</v>
      </c>
      <c r="T17" s="330">
        <f t="shared" si="16"/>
        <v>1.1469294726803199E-5</v>
      </c>
      <c r="U17" s="331">
        <f t="shared" si="17"/>
        <v>101.47135536702841</v>
      </c>
      <c r="V17" s="332">
        <f t="shared" si="18"/>
        <v>-62.553347891642247</v>
      </c>
      <c r="W17" s="334">
        <f t="shared" si="19"/>
        <v>117.44665210835775</v>
      </c>
      <c r="Y17" s="307">
        <f t="shared" si="20"/>
        <v>1000000000</v>
      </c>
      <c r="Z17" s="307">
        <f t="shared" si="21"/>
        <v>2.0891811599999999</v>
      </c>
      <c r="AB17" s="333">
        <f t="shared" si="22"/>
        <v>91.004419552050763</v>
      </c>
      <c r="AC17" s="334">
        <f t="shared" si="23"/>
        <v>-62.448007096947165</v>
      </c>
      <c r="AE17" s="333">
        <f t="shared" si="24"/>
        <v>68.039837997958998</v>
      </c>
      <c r="AF17" s="334">
        <f t="shared" si="25"/>
        <v>-0.10559741933682021</v>
      </c>
      <c r="AH17">
        <f t="shared" si="26"/>
        <v>0</v>
      </c>
      <c r="AI17">
        <f t="shared" si="27"/>
        <v>0</v>
      </c>
    </row>
    <row r="18" spans="1:35" x14ac:dyDescent="0.2">
      <c r="A18" s="335">
        <v>1.5849</v>
      </c>
      <c r="B18" s="352">
        <f t="shared" si="28"/>
        <v>1.5849E-3</v>
      </c>
      <c r="C18" s="325">
        <f t="shared" si="0"/>
        <v>1.0000020206833624</v>
      </c>
      <c r="D18" s="326">
        <f t="shared" si="1"/>
        <v>2.0103133883464536E-3</v>
      </c>
      <c r="E18" s="326">
        <f t="shared" si="2"/>
        <v>1.0000000000019833</v>
      </c>
      <c r="F18" s="327">
        <f t="shared" si="3"/>
        <v>1.9916440763913668E-6</v>
      </c>
      <c r="G18" s="326">
        <f t="shared" si="4"/>
        <v>1</v>
      </c>
      <c r="H18" s="327">
        <f t="shared" si="5"/>
        <v>0</v>
      </c>
      <c r="I18" s="325">
        <f t="shared" si="6"/>
        <v>2.3291767021096899</v>
      </c>
      <c r="J18" s="328">
        <f t="shared" si="7"/>
        <v>1.1270386060624267</v>
      </c>
      <c r="K18" s="336">
        <f t="shared" si="8"/>
        <v>1.0000000830242006</v>
      </c>
      <c r="L18" s="337">
        <f t="shared" si="9"/>
        <v>4.0749035547583853E-4</v>
      </c>
      <c r="M18" s="325">
        <f t="shared" si="10"/>
        <v>1.0000000000473772</v>
      </c>
      <c r="N18" s="337">
        <f t="shared" si="11"/>
        <v>9.7342028383046602E-6</v>
      </c>
      <c r="O18" s="343">
        <f t="shared" si="12"/>
        <v>1.0000000000424099</v>
      </c>
      <c r="P18" s="691">
        <f t="shared" si="13"/>
        <v>9.2097605378007458E-6</v>
      </c>
      <c r="Q18" s="336">
        <f t="shared" si="29"/>
        <v>15.124293785446461</v>
      </c>
      <c r="R18" s="692">
        <f t="shared" si="14"/>
        <v>4.2985388498415901E-6</v>
      </c>
      <c r="S18" s="329">
        <f t="shared" si="15"/>
        <v>0.9999999999921636</v>
      </c>
      <c r="T18" s="330">
        <f t="shared" si="16"/>
        <v>1.2576231640110006E-5</v>
      </c>
      <c r="U18" s="331">
        <f t="shared" si="17"/>
        <v>100.83010923526786</v>
      </c>
      <c r="V18" s="332">
        <f t="shared" si="18"/>
        <v>-64.667273333327273</v>
      </c>
      <c r="W18" s="334">
        <f t="shared" si="19"/>
        <v>115.33272666667273</v>
      </c>
      <c r="Y18" s="307">
        <f t="shared" si="20"/>
        <v>1000000000</v>
      </c>
      <c r="Z18" s="307">
        <f t="shared" si="21"/>
        <v>2.51190801</v>
      </c>
      <c r="AB18" s="333">
        <f t="shared" si="22"/>
        <v>90.363176373934607</v>
      </c>
      <c r="AC18" s="334">
        <f t="shared" si="23"/>
        <v>-64.551765800624096</v>
      </c>
      <c r="AE18" s="333">
        <f t="shared" si="24"/>
        <v>68.039835044265715</v>
      </c>
      <c r="AF18" s="334">
        <f t="shared" si="25"/>
        <v>-0.11578892497849172</v>
      </c>
      <c r="AH18">
        <f t="shared" si="26"/>
        <v>0</v>
      </c>
      <c r="AI18">
        <f t="shared" si="27"/>
        <v>0</v>
      </c>
    </row>
    <row r="19" spans="1:35" x14ac:dyDescent="0.2">
      <c r="A19" s="335">
        <v>1.7378</v>
      </c>
      <c r="B19" s="352">
        <f t="shared" si="28"/>
        <v>1.7378000000000001E-3</v>
      </c>
      <c r="C19" s="325">
        <f t="shared" si="0"/>
        <v>1.0000024293720569</v>
      </c>
      <c r="D19" s="326">
        <f t="shared" si="1"/>
        <v>2.2042536781046256E-3</v>
      </c>
      <c r="E19" s="326">
        <f t="shared" si="2"/>
        <v>1.0000000000023843</v>
      </c>
      <c r="F19" s="327">
        <f t="shared" si="3"/>
        <v>2.1837838828645288E-6</v>
      </c>
      <c r="G19" s="326">
        <f t="shared" si="4"/>
        <v>1</v>
      </c>
      <c r="H19" s="327">
        <f t="shared" si="5"/>
        <v>0</v>
      </c>
      <c r="I19" s="325">
        <f t="shared" si="6"/>
        <v>2.513970251124932</v>
      </c>
      <c r="J19" s="328">
        <f t="shared" si="7"/>
        <v>1.1617034950809291</v>
      </c>
      <c r="K19" s="336">
        <f t="shared" si="8"/>
        <v>1.0000000998160903</v>
      </c>
      <c r="L19" s="337">
        <f t="shared" si="9"/>
        <v>4.4680215270276368E-4</v>
      </c>
      <c r="M19" s="325">
        <f t="shared" si="10"/>
        <v>1.0000000000569595</v>
      </c>
      <c r="N19" s="337">
        <f t="shared" si="11"/>
        <v>1.0673290234272055E-5</v>
      </c>
      <c r="O19" s="343">
        <f t="shared" si="12"/>
        <v>1.0000000000509872</v>
      </c>
      <c r="P19" s="691">
        <f t="shared" si="13"/>
        <v>1.0098253430814951E-5</v>
      </c>
      <c r="Q19" s="336">
        <f t="shared" si="29"/>
        <v>15.124293785473913</v>
      </c>
      <c r="R19" s="692">
        <f t="shared" si="14"/>
        <v>4.7132316318037793E-6</v>
      </c>
      <c r="S19" s="329">
        <f t="shared" si="15"/>
        <v>0.99999999999057865</v>
      </c>
      <c r="T19" s="330">
        <f t="shared" si="16"/>
        <v>1.3789497977370385E-5</v>
      </c>
      <c r="U19" s="331">
        <f t="shared" si="17"/>
        <v>100.16695189492432</v>
      </c>
      <c r="V19" s="332">
        <f t="shared" si="18"/>
        <v>-66.662369898909375</v>
      </c>
      <c r="W19" s="334">
        <f t="shared" si="19"/>
        <v>113.33763010109062</v>
      </c>
      <c r="Y19" s="307">
        <f t="shared" si="20"/>
        <v>1000000000</v>
      </c>
      <c r="Z19" s="307">
        <f t="shared" si="21"/>
        <v>3.0199488400000001</v>
      </c>
      <c r="AB19" s="333">
        <f t="shared" si="22"/>
        <v>89.7000225833321</v>
      </c>
      <c r="AC19" s="334">
        <f t="shared" si="23"/>
        <v>-66.53571904661888</v>
      </c>
      <c r="AE19" s="333">
        <f t="shared" si="24"/>
        <v>68.039831494465972</v>
      </c>
      <c r="AF19" s="334">
        <f t="shared" si="25"/>
        <v>-0.12695939131250628</v>
      </c>
      <c r="AH19">
        <f t="shared" si="26"/>
        <v>0</v>
      </c>
      <c r="AI19">
        <f t="shared" si="27"/>
        <v>0</v>
      </c>
    </row>
    <row r="20" spans="1:35" x14ac:dyDescent="0.2">
      <c r="A20" s="335">
        <v>1.9055</v>
      </c>
      <c r="B20" s="352">
        <f t="shared" si="28"/>
        <v>1.9055000000000001E-3</v>
      </c>
      <c r="C20" s="325">
        <f t="shared" si="0"/>
        <v>1.0000029208701171</v>
      </c>
      <c r="D20" s="326">
        <f t="shared" si="1"/>
        <v>2.4169662834442533E-3</v>
      </c>
      <c r="E20" s="326">
        <f t="shared" si="2"/>
        <v>1.0000000000028668</v>
      </c>
      <c r="F20" s="327">
        <f t="shared" si="3"/>
        <v>2.3945219178254238E-6</v>
      </c>
      <c r="G20" s="326">
        <f t="shared" si="4"/>
        <v>1</v>
      </c>
      <c r="H20" s="327">
        <f t="shared" si="5"/>
        <v>0</v>
      </c>
      <c r="I20" s="325">
        <f t="shared" si="6"/>
        <v>2.7196272588056658</v>
      </c>
      <c r="J20" s="328">
        <f t="shared" si="7"/>
        <v>1.1942645303837731</v>
      </c>
      <c r="K20" s="336">
        <f t="shared" si="8"/>
        <v>1.0000001200103965</v>
      </c>
      <c r="L20" s="337">
        <f t="shared" si="9"/>
        <v>4.8991914519109104E-4</v>
      </c>
      <c r="M20" s="325">
        <f t="shared" si="10"/>
        <v>1.0000000000684834</v>
      </c>
      <c r="N20" s="337">
        <f t="shared" si="11"/>
        <v>1.17032768680223E-5</v>
      </c>
      <c r="O20" s="343">
        <f t="shared" si="12"/>
        <v>1.000000000061303</v>
      </c>
      <c r="P20" s="691">
        <f t="shared" si="13"/>
        <v>1.1072748251976958E-5</v>
      </c>
      <c r="Q20" s="336">
        <f t="shared" si="29"/>
        <v>15.124293785506925</v>
      </c>
      <c r="R20" s="692">
        <f t="shared" si="14"/>
        <v>5.168064722286355E-6</v>
      </c>
      <c r="S20" s="329">
        <f t="shared" si="15"/>
        <v>0.99999999998867262</v>
      </c>
      <c r="T20" s="330">
        <f t="shared" si="16"/>
        <v>1.5120202782885159E-5</v>
      </c>
      <c r="U20" s="331">
        <f t="shared" si="17"/>
        <v>99.483962775938522</v>
      </c>
      <c r="V20" s="332">
        <f t="shared" si="18"/>
        <v>-68.537790322154393</v>
      </c>
      <c r="W20" s="334">
        <f t="shared" si="19"/>
        <v>111.46220967784561</v>
      </c>
      <c r="Y20" s="307">
        <f t="shared" si="20"/>
        <v>1000000000</v>
      </c>
      <c r="Z20" s="307">
        <f t="shared" si="21"/>
        <v>3.63093025</v>
      </c>
      <c r="AB20" s="333">
        <f t="shared" si="22"/>
        <v>89.017037733341397</v>
      </c>
      <c r="AC20" s="334">
        <f t="shared" si="23"/>
        <v>-68.398917540369538</v>
      </c>
      <c r="AE20" s="333">
        <f t="shared" si="24"/>
        <v>68.039827225400231</v>
      </c>
      <c r="AF20" s="334">
        <f t="shared" si="25"/>
        <v>-0.13921109523084613</v>
      </c>
      <c r="AH20">
        <f t="shared" si="26"/>
        <v>0</v>
      </c>
      <c r="AI20">
        <f t="shared" si="27"/>
        <v>0</v>
      </c>
    </row>
    <row r="21" spans="1:35" x14ac:dyDescent="0.2">
      <c r="A21" s="335">
        <v>2.0893000000000002</v>
      </c>
      <c r="B21" s="352">
        <f t="shared" si="28"/>
        <v>2.0893000000000001E-3</v>
      </c>
      <c r="C21" s="325">
        <f t="shared" si="0"/>
        <v>1.000003511525444</v>
      </c>
      <c r="D21" s="326">
        <f t="shared" si="1"/>
        <v>2.6501000616935447E-3</v>
      </c>
      <c r="E21" s="326">
        <f t="shared" si="2"/>
        <v>1.0000000000034466</v>
      </c>
      <c r="F21" s="327">
        <f t="shared" si="3"/>
        <v>2.6254918094519678E-6</v>
      </c>
      <c r="G21" s="326">
        <f t="shared" si="4"/>
        <v>1</v>
      </c>
      <c r="H21" s="327">
        <f t="shared" si="5"/>
        <v>0</v>
      </c>
      <c r="I21" s="325">
        <f t="shared" si="6"/>
        <v>2.9478538801432195</v>
      </c>
      <c r="J21" s="328">
        <f t="shared" si="7"/>
        <v>1.2246982566951474</v>
      </c>
      <c r="K21" s="336">
        <f t="shared" si="8"/>
        <v>1.0000001442788153</v>
      </c>
      <c r="L21" s="337">
        <f t="shared" si="9"/>
        <v>5.3717557254640371E-4</v>
      </c>
      <c r="M21" s="325">
        <f t="shared" si="10"/>
        <v>1.0000000000823319</v>
      </c>
      <c r="N21" s="337">
        <f t="shared" si="11"/>
        <v>1.2832147132056281E-5</v>
      </c>
      <c r="O21" s="343">
        <f t="shared" si="12"/>
        <v>1.0000000000736995</v>
      </c>
      <c r="P21" s="691">
        <f t="shared" si="13"/>
        <v>1.214079922469917E-5</v>
      </c>
      <c r="Q21" s="336">
        <f t="shared" si="29"/>
        <v>15.1242937855466</v>
      </c>
      <c r="R21" s="692">
        <f t="shared" si="14"/>
        <v>5.6665639591993055E-6</v>
      </c>
      <c r="S21" s="329">
        <f t="shared" si="15"/>
        <v>0.999999999986382</v>
      </c>
      <c r="T21" s="330">
        <f t="shared" si="16"/>
        <v>1.6578661597794666E-5</v>
      </c>
      <c r="U21" s="331">
        <f t="shared" si="17"/>
        <v>98.784026515101303</v>
      </c>
      <c r="V21" s="332">
        <f t="shared" si="18"/>
        <v>-70.292266760896212</v>
      </c>
      <c r="W21" s="334">
        <f t="shared" si="19"/>
        <v>109.70773323910379</v>
      </c>
      <c r="Y21" s="307">
        <f t="shared" si="20"/>
        <v>1000000000</v>
      </c>
      <c r="Z21" s="307">
        <f t="shared" si="21"/>
        <v>4.3651744900000002</v>
      </c>
      <c r="AB21" s="333">
        <f t="shared" si="22"/>
        <v>88.317106602744843</v>
      </c>
      <c r="AC21" s="334">
        <f t="shared" si="23"/>
        <v>-70.139998700516401</v>
      </c>
      <c r="AE21" s="333">
        <f t="shared" si="24"/>
        <v>68.039822095074683</v>
      </c>
      <c r="AF21" s="334">
        <f t="shared" si="25"/>
        <v>-0.15263900673651615</v>
      </c>
      <c r="AH21">
        <f t="shared" si="26"/>
        <v>0</v>
      </c>
      <c r="AI21">
        <f t="shared" si="27"/>
        <v>0</v>
      </c>
    </row>
    <row r="22" spans="1:35" x14ac:dyDescent="0.2">
      <c r="A22" s="335">
        <v>2.2909000000000002</v>
      </c>
      <c r="B22" s="352">
        <f t="shared" si="28"/>
        <v>2.2909000000000002E-3</v>
      </c>
      <c r="C22" s="325">
        <f t="shared" si="0"/>
        <v>1.0000042218842409</v>
      </c>
      <c r="D22" s="326">
        <f t="shared" si="1"/>
        <v>2.9058112076914E-3</v>
      </c>
      <c r="E22" s="326">
        <f t="shared" si="2"/>
        <v>1.0000000000041438</v>
      </c>
      <c r="F22" s="327">
        <f t="shared" si="3"/>
        <v>2.8788298407460477E-6</v>
      </c>
      <c r="G22" s="326">
        <f t="shared" si="4"/>
        <v>1</v>
      </c>
      <c r="H22" s="327">
        <f t="shared" si="5"/>
        <v>0</v>
      </c>
      <c r="I22" s="325">
        <f t="shared" si="6"/>
        <v>3.2008516037545931</v>
      </c>
      <c r="J22" s="328">
        <f t="shared" si="7"/>
        <v>1.2530601473975584</v>
      </c>
      <c r="K22" s="336">
        <f t="shared" si="8"/>
        <v>1.0000001734655417</v>
      </c>
      <c r="L22" s="337">
        <f t="shared" si="9"/>
        <v>5.8900851730314793E-4</v>
      </c>
      <c r="M22" s="325">
        <f t="shared" si="10"/>
        <v>1.0000000000989873</v>
      </c>
      <c r="N22" s="337">
        <f t="shared" si="11"/>
        <v>1.4070342155028633E-5</v>
      </c>
      <c r="O22" s="343">
        <f t="shared" si="12"/>
        <v>1.0000000000886085</v>
      </c>
      <c r="P22" s="691">
        <f t="shared" si="13"/>
        <v>1.3312284948828261E-5</v>
      </c>
      <c r="Q22" s="336">
        <f t="shared" si="29"/>
        <v>15.124293785594311</v>
      </c>
      <c r="R22" s="692">
        <f t="shared" si="14"/>
        <v>6.2133400536556694E-6</v>
      </c>
      <c r="S22" s="329">
        <f t="shared" si="15"/>
        <v>0.9999999999836271</v>
      </c>
      <c r="T22" s="330">
        <f t="shared" si="16"/>
        <v>1.8178363975898332E-5</v>
      </c>
      <c r="U22" s="331">
        <f t="shared" si="17"/>
        <v>98.068828847444308</v>
      </c>
      <c r="V22" s="332">
        <f t="shared" si="18"/>
        <v>-71.929077050610431</v>
      </c>
      <c r="W22" s="334">
        <f t="shared" si="19"/>
        <v>108.07092294938957</v>
      </c>
      <c r="Y22" s="307">
        <f t="shared" si="20"/>
        <v>1000000000</v>
      </c>
      <c r="Z22" s="307">
        <f t="shared" si="21"/>
        <v>5.2482228100000006</v>
      </c>
      <c r="AB22" s="333">
        <f t="shared" si="22"/>
        <v>87.601915105030002</v>
      </c>
      <c r="AC22" s="334">
        <f t="shared" si="23"/>
        <v>-71.762116473004156</v>
      </c>
      <c r="AE22" s="333">
        <f t="shared" si="24"/>
        <v>68.03981592503041</v>
      </c>
      <c r="AF22" s="334">
        <f t="shared" si="25"/>
        <v>-0.1673673171882355</v>
      </c>
      <c r="AH22">
        <f t="shared" si="26"/>
        <v>0</v>
      </c>
      <c r="AI22">
        <f t="shared" si="27"/>
        <v>0</v>
      </c>
    </row>
    <row r="23" spans="1:35" x14ac:dyDescent="0.2">
      <c r="A23" s="335">
        <v>2.5118999999999998</v>
      </c>
      <c r="B23" s="352">
        <f t="shared" si="28"/>
        <v>2.5118999999999996E-3</v>
      </c>
      <c r="C23" s="325">
        <f t="shared" si="0"/>
        <v>1.0000050757305989</v>
      </c>
      <c r="D23" s="326">
        <f t="shared" si="1"/>
        <v>3.1861290400008683E-3</v>
      </c>
      <c r="E23" s="326">
        <f t="shared" si="2"/>
        <v>1.0000000000049818</v>
      </c>
      <c r="F23" s="327">
        <f t="shared" si="3"/>
        <v>3.1565466310035161E-6</v>
      </c>
      <c r="G23" s="326">
        <f t="shared" si="4"/>
        <v>1</v>
      </c>
      <c r="H23" s="327">
        <f t="shared" si="5"/>
        <v>0</v>
      </c>
      <c r="I23" s="325">
        <f t="shared" si="6"/>
        <v>3.4807015230238822</v>
      </c>
      <c r="J23" s="328">
        <f t="shared" si="7"/>
        <v>1.279391189898629</v>
      </c>
      <c r="K23" s="336">
        <f t="shared" si="8"/>
        <v>1.0000002085478115</v>
      </c>
      <c r="L23" s="337">
        <f t="shared" si="9"/>
        <v>6.4582935091459989E-4</v>
      </c>
      <c r="M23" s="325">
        <f t="shared" si="10"/>
        <v>1.0000000001190068</v>
      </c>
      <c r="N23" s="337">
        <f t="shared" si="11"/>
        <v>1.5427688881550795E-5</v>
      </c>
      <c r="O23" s="343">
        <f t="shared" si="12"/>
        <v>1.000000000106529</v>
      </c>
      <c r="P23" s="691">
        <f t="shared" si="13"/>
        <v>1.4596502930098304E-5</v>
      </c>
      <c r="Q23" s="336">
        <f t="shared" si="29"/>
        <v>15.124293785651664</v>
      </c>
      <c r="R23" s="692">
        <f t="shared" si="14"/>
        <v>6.8127324984673267E-6</v>
      </c>
      <c r="S23" s="329">
        <f t="shared" si="15"/>
        <v>0.99999999998031575</v>
      </c>
      <c r="T23" s="330">
        <f t="shared" si="16"/>
        <v>1.9932005967837459E-5</v>
      </c>
      <c r="U23" s="331">
        <f t="shared" si="17"/>
        <v>97.340796871649275</v>
      </c>
      <c r="V23" s="332">
        <f t="shared" si="18"/>
        <v>-73.450663189510038</v>
      </c>
      <c r="W23" s="334">
        <f t="shared" si="19"/>
        <v>106.54933681048996</v>
      </c>
      <c r="Y23" s="307">
        <f t="shared" si="20"/>
        <v>1000000000</v>
      </c>
      <c r="Z23" s="307">
        <f t="shared" si="21"/>
        <v>6.309641609999999</v>
      </c>
      <c r="AB23" s="333">
        <f t="shared" si="22"/>
        <v>86.873890545456973</v>
      </c>
      <c r="AC23" s="334">
        <f t="shared" si="23"/>
        <v>-73.267596256499786</v>
      </c>
      <c r="AE23" s="333">
        <f t="shared" si="24"/>
        <v>68.039808508685681</v>
      </c>
      <c r="AF23" s="334">
        <f t="shared" si="25"/>
        <v>-0.18351291020520638</v>
      </c>
      <c r="AH23">
        <f t="shared" si="26"/>
        <v>0</v>
      </c>
      <c r="AI23">
        <f t="shared" si="27"/>
        <v>0</v>
      </c>
    </row>
    <row r="24" spans="1:35" x14ac:dyDescent="0.2">
      <c r="A24" s="335">
        <v>2.7542</v>
      </c>
      <c r="B24" s="352">
        <f t="shared" si="28"/>
        <v>2.7542000000000001E-3</v>
      </c>
      <c r="C24" s="325">
        <f t="shared" si="0"/>
        <v>1.0000061021741307</v>
      </c>
      <c r="D24" s="326">
        <f t="shared" si="1"/>
        <v>3.4934633532945143E-3</v>
      </c>
      <c r="E24" s="326">
        <f t="shared" si="2"/>
        <v>1.0000000000059894</v>
      </c>
      <c r="F24" s="327">
        <f t="shared" si="3"/>
        <v>3.4610297906381803E-6</v>
      </c>
      <c r="G24" s="326">
        <f t="shared" si="4"/>
        <v>1</v>
      </c>
      <c r="H24" s="327">
        <f t="shared" si="5"/>
        <v>0</v>
      </c>
      <c r="I24" s="325">
        <f t="shared" si="6"/>
        <v>3.7898663089328748</v>
      </c>
      <c r="J24" s="328">
        <f t="shared" si="7"/>
        <v>1.3037728733591729</v>
      </c>
      <c r="K24" s="336">
        <f t="shared" si="8"/>
        <v>1.0000002507216768</v>
      </c>
      <c r="L24" s="337">
        <f t="shared" si="9"/>
        <v>7.0812657680561185E-4</v>
      </c>
      <c r="M24" s="325">
        <f t="shared" si="10"/>
        <v>1.0000000001430731</v>
      </c>
      <c r="N24" s="337">
        <f t="shared" si="11"/>
        <v>1.6915856808346457E-5</v>
      </c>
      <c r="O24" s="343">
        <f t="shared" si="12"/>
        <v>1.0000000001280718</v>
      </c>
      <c r="P24" s="691">
        <f t="shared" si="13"/>
        <v>1.6004493956566494E-5</v>
      </c>
      <c r="Q24" s="336">
        <f t="shared" si="29"/>
        <v>15.124293785720608</v>
      </c>
      <c r="R24" s="692">
        <f t="shared" si="14"/>
        <v>7.4698944413481948E-6</v>
      </c>
      <c r="S24" s="329">
        <f t="shared" si="15"/>
        <v>0.99999999997633504</v>
      </c>
      <c r="T24" s="330">
        <f t="shared" si="16"/>
        <v>2.1854664133751958E-5</v>
      </c>
      <c r="U24" s="331">
        <f t="shared" si="17"/>
        <v>96.601646186074518</v>
      </c>
      <c r="V24" s="332">
        <f t="shared" si="18"/>
        <v>-74.861805302770136</v>
      </c>
      <c r="W24" s="334">
        <f t="shared" si="19"/>
        <v>105.13819469722986</v>
      </c>
      <c r="Y24" s="307">
        <f t="shared" si="20"/>
        <v>1000000000</v>
      </c>
      <c r="Z24" s="307">
        <f t="shared" si="21"/>
        <v>7.5856176399999997</v>
      </c>
      <c r="AB24" s="333">
        <f t="shared" si="22"/>
        <v>86.134748775216764</v>
      </c>
      <c r="AC24" s="334">
        <f t="shared" si="23"/>
        <v>-74.661079715427647</v>
      </c>
      <c r="AE24" s="333">
        <f t="shared" si="24"/>
        <v>68.039799593203611</v>
      </c>
      <c r="AF24" s="334">
        <f t="shared" si="25"/>
        <v>-0.20121458387508417</v>
      </c>
      <c r="AH24">
        <f t="shared" si="26"/>
        <v>0</v>
      </c>
      <c r="AI24">
        <f t="shared" si="27"/>
        <v>0</v>
      </c>
    </row>
    <row r="25" spans="1:35" x14ac:dyDescent="0.2">
      <c r="A25" s="335">
        <v>3.02</v>
      </c>
      <c r="B25" s="352">
        <f t="shared" si="28"/>
        <v>3.0200000000000001E-3</v>
      </c>
      <c r="C25" s="325">
        <f t="shared" si="0"/>
        <v>1.0000073368098983</v>
      </c>
      <c r="D25" s="326">
        <f t="shared" si="1"/>
        <v>3.8306044017055586E-3</v>
      </c>
      <c r="E25" s="326">
        <f t="shared" si="2"/>
        <v>1.0000000000072011</v>
      </c>
      <c r="F25" s="327">
        <f t="shared" si="3"/>
        <v>3.795043921181781E-6</v>
      </c>
      <c r="G25" s="326">
        <f t="shared" si="4"/>
        <v>1</v>
      </c>
      <c r="H25" s="327">
        <f t="shared" si="5"/>
        <v>0</v>
      </c>
      <c r="I25" s="325">
        <f t="shared" si="6"/>
        <v>4.1311998713787883</v>
      </c>
      <c r="J25" s="328">
        <f t="shared" si="7"/>
        <v>1.3263074578442255</v>
      </c>
      <c r="K25" s="336">
        <f t="shared" si="8"/>
        <v>1.0000003014496686</v>
      </c>
      <c r="L25" s="337">
        <f t="shared" si="9"/>
        <v>7.7646583023394361E-4</v>
      </c>
      <c r="M25" s="325">
        <f t="shared" si="10"/>
        <v>1.0000000001720208</v>
      </c>
      <c r="N25" s="337">
        <f t="shared" si="11"/>
        <v>1.8548357984249661E-5</v>
      </c>
      <c r="O25" s="343">
        <f t="shared" si="12"/>
        <v>1.0000000001539844</v>
      </c>
      <c r="P25" s="691">
        <f t="shared" si="13"/>
        <v>1.7549042098611521E-5</v>
      </c>
      <c r="Q25" s="336">
        <f t="shared" si="29"/>
        <v>15.124293785803538</v>
      </c>
      <c r="R25" s="692">
        <f t="shared" si="14"/>
        <v>8.1907926849140592E-6</v>
      </c>
      <c r="S25" s="329">
        <f t="shared" si="15"/>
        <v>0.99999999997154698</v>
      </c>
      <c r="T25" s="330">
        <f t="shared" si="16"/>
        <v>2.396379554328297E-5</v>
      </c>
      <c r="U25" s="331">
        <f t="shared" si="17"/>
        <v>95.852589563444454</v>
      </c>
      <c r="V25" s="332">
        <f t="shared" si="18"/>
        <v>-76.168491147208456</v>
      </c>
      <c r="W25" s="334">
        <f t="shared" si="19"/>
        <v>103.83150885279154</v>
      </c>
      <c r="Y25" s="307">
        <f t="shared" si="20"/>
        <v>1000000000</v>
      </c>
      <c r="Z25" s="307">
        <f t="shared" si="21"/>
        <v>9.1204000000000001</v>
      </c>
      <c r="AB25" s="333">
        <f t="shared" si="22"/>
        <v>85.385702876195126</v>
      </c>
      <c r="AC25" s="334">
        <f t="shared" si="23"/>
        <v>-75.948394285604024</v>
      </c>
      <c r="AE25" s="333">
        <f t="shared" si="24"/>
        <v>68.039788869417762</v>
      </c>
      <c r="AF25" s="334">
        <f t="shared" si="25"/>
        <v>-0.22063304980006834</v>
      </c>
      <c r="AH25">
        <f t="shared" si="26"/>
        <v>0</v>
      </c>
      <c r="AI25">
        <f t="shared" si="27"/>
        <v>0</v>
      </c>
    </row>
    <row r="26" spans="1:35" x14ac:dyDescent="0.2">
      <c r="A26" s="335">
        <v>3.3113000000000001</v>
      </c>
      <c r="B26" s="352">
        <f t="shared" si="28"/>
        <v>3.3113000000000001E-3</v>
      </c>
      <c r="C26" s="325">
        <f t="shared" si="0"/>
        <v>1.0000088204372874</v>
      </c>
      <c r="D26" s="326">
        <f t="shared" si="1"/>
        <v>4.2000886786813406E-3</v>
      </c>
      <c r="E26" s="326">
        <f t="shared" si="2"/>
        <v>1.0000000000086575</v>
      </c>
      <c r="F26" s="327">
        <f t="shared" si="3"/>
        <v>4.1611022967539844E-6</v>
      </c>
      <c r="G26" s="326">
        <f t="shared" si="4"/>
        <v>1</v>
      </c>
      <c r="H26" s="327">
        <f t="shared" si="5"/>
        <v>0</v>
      </c>
      <c r="I26" s="325">
        <f t="shared" si="6"/>
        <v>4.5073061413330295</v>
      </c>
      <c r="J26" s="328">
        <f t="shared" si="7"/>
        <v>1.3470726689266646</v>
      </c>
      <c r="K26" s="336">
        <f t="shared" si="8"/>
        <v>1.0000003624081617</v>
      </c>
      <c r="L26" s="337">
        <f t="shared" si="9"/>
        <v>8.5136132422725314E-4</v>
      </c>
      <c r="M26" s="325">
        <f t="shared" si="10"/>
        <v>1.0000000002068066</v>
      </c>
      <c r="N26" s="337">
        <f t="shared" si="11"/>
        <v>2.0337476090007145E-5</v>
      </c>
      <c r="O26" s="343">
        <f t="shared" si="12"/>
        <v>1.0000000001851228</v>
      </c>
      <c r="P26" s="691">
        <f t="shared" si="13"/>
        <v>1.9241769238386101E-5</v>
      </c>
      <c r="Q26" s="336">
        <f t="shared" si="29"/>
        <v>15.124293785903189</v>
      </c>
      <c r="R26" s="692">
        <f t="shared" si="14"/>
        <v>8.9808515951783272E-6</v>
      </c>
      <c r="S26" s="329">
        <f t="shared" si="15"/>
        <v>0.99999999996579336</v>
      </c>
      <c r="T26" s="330">
        <f t="shared" si="16"/>
        <v>2.6275270259756708E-5</v>
      </c>
      <c r="U26" s="331">
        <f t="shared" si="17"/>
        <v>95.095760210768418</v>
      </c>
      <c r="V26" s="332">
        <f t="shared" si="18"/>
        <v>-77.375291052248642</v>
      </c>
      <c r="W26" s="334">
        <f t="shared" si="19"/>
        <v>102.62470894775136</v>
      </c>
      <c r="Y26" s="307">
        <f t="shared" si="20"/>
        <v>1000000000</v>
      </c>
      <c r="Z26" s="307">
        <f t="shared" si="21"/>
        <v>10.964707690000001</v>
      </c>
      <c r="AB26" s="333">
        <f t="shared" si="22"/>
        <v>84.628886409762885</v>
      </c>
      <c r="AC26" s="334">
        <f t="shared" si="23"/>
        <v>-77.133964555886919</v>
      </c>
      <c r="AE26" s="333">
        <f t="shared" si="24"/>
        <v>68.03977598296072</v>
      </c>
      <c r="AF26" s="334">
        <f t="shared" si="25"/>
        <v>-0.24191440363727029</v>
      </c>
      <c r="AH26">
        <f t="shared" si="26"/>
        <v>0</v>
      </c>
      <c r="AI26">
        <f t="shared" si="27"/>
        <v>0</v>
      </c>
    </row>
    <row r="27" spans="1:35" x14ac:dyDescent="0.2">
      <c r="A27" s="335">
        <v>3.6307999999999998</v>
      </c>
      <c r="B27" s="352">
        <f t="shared" si="28"/>
        <v>3.6308E-3</v>
      </c>
      <c r="C27" s="325">
        <f t="shared" si="0"/>
        <v>1.0000106046740498</v>
      </c>
      <c r="D27" s="326">
        <f t="shared" si="1"/>
        <v>4.6053404509812058E-3</v>
      </c>
      <c r="E27" s="326">
        <f t="shared" si="2"/>
        <v>1.0000000000104086</v>
      </c>
      <c r="F27" s="327">
        <f t="shared" si="3"/>
        <v>4.5625978374163394E-6</v>
      </c>
      <c r="G27" s="326">
        <f t="shared" si="4"/>
        <v>1</v>
      </c>
      <c r="H27" s="327">
        <f t="shared" si="5"/>
        <v>0</v>
      </c>
      <c r="I27" s="325">
        <f t="shared" si="6"/>
        <v>4.9216984781418738</v>
      </c>
      <c r="J27" s="328">
        <f t="shared" si="7"/>
        <v>1.3661898200674591</v>
      </c>
      <c r="K27" s="336">
        <f t="shared" si="8"/>
        <v>1.0000004357180476</v>
      </c>
      <c r="L27" s="337">
        <f t="shared" si="9"/>
        <v>9.3350724637789484E-4</v>
      </c>
      <c r="M27" s="325">
        <f t="shared" si="10"/>
        <v>1.0000000002486404</v>
      </c>
      <c r="N27" s="337">
        <f t="shared" si="11"/>
        <v>2.2299794094627048E-5</v>
      </c>
      <c r="O27" s="343">
        <f t="shared" si="12"/>
        <v>1.0000000002225704</v>
      </c>
      <c r="P27" s="691">
        <f t="shared" si="13"/>
        <v>2.1098364916796457E-5</v>
      </c>
      <c r="Q27" s="336">
        <f t="shared" si="29"/>
        <v>15.124293786023037</v>
      </c>
      <c r="R27" s="692">
        <f t="shared" si="14"/>
        <v>9.8473940662590949E-6</v>
      </c>
      <c r="S27" s="329">
        <f t="shared" si="15"/>
        <v>0.99999999995887379</v>
      </c>
      <c r="T27" s="330">
        <f t="shared" si="16"/>
        <v>2.8810512868663459E-5</v>
      </c>
      <c r="U27" s="331">
        <f t="shared" si="17"/>
        <v>94.331786413678955</v>
      </c>
      <c r="V27" s="332">
        <f t="shared" si="18"/>
        <v>-78.489313693123378</v>
      </c>
      <c r="W27" s="334">
        <f t="shared" si="19"/>
        <v>101.51068630687662</v>
      </c>
      <c r="Y27" s="307">
        <f t="shared" si="20"/>
        <v>1000000000</v>
      </c>
      <c r="Z27" s="307">
        <f t="shared" si="21"/>
        <v>13.182708639999998</v>
      </c>
      <c r="AB27" s="333">
        <f t="shared" si="22"/>
        <v>83.864928109874768</v>
      </c>
      <c r="AC27" s="334">
        <f t="shared" si="23"/>
        <v>-78.224702451710797</v>
      </c>
      <c r="AE27" s="333">
        <f t="shared" si="24"/>
        <v>68.039760485502953</v>
      </c>
      <c r="AF27" s="334">
        <f t="shared" si="25"/>
        <v>-0.26525587455847954</v>
      </c>
      <c r="AH27">
        <f t="shared" si="26"/>
        <v>0</v>
      </c>
      <c r="AI27">
        <f t="shared" si="27"/>
        <v>0</v>
      </c>
    </row>
    <row r="28" spans="1:35" x14ac:dyDescent="0.2">
      <c r="A28" s="335">
        <v>3.9811000000000001</v>
      </c>
      <c r="B28" s="352">
        <f t="shared" si="28"/>
        <v>3.9811000000000004E-3</v>
      </c>
      <c r="C28" s="325">
        <f t="shared" si="0"/>
        <v>1.0000127496533913</v>
      </c>
      <c r="D28" s="326">
        <f t="shared" si="1"/>
        <v>5.0496570044668383E-3</v>
      </c>
      <c r="E28" s="326">
        <f t="shared" si="2"/>
        <v>1.000000000012514</v>
      </c>
      <c r="F28" s="327">
        <f t="shared" si="3"/>
        <v>5.0027977995242642E-6</v>
      </c>
      <c r="G28" s="326">
        <f t="shared" si="4"/>
        <v>1</v>
      </c>
      <c r="H28" s="327">
        <f t="shared" si="5"/>
        <v>0</v>
      </c>
      <c r="I28" s="325">
        <f t="shared" si="6"/>
        <v>5.3777712874292964</v>
      </c>
      <c r="J28" s="328">
        <f t="shared" si="7"/>
        <v>1.3837570409391848</v>
      </c>
      <c r="K28" s="336">
        <f t="shared" si="8"/>
        <v>1.0000005238501224</v>
      </c>
      <c r="L28" s="337">
        <f t="shared" si="9"/>
        <v>1.02357207232564E-3</v>
      </c>
      <c r="M28" s="325">
        <f t="shared" si="10"/>
        <v>1.0000000002989324</v>
      </c>
      <c r="N28" s="337">
        <f t="shared" si="11"/>
        <v>2.4451280783062467E-5</v>
      </c>
      <c r="O28" s="343">
        <f t="shared" si="12"/>
        <v>1.0000000002675895</v>
      </c>
      <c r="P28" s="691">
        <f t="shared" si="13"/>
        <v>2.3133937580626164E-5</v>
      </c>
      <c r="Q28" s="336">
        <f t="shared" si="29"/>
        <v>15.124293786167112</v>
      </c>
      <c r="R28" s="692">
        <f t="shared" si="14"/>
        <v>1.0797471773972346E-5</v>
      </c>
      <c r="S28" s="329">
        <f t="shared" si="15"/>
        <v>0.99999999995055511</v>
      </c>
      <c r="T28" s="330">
        <f t="shared" si="16"/>
        <v>3.1590154452352012E-5</v>
      </c>
      <c r="U28" s="331">
        <f t="shared" si="17"/>
        <v>93.562022060260617</v>
      </c>
      <c r="V28" s="332">
        <f t="shared" si="18"/>
        <v>-79.516333553852661</v>
      </c>
      <c r="W28" s="334">
        <f t="shared" si="19"/>
        <v>100.48366644614734</v>
      </c>
      <c r="Y28" s="307">
        <f t="shared" si="20"/>
        <v>1000000000</v>
      </c>
      <c r="Z28" s="307">
        <f t="shared" si="21"/>
        <v>15.849157210000001</v>
      </c>
      <c r="AB28" s="333">
        <f t="shared" si="22"/>
        <v>83.095182386893867</v>
      </c>
      <c r="AC28" s="334">
        <f t="shared" si="23"/>
        <v>-79.22619300327672</v>
      </c>
      <c r="AE28" s="333">
        <f t="shared" si="24"/>
        <v>68.03974185475721</v>
      </c>
      <c r="AF28" s="334">
        <f t="shared" si="25"/>
        <v>-0.29084737800158139</v>
      </c>
      <c r="AH28">
        <f t="shared" si="26"/>
        <v>0</v>
      </c>
      <c r="AI28">
        <f t="shared" si="27"/>
        <v>0</v>
      </c>
    </row>
    <row r="29" spans="1:35" x14ac:dyDescent="0.2">
      <c r="A29" s="335">
        <v>4.3651999999999997</v>
      </c>
      <c r="B29" s="352">
        <f t="shared" si="28"/>
        <v>4.3651999999999996E-3</v>
      </c>
      <c r="C29" s="325">
        <f t="shared" si="0"/>
        <v>1.0000153285098801</v>
      </c>
      <c r="D29" s="326">
        <f t="shared" si="1"/>
        <v>5.5368427971097256E-3</v>
      </c>
      <c r="E29" s="326">
        <f t="shared" si="2"/>
        <v>1.0000000000150453</v>
      </c>
      <c r="F29" s="327">
        <f t="shared" si="3"/>
        <v>5.4854720942569805E-6</v>
      </c>
      <c r="G29" s="326">
        <f t="shared" si="4"/>
        <v>1</v>
      </c>
      <c r="H29" s="327">
        <f t="shared" si="5"/>
        <v>0</v>
      </c>
      <c r="I29" s="325">
        <f t="shared" si="6"/>
        <v>5.8794469675511616</v>
      </c>
      <c r="J29" s="328">
        <f t="shared" si="7"/>
        <v>1.3998813917757331</v>
      </c>
      <c r="K29" s="336">
        <f t="shared" si="8"/>
        <v>1.000000629809412</v>
      </c>
      <c r="L29" s="337">
        <f t="shared" si="9"/>
        <v>1.1223271192614566E-3</v>
      </c>
      <c r="M29" s="325">
        <f t="shared" si="10"/>
        <v>1.0000000003593976</v>
      </c>
      <c r="N29" s="337">
        <f t="shared" si="11"/>
        <v>2.6810361676401443E-5</v>
      </c>
      <c r="O29" s="343">
        <f t="shared" si="12"/>
        <v>1.0000000003217151</v>
      </c>
      <c r="P29" s="691">
        <f t="shared" si="13"/>
        <v>2.536592005307715E-5</v>
      </c>
      <c r="Q29" s="336">
        <f t="shared" si="29"/>
        <v>15.124293786340331</v>
      </c>
      <c r="R29" s="692">
        <f t="shared" si="14"/>
        <v>1.1839221267335537E-5</v>
      </c>
      <c r="S29" s="329">
        <f t="shared" si="15"/>
        <v>0.999999999940554</v>
      </c>
      <c r="T29" s="330">
        <f t="shared" si="16"/>
        <v>3.4638000105856495E-5</v>
      </c>
      <c r="U29" s="331">
        <f t="shared" si="17"/>
        <v>92.787317594529966</v>
      </c>
      <c r="V29" s="332">
        <f t="shared" si="18"/>
        <v>-80.462660191163565</v>
      </c>
      <c r="W29" s="334">
        <f t="shared" si="19"/>
        <v>99.537339808836435</v>
      </c>
      <c r="Y29" s="307">
        <f t="shared" si="20"/>
        <v>1000000000</v>
      </c>
      <c r="Z29" s="307">
        <f t="shared" si="21"/>
        <v>19.054971039999998</v>
      </c>
      <c r="AB29" s="333">
        <f t="shared" si="22"/>
        <v>82.320500320032124</v>
      </c>
      <c r="AC29" s="334">
        <f t="shared" si="23"/>
        <v>-80.144527172632209</v>
      </c>
      <c r="AE29" s="333">
        <f t="shared" si="24"/>
        <v>68.039719455517684</v>
      </c>
      <c r="AF29" s="334">
        <f t="shared" si="25"/>
        <v>-0.31890804128340394</v>
      </c>
      <c r="AH29">
        <f t="shared" si="26"/>
        <v>0</v>
      </c>
      <c r="AI29">
        <f t="shared" si="27"/>
        <v>0</v>
      </c>
    </row>
    <row r="30" spans="1:35" x14ac:dyDescent="0.2">
      <c r="A30" s="335">
        <v>4.7862999999999998</v>
      </c>
      <c r="B30" s="352">
        <f t="shared" si="28"/>
        <v>4.7862999999999994E-3</v>
      </c>
      <c r="C30" s="325">
        <f t="shared" si="0"/>
        <v>1.0000184285346851</v>
      </c>
      <c r="D30" s="326">
        <f t="shared" si="1"/>
        <v>6.0709557205599887E-3</v>
      </c>
      <c r="E30" s="326">
        <f t="shared" si="2"/>
        <v>1.000000000018088</v>
      </c>
      <c r="F30" s="327">
        <f t="shared" si="3"/>
        <v>6.0146419602054721E-6</v>
      </c>
      <c r="G30" s="326">
        <f t="shared" si="4"/>
        <v>1</v>
      </c>
      <c r="H30" s="327">
        <f t="shared" si="5"/>
        <v>0</v>
      </c>
      <c r="I30" s="325">
        <f t="shared" si="6"/>
        <v>6.4309176696044119</v>
      </c>
      <c r="J30" s="328">
        <f t="shared" si="7"/>
        <v>1.4146639483547756</v>
      </c>
      <c r="K30" s="336">
        <f t="shared" si="8"/>
        <v>1.0000007571826572</v>
      </c>
      <c r="L30" s="337">
        <f t="shared" si="9"/>
        <v>1.2305951238827041E-3</v>
      </c>
      <c r="M30" s="325">
        <f t="shared" si="10"/>
        <v>1.0000000004320826</v>
      </c>
      <c r="N30" s="337">
        <f t="shared" si="11"/>
        <v>2.9396690663782223E-5</v>
      </c>
      <c r="O30" s="343">
        <f t="shared" si="12"/>
        <v>1.0000000003867788</v>
      </c>
      <c r="P30" s="691">
        <f t="shared" si="13"/>
        <v>2.7812907345545897E-5</v>
      </c>
      <c r="Q30" s="336">
        <f t="shared" si="29"/>
        <v>15.124293786548558</v>
      </c>
      <c r="R30" s="692">
        <f t="shared" si="14"/>
        <v>1.2981321531965464E-5</v>
      </c>
      <c r="S30" s="329">
        <f t="shared" si="15"/>
        <v>0.99999999992853161</v>
      </c>
      <c r="T30" s="330">
        <f t="shared" si="16"/>
        <v>3.7979441930577938E-5</v>
      </c>
      <c r="U30" s="331">
        <f t="shared" si="17"/>
        <v>92.008562329541519</v>
      </c>
      <c r="V30" s="332">
        <f t="shared" si="18"/>
        <v>-81.33427196365804</v>
      </c>
      <c r="W30" s="334">
        <f t="shared" si="19"/>
        <v>98.66572803634196</v>
      </c>
      <c r="Y30" s="307">
        <f t="shared" si="20"/>
        <v>1000000000</v>
      </c>
      <c r="Z30" s="307">
        <f t="shared" si="21"/>
        <v>22.908667689999998</v>
      </c>
      <c r="AB30" s="333">
        <f t="shared" si="22"/>
        <v>81.541771980486118</v>
      </c>
      <c r="AC30" s="334">
        <f t="shared" si="23"/>
        <v>-80.985450161999893</v>
      </c>
      <c r="AE30" s="333">
        <f t="shared" si="24"/>
        <v>68.039692529629676</v>
      </c>
      <c r="AF30" s="334">
        <f t="shared" si="25"/>
        <v>-0.34967158892973116</v>
      </c>
      <c r="AH30">
        <f t="shared" si="26"/>
        <v>0</v>
      </c>
      <c r="AI30">
        <f t="shared" si="27"/>
        <v>0</v>
      </c>
    </row>
    <row r="31" spans="1:35" x14ac:dyDescent="0.2">
      <c r="A31" s="335">
        <v>5.2481</v>
      </c>
      <c r="B31" s="352">
        <f t="shared" si="28"/>
        <v>5.2481000000000003E-3</v>
      </c>
      <c r="C31" s="325">
        <f t="shared" si="0"/>
        <v>1.0000221561535305</v>
      </c>
      <c r="D31" s="326">
        <f t="shared" si="1"/>
        <v>6.6566875334352358E-3</v>
      </c>
      <c r="E31" s="326">
        <f t="shared" si="2"/>
        <v>1.0000000000217466</v>
      </c>
      <c r="F31" s="327">
        <f t="shared" si="3"/>
        <v>6.5949569544903879E-6</v>
      </c>
      <c r="G31" s="326">
        <f t="shared" si="4"/>
        <v>1</v>
      </c>
      <c r="H31" s="327">
        <f t="shared" si="5"/>
        <v>0</v>
      </c>
      <c r="I31" s="325">
        <f t="shared" si="6"/>
        <v>7.0370388608746683</v>
      </c>
      <c r="J31" s="328">
        <f t="shared" si="7"/>
        <v>1.4282084249333231</v>
      </c>
      <c r="K31" s="336">
        <f t="shared" si="8"/>
        <v>1.0000009103428718</v>
      </c>
      <c r="L31" s="337">
        <f t="shared" si="9"/>
        <v>1.3493273740079496E-3</v>
      </c>
      <c r="M31" s="325">
        <f t="shared" si="10"/>
        <v>1.0000000005194829</v>
      </c>
      <c r="N31" s="337">
        <f t="shared" si="11"/>
        <v>3.2232992554500611E-5</v>
      </c>
      <c r="O31" s="343">
        <f t="shared" si="12"/>
        <v>1.0000000004650151</v>
      </c>
      <c r="P31" s="691">
        <f t="shared" si="13"/>
        <v>3.0496399939942391E-5</v>
      </c>
      <c r="Q31" s="336">
        <f t="shared" si="29"/>
        <v>15.12429378679894</v>
      </c>
      <c r="R31" s="692">
        <f t="shared" si="14"/>
        <v>1.423380764497987E-5</v>
      </c>
      <c r="S31" s="329">
        <f t="shared" si="15"/>
        <v>0.99999999991407518</v>
      </c>
      <c r="T31" s="330">
        <f t="shared" si="16"/>
        <v>4.1643839543789598E-5</v>
      </c>
      <c r="U31" s="331">
        <f t="shared" si="17"/>
        <v>91.226191288913085</v>
      </c>
      <c r="V31" s="332">
        <f t="shared" si="18"/>
        <v>-82.137327634633934</v>
      </c>
      <c r="W31" s="334">
        <f t="shared" si="19"/>
        <v>97.862672365366066</v>
      </c>
      <c r="Y31" s="307">
        <f t="shared" si="20"/>
        <v>1000000000</v>
      </c>
      <c r="Z31" s="307">
        <f t="shared" si="21"/>
        <v>27.542553609999999</v>
      </c>
      <c r="AB31" s="333">
        <f t="shared" si="22"/>
        <v>80.759433316193451</v>
      </c>
      <c r="AC31" s="334">
        <f t="shared" si="23"/>
        <v>-81.754851157847114</v>
      </c>
      <c r="AE31" s="333">
        <f t="shared" si="24"/>
        <v>68.039660152758131</v>
      </c>
      <c r="AF31" s="334">
        <f t="shared" si="25"/>
        <v>-0.38340825469031325</v>
      </c>
      <c r="AH31">
        <f t="shared" si="26"/>
        <v>0</v>
      </c>
      <c r="AI31">
        <f t="shared" si="27"/>
        <v>0</v>
      </c>
    </row>
    <row r="32" spans="1:35" x14ac:dyDescent="0.2">
      <c r="A32" s="335">
        <v>5.7544000000000004</v>
      </c>
      <c r="B32" s="352">
        <f t="shared" si="28"/>
        <v>5.7544000000000007E-3</v>
      </c>
      <c r="C32" s="325">
        <f t="shared" si="0"/>
        <v>1.0000266372437003</v>
      </c>
      <c r="D32" s="326">
        <f t="shared" si="1"/>
        <v>7.2988564074211197E-3</v>
      </c>
      <c r="E32" s="326">
        <f t="shared" si="2"/>
        <v>1.0000000000261451</v>
      </c>
      <c r="F32" s="327">
        <f t="shared" si="3"/>
        <v>7.2311922979379609E-6</v>
      </c>
      <c r="G32" s="326">
        <f t="shared" si="4"/>
        <v>1</v>
      </c>
      <c r="H32" s="327">
        <f t="shared" si="5"/>
        <v>0</v>
      </c>
      <c r="I32" s="325">
        <f t="shared" si="6"/>
        <v>7.7028058135297393</v>
      </c>
      <c r="J32" s="328">
        <f t="shared" si="7"/>
        <v>1.4406060378340346</v>
      </c>
      <c r="K32" s="336">
        <f t="shared" si="8"/>
        <v>1.0000010944624025</v>
      </c>
      <c r="L32" s="337">
        <f t="shared" si="9"/>
        <v>1.4795008646785535E-3</v>
      </c>
      <c r="M32" s="325">
        <f t="shared" si="10"/>
        <v>1.00000000062455</v>
      </c>
      <c r="N32" s="337">
        <f t="shared" si="11"/>
        <v>3.5342606341843015E-5</v>
      </c>
      <c r="O32" s="343">
        <f t="shared" si="12"/>
        <v>1.0000000005590659</v>
      </c>
      <c r="P32" s="691">
        <f t="shared" si="13"/>
        <v>3.3438479412244672E-5</v>
      </c>
      <c r="Q32" s="336">
        <f t="shared" si="29"/>
        <v>15.124293787099933</v>
      </c>
      <c r="R32" s="692">
        <f t="shared" si="14"/>
        <v>1.5606985901793316E-5</v>
      </c>
      <c r="S32" s="329">
        <f t="shared" si="15"/>
        <v>0.99999999989669663</v>
      </c>
      <c r="T32" s="330">
        <f t="shared" si="16"/>
        <v>4.5661346065996466E-5</v>
      </c>
      <c r="U32" s="331">
        <f t="shared" si="17"/>
        <v>90.440973963695626</v>
      </c>
      <c r="V32" s="332">
        <f t="shared" si="18"/>
        <v>-82.877275714217049</v>
      </c>
      <c r="W32" s="334">
        <f t="shared" si="19"/>
        <v>97.122724285782951</v>
      </c>
      <c r="Y32" s="307">
        <f t="shared" si="20"/>
        <v>1000000000</v>
      </c>
      <c r="Z32" s="307">
        <f t="shared" si="21"/>
        <v>33.113119360000006</v>
      </c>
      <c r="AB32" s="333">
        <f t="shared" si="22"/>
        <v>79.974254911447929</v>
      </c>
      <c r="AC32" s="334">
        <f t="shared" si="23"/>
        <v>-82.457901830024198</v>
      </c>
      <c r="AE32" s="333">
        <f t="shared" si="24"/>
        <v>68.039621231642144</v>
      </c>
      <c r="AF32" s="334">
        <f t="shared" si="25"/>
        <v>-0.42039555351456909</v>
      </c>
      <c r="AH32">
        <f t="shared" si="26"/>
        <v>0</v>
      </c>
      <c r="AI32">
        <f t="shared" si="27"/>
        <v>0</v>
      </c>
    </row>
    <row r="33" spans="1:35" x14ac:dyDescent="0.2">
      <c r="A33" s="335">
        <v>6.3095999999999997</v>
      </c>
      <c r="B33" s="352">
        <f t="shared" si="28"/>
        <v>6.3095999999999994E-3</v>
      </c>
      <c r="C33" s="325">
        <f t="shared" si="0"/>
        <v>1.0000320251870574</v>
      </c>
      <c r="D33" s="326">
        <f t="shared" si="1"/>
        <v>8.0030409724679476E-3</v>
      </c>
      <c r="E33" s="326">
        <f t="shared" si="2"/>
        <v>1.0000000000314335</v>
      </c>
      <c r="F33" s="327">
        <f t="shared" si="3"/>
        <v>7.9288771936098444E-6</v>
      </c>
      <c r="G33" s="326">
        <f t="shared" si="4"/>
        <v>1</v>
      </c>
      <c r="H33" s="327">
        <f t="shared" si="5"/>
        <v>0</v>
      </c>
      <c r="I33" s="325">
        <f t="shared" si="6"/>
        <v>8.4340101787824722</v>
      </c>
      <c r="J33" s="328">
        <f t="shared" si="7"/>
        <v>1.4519491863546801</v>
      </c>
      <c r="K33" s="336">
        <f t="shared" si="8"/>
        <v>1.0000013158438652</v>
      </c>
      <c r="L33" s="337">
        <f t="shared" si="9"/>
        <v>1.6222468507642545E-3</v>
      </c>
      <c r="M33" s="325">
        <f t="shared" si="10"/>
        <v>1.0000000007508802</v>
      </c>
      <c r="N33" s="337">
        <f t="shared" si="11"/>
        <v>3.8752556123264238E-5</v>
      </c>
      <c r="O33" s="343">
        <f t="shared" si="12"/>
        <v>1.0000000006721506</v>
      </c>
      <c r="P33" s="691">
        <f t="shared" si="13"/>
        <v>3.6664713903029506E-5</v>
      </c>
      <c r="Q33" s="336">
        <f t="shared" si="29"/>
        <v>15.124293787461845</v>
      </c>
      <c r="R33" s="692">
        <f t="shared" si="14"/>
        <v>1.7112789907619791E-5</v>
      </c>
      <c r="S33" s="329">
        <f t="shared" si="15"/>
        <v>0.9999999998758009</v>
      </c>
      <c r="T33" s="330">
        <f t="shared" si="16"/>
        <v>5.0066875636779161E-5</v>
      </c>
      <c r="U33" s="331">
        <f t="shared" si="17"/>
        <v>89.653225662563727</v>
      </c>
      <c r="V33" s="332">
        <f t="shared" si="18"/>
        <v>-83.559667558826177</v>
      </c>
      <c r="W33" s="334">
        <f t="shared" si="19"/>
        <v>96.440332441173823</v>
      </c>
      <c r="Y33" s="307">
        <f t="shared" si="20"/>
        <v>1000000000</v>
      </c>
      <c r="Z33" s="307">
        <f t="shared" si="21"/>
        <v>39.811052159999996</v>
      </c>
      <c r="AB33" s="333">
        <f t="shared" si="22"/>
        <v>79.186553407022942</v>
      </c>
      <c r="AC33" s="334">
        <f t="shared" si="23"/>
        <v>-83.099833000566449</v>
      </c>
      <c r="AE33" s="333">
        <f t="shared" si="24"/>
        <v>68.039574434160841</v>
      </c>
      <c r="AF33" s="334">
        <f t="shared" si="25"/>
        <v>-0.46095480098732755</v>
      </c>
      <c r="AH33">
        <f t="shared" si="26"/>
        <v>0</v>
      </c>
      <c r="AI33">
        <f t="shared" si="27"/>
        <v>0</v>
      </c>
    </row>
    <row r="34" spans="1:35" x14ac:dyDescent="0.2">
      <c r="A34" s="335">
        <v>6.9183000000000003</v>
      </c>
      <c r="B34" s="352">
        <f t="shared" si="28"/>
        <v>6.9183000000000005E-3</v>
      </c>
      <c r="C34" s="325">
        <f t="shared" si="0"/>
        <v>1.0000385021865628</v>
      </c>
      <c r="D34" s="326">
        <f t="shared" si="1"/>
        <v>8.7750727922440309E-3</v>
      </c>
      <c r="E34" s="326">
        <f t="shared" si="2"/>
        <v>1.0000000000377911</v>
      </c>
      <c r="F34" s="327">
        <f t="shared" si="3"/>
        <v>8.6937921719789704E-6</v>
      </c>
      <c r="G34" s="326">
        <f t="shared" si="4"/>
        <v>1</v>
      </c>
      <c r="H34" s="327">
        <f t="shared" si="5"/>
        <v>0</v>
      </c>
      <c r="I34" s="325">
        <f t="shared" si="6"/>
        <v>9.236714641115336</v>
      </c>
      <c r="J34" s="328">
        <f t="shared" si="7"/>
        <v>1.4623201081058188</v>
      </c>
      <c r="K34" s="336">
        <f t="shared" si="8"/>
        <v>1.0000015819743138</v>
      </c>
      <c r="L34" s="337">
        <f t="shared" si="9"/>
        <v>1.7787480024760432E-3</v>
      </c>
      <c r="M34" s="325">
        <f t="shared" si="10"/>
        <v>1.0000000009027465</v>
      </c>
      <c r="N34" s="337">
        <f t="shared" si="11"/>
        <v>4.2491094364212513E-5</v>
      </c>
      <c r="O34" s="343">
        <f t="shared" si="12"/>
        <v>1.0000000008080936</v>
      </c>
      <c r="P34" s="691">
        <f t="shared" si="13"/>
        <v>4.0201833741020095E-5</v>
      </c>
      <c r="Q34" s="336">
        <f t="shared" si="29"/>
        <v>15.124293787896907</v>
      </c>
      <c r="R34" s="692">
        <f t="shared" si="14"/>
        <v>1.8763695704267954E-5</v>
      </c>
      <c r="S34" s="329">
        <f t="shared" si="15"/>
        <v>0.99999999985068155</v>
      </c>
      <c r="T34" s="330">
        <f t="shared" si="16"/>
        <v>5.4896929402164615E-5</v>
      </c>
      <c r="U34" s="331">
        <f t="shared" si="17"/>
        <v>88.863503598963959</v>
      </c>
      <c r="V34" s="332">
        <f t="shared" si="18"/>
        <v>-84.18948396064205</v>
      </c>
      <c r="W34" s="334">
        <f t="shared" si="19"/>
        <v>95.81051603935795</v>
      </c>
      <c r="Y34" s="307">
        <f t="shared" si="20"/>
        <v>1000000000</v>
      </c>
      <c r="Z34" s="307">
        <f t="shared" si="21"/>
        <v>47.862874890000008</v>
      </c>
      <c r="AB34" s="333">
        <f t="shared" si="22"/>
        <v>78.396887598737919</v>
      </c>
      <c r="AC34" s="334">
        <f t="shared" si="23"/>
        <v>-83.685290394216835</v>
      </c>
      <c r="AE34" s="333">
        <f t="shared" si="24"/>
        <v>68.03951817791517</v>
      </c>
      <c r="AF34" s="334">
        <f t="shared" si="25"/>
        <v>-0.5054218812567437</v>
      </c>
      <c r="AH34">
        <f t="shared" si="26"/>
        <v>0</v>
      </c>
      <c r="AI34">
        <f t="shared" si="27"/>
        <v>0</v>
      </c>
    </row>
    <row r="35" spans="1:35" x14ac:dyDescent="0.2">
      <c r="A35" s="335">
        <v>7.5857999999999999</v>
      </c>
      <c r="B35" s="352">
        <f t="shared" si="28"/>
        <v>7.5858000000000002E-3</v>
      </c>
      <c r="C35" s="325">
        <f t="shared" si="0"/>
        <v>1.000046290055193</v>
      </c>
      <c r="D35" s="326">
        <f t="shared" si="1"/>
        <v>9.6216702939274906E-3</v>
      </c>
      <c r="E35" s="326">
        <f t="shared" si="2"/>
        <v>1.0000000000454352</v>
      </c>
      <c r="F35" s="327">
        <f t="shared" si="3"/>
        <v>9.5325974094592564E-6</v>
      </c>
      <c r="G35" s="326">
        <f t="shared" si="4"/>
        <v>1</v>
      </c>
      <c r="H35" s="327">
        <f t="shared" si="5"/>
        <v>0</v>
      </c>
      <c r="I35" s="325">
        <f t="shared" si="6"/>
        <v>10.117911819225501</v>
      </c>
      <c r="J35" s="328">
        <f t="shared" si="7"/>
        <v>1.4718000849464694</v>
      </c>
      <c r="K35" s="336">
        <f t="shared" si="8"/>
        <v>1.0000019019686481</v>
      </c>
      <c r="L35" s="337">
        <f t="shared" si="9"/>
        <v>1.9503669570100617E-3</v>
      </c>
      <c r="M35" s="325">
        <f t="shared" si="10"/>
        <v>1.00000000108535</v>
      </c>
      <c r="N35" s="337">
        <f t="shared" si="11"/>
        <v>4.6590772818294134E-5</v>
      </c>
      <c r="O35" s="343">
        <f t="shared" si="12"/>
        <v>1.0000000009715513</v>
      </c>
      <c r="P35" s="691">
        <f t="shared" si="13"/>
        <v>4.4080636913605635E-5</v>
      </c>
      <c r="Q35" s="336">
        <f t="shared" si="29"/>
        <v>15.124293788420026</v>
      </c>
      <c r="R35" s="692">
        <f t="shared" si="14"/>
        <v>2.0574077861642619E-5</v>
      </c>
      <c r="S35" s="329">
        <f t="shared" si="15"/>
        <v>0.99999999982047816</v>
      </c>
      <c r="T35" s="330">
        <f t="shared" si="16"/>
        <v>6.0193563030488353E-5</v>
      </c>
      <c r="U35" s="331">
        <f t="shared" si="17"/>
        <v>88.071971469922772</v>
      </c>
      <c r="V35" s="332">
        <f t="shared" si="18"/>
        <v>-84.771691843402834</v>
      </c>
      <c r="W35" s="334">
        <f t="shared" si="19"/>
        <v>95.228308156597166</v>
      </c>
      <c r="Y35" s="307">
        <f t="shared" si="20"/>
        <v>1000000000</v>
      </c>
      <c r="Z35" s="307">
        <f t="shared" si="21"/>
        <v>57.544361639999998</v>
      </c>
      <c r="AB35" s="333">
        <f t="shared" si="22"/>
        <v>77.605423109948333</v>
      </c>
      <c r="AC35" s="334">
        <f t="shared" si="23"/>
        <v>-84.218854910171103</v>
      </c>
      <c r="AE35" s="333">
        <f t="shared" si="24"/>
        <v>68.039450536544223</v>
      </c>
      <c r="AF35" s="334">
        <f t="shared" si="25"/>
        <v>-0.55418375985783297</v>
      </c>
      <c r="AH35">
        <f t="shared" si="26"/>
        <v>0</v>
      </c>
      <c r="AI35">
        <f t="shared" si="27"/>
        <v>0</v>
      </c>
    </row>
    <row r="36" spans="1:35" x14ac:dyDescent="0.2">
      <c r="A36" s="335">
        <v>8.3176000000000005</v>
      </c>
      <c r="B36" s="352">
        <f t="shared" si="28"/>
        <v>8.3176000000000014E-3</v>
      </c>
      <c r="C36" s="325">
        <f t="shared" si="0"/>
        <v>1.0000556517660892</v>
      </c>
      <c r="D36" s="326">
        <f t="shared" si="1"/>
        <v>1.054980429005239E-2</v>
      </c>
      <c r="E36" s="326">
        <f t="shared" si="2"/>
        <v>1.0000000000546243</v>
      </c>
      <c r="F36" s="327">
        <f t="shared" si="3"/>
        <v>1.0452204409875373E-5</v>
      </c>
      <c r="G36" s="326">
        <f t="shared" si="4"/>
        <v>1</v>
      </c>
      <c r="H36" s="327">
        <f t="shared" si="5"/>
        <v>0</v>
      </c>
      <c r="I36" s="325">
        <f t="shared" si="6"/>
        <v>11.084865075548851</v>
      </c>
      <c r="J36" s="328">
        <f t="shared" si="7"/>
        <v>1.4804604151397498</v>
      </c>
      <c r="K36" s="336">
        <f t="shared" si="8"/>
        <v>1.0000022866334672</v>
      </c>
      <c r="L36" s="337">
        <f t="shared" si="9"/>
        <v>2.1385177623344364E-3</v>
      </c>
      <c r="M36" s="325">
        <f t="shared" si="10"/>
        <v>1.0000000013048576</v>
      </c>
      <c r="N36" s="337">
        <f t="shared" si="11"/>
        <v>5.1085371607046563E-5</v>
      </c>
      <c r="O36" s="343">
        <f t="shared" si="12"/>
        <v>1.0000000011680434</v>
      </c>
      <c r="P36" s="691">
        <f t="shared" si="13"/>
        <v>4.8333083596269033E-5</v>
      </c>
      <c r="Q36" s="336">
        <f t="shared" si="29"/>
        <v>15.124293789048867</v>
      </c>
      <c r="R36" s="692">
        <f t="shared" si="14"/>
        <v>2.2558853386238123E-5</v>
      </c>
      <c r="S36" s="329">
        <f t="shared" si="15"/>
        <v>0.99999999978417053</v>
      </c>
      <c r="T36" s="330">
        <f t="shared" si="16"/>
        <v>6.6000419196619371E-5</v>
      </c>
      <c r="U36" s="331">
        <f t="shared" si="17"/>
        <v>87.279103076374128</v>
      </c>
      <c r="V36" s="332">
        <f t="shared" si="18"/>
        <v>-85.31069773933207</v>
      </c>
      <c r="W36" s="334">
        <f t="shared" si="19"/>
        <v>94.68930226066793</v>
      </c>
      <c r="Y36" s="307">
        <f t="shared" si="20"/>
        <v>1000000000</v>
      </c>
      <c r="Z36" s="307">
        <f t="shared" si="21"/>
        <v>69.182469760000004</v>
      </c>
      <c r="AB36" s="333">
        <f t="shared" si="22"/>
        <v>76.812636025302126</v>
      </c>
      <c r="AC36" s="334">
        <f t="shared" si="23"/>
        <v>-84.704532554474881</v>
      </c>
      <c r="AE36" s="333">
        <f t="shared" si="24"/>
        <v>68.039369226296202</v>
      </c>
      <c r="AF36" s="334">
        <f t="shared" si="25"/>
        <v>-0.60764193947011047</v>
      </c>
      <c r="AH36">
        <f t="shared" si="26"/>
        <v>0</v>
      </c>
      <c r="AI36">
        <f t="shared" si="27"/>
        <v>0</v>
      </c>
    </row>
    <row r="37" spans="1:35" x14ac:dyDescent="0.2">
      <c r="A37" s="335">
        <v>9.1201000000000008</v>
      </c>
      <c r="B37" s="352">
        <f t="shared" si="28"/>
        <v>9.1201000000000008E-3</v>
      </c>
      <c r="C37" s="325">
        <f t="shared" si="0"/>
        <v>1.0000669082460794</v>
      </c>
      <c r="D37" s="326">
        <f t="shared" si="1"/>
        <v>1.1567585374469329E-2</v>
      </c>
      <c r="E37" s="326">
        <f t="shared" si="2"/>
        <v>1.0000000000656732</v>
      </c>
      <c r="F37" s="327">
        <f t="shared" si="3"/>
        <v>1.146065565040423E-5</v>
      </c>
      <c r="G37" s="326">
        <f t="shared" si="4"/>
        <v>1</v>
      </c>
      <c r="H37" s="327">
        <f t="shared" si="5"/>
        <v>0</v>
      </c>
      <c r="I37" s="325">
        <f t="shared" si="6"/>
        <v>12.146032919306053</v>
      </c>
      <c r="J37" s="328">
        <f t="shared" si="7"/>
        <v>1.4883716198835717</v>
      </c>
      <c r="K37" s="336">
        <f t="shared" si="8"/>
        <v>1.0000027491573251</v>
      </c>
      <c r="L37" s="337">
        <f t="shared" si="9"/>
        <v>2.3448458486090016E-3</v>
      </c>
      <c r="M37" s="325">
        <f t="shared" si="10"/>
        <v>1.0000000015687951</v>
      </c>
      <c r="N37" s="337">
        <f t="shared" si="11"/>
        <v>5.6014198508156882E-5</v>
      </c>
      <c r="O37" s="343">
        <f t="shared" si="12"/>
        <v>1.0000000014043073</v>
      </c>
      <c r="P37" s="691">
        <f t="shared" si="13"/>
        <v>5.2996363811304073E-5</v>
      </c>
      <c r="Q37" s="336">
        <f t="shared" si="29"/>
        <v>15.124293789804989</v>
      </c>
      <c r="R37" s="692">
        <f t="shared" si="14"/>
        <v>2.4735380249239481E-5</v>
      </c>
      <c r="S37" s="329">
        <f t="shared" si="15"/>
        <v>0.99999999974051412</v>
      </c>
      <c r="T37" s="330">
        <f t="shared" si="16"/>
        <v>7.2368282104184043E-5</v>
      </c>
      <c r="U37" s="331">
        <f t="shared" si="17"/>
        <v>86.48492847539417</v>
      </c>
      <c r="V37" s="332">
        <f t="shared" si="18"/>
        <v>-85.810916206832133</v>
      </c>
      <c r="W37" s="334">
        <f t="shared" si="19"/>
        <v>94.189083793167867</v>
      </c>
      <c r="Y37" s="307">
        <f t="shared" si="20"/>
        <v>1000000000</v>
      </c>
      <c r="Z37" s="307">
        <f t="shared" si="21"/>
        <v>83.176224010000013</v>
      </c>
      <c r="AB37" s="333">
        <f t="shared" si="22"/>
        <v>76.01855918878087</v>
      </c>
      <c r="AC37" s="334">
        <f t="shared" si="23"/>
        <v>-85.146271870105352</v>
      </c>
      <c r="AE37" s="333">
        <f t="shared" si="24"/>
        <v>68.039271460219595</v>
      </c>
      <c r="AF37" s="334">
        <f t="shared" si="25"/>
        <v>-0.66626357181162843</v>
      </c>
      <c r="AH37">
        <f t="shared" si="26"/>
        <v>0</v>
      </c>
      <c r="AI37">
        <f t="shared" si="27"/>
        <v>0</v>
      </c>
    </row>
    <row r="38" spans="1:35" x14ac:dyDescent="0.2">
      <c r="A38" s="335">
        <v>10</v>
      </c>
      <c r="B38" s="352">
        <f t="shared" si="28"/>
        <v>0.01</v>
      </c>
      <c r="C38" s="325">
        <f t="shared" si="0"/>
        <v>1.0000804410084339</v>
      </c>
      <c r="D38" s="326">
        <f t="shared" si="1"/>
        <v>1.268350239542936E-2</v>
      </c>
      <c r="E38" s="326">
        <f t="shared" si="2"/>
        <v>1.0000000000789568</v>
      </c>
      <c r="F38" s="327">
        <f t="shared" si="3"/>
        <v>1.2566370599338535E-5</v>
      </c>
      <c r="G38" s="326">
        <f t="shared" si="4"/>
        <v>1</v>
      </c>
      <c r="H38" s="327">
        <f t="shared" si="5"/>
        <v>0</v>
      </c>
      <c r="I38" s="325">
        <f t="shared" si="6"/>
        <v>13.310276551587625</v>
      </c>
      <c r="J38" s="328">
        <f t="shared" si="7"/>
        <v>1.4955955490723478</v>
      </c>
      <c r="K38" s="336">
        <f t="shared" si="8"/>
        <v>1.0000033052192421</v>
      </c>
      <c r="L38" s="337">
        <f t="shared" si="9"/>
        <v>2.5710737594523167E-3</v>
      </c>
      <c r="M38" s="325">
        <f t="shared" si="10"/>
        <v>1.0000000018861102</v>
      </c>
      <c r="N38" s="337">
        <f t="shared" si="11"/>
        <v>6.1418403851172068E-5</v>
      </c>
      <c r="O38" s="343">
        <f t="shared" si="12"/>
        <v>1.0000000016883517</v>
      </c>
      <c r="P38" s="691">
        <f t="shared" si="13"/>
        <v>5.8109410863113912E-5</v>
      </c>
      <c r="Q38" s="336">
        <f t="shared" si="29"/>
        <v>15.124293790714027</v>
      </c>
      <c r="R38" s="692">
        <f t="shared" si="14"/>
        <v>2.7121830076712929E-5</v>
      </c>
      <c r="S38" s="329">
        <f t="shared" si="15"/>
        <v>0.99999999968802877</v>
      </c>
      <c r="T38" s="330">
        <f t="shared" si="16"/>
        <v>7.9350316466660431E-5</v>
      </c>
      <c r="U38" s="331">
        <f t="shared" si="17"/>
        <v>85.68976326598937</v>
      </c>
      <c r="V38" s="332">
        <f t="shared" si="18"/>
        <v>-86.27628239641642</v>
      </c>
      <c r="W38" s="334">
        <f t="shared" si="19"/>
        <v>93.72371760358358</v>
      </c>
      <c r="Y38" s="307">
        <f t="shared" si="20"/>
        <v>1000000000</v>
      </c>
      <c r="Z38" s="307">
        <f t="shared" si="21"/>
        <v>100</v>
      </c>
      <c r="AB38" s="333">
        <f t="shared" si="22"/>
        <v>75.223511512280623</v>
      </c>
      <c r="AC38" s="334">
        <f t="shared" si="23"/>
        <v>-85.547520258240468</v>
      </c>
      <c r="AE38" s="333">
        <f t="shared" si="24"/>
        <v>68.039153925369916</v>
      </c>
      <c r="AF38" s="334">
        <f t="shared" si="25"/>
        <v>-0.73053759577436073</v>
      </c>
      <c r="AH38">
        <f t="shared" si="26"/>
        <v>0</v>
      </c>
      <c r="AI38">
        <f t="shared" si="27"/>
        <v>0</v>
      </c>
    </row>
    <row r="39" spans="1:35" x14ac:dyDescent="0.2">
      <c r="A39" s="335">
        <v>10.965</v>
      </c>
      <c r="B39" s="352">
        <f t="shared" si="28"/>
        <v>1.0964999999999999E-2</v>
      </c>
      <c r="C39" s="325">
        <f t="shared" si="0"/>
        <v>1.0000967144229371</v>
      </c>
      <c r="D39" s="326">
        <f t="shared" si="1"/>
        <v>1.39073095059618E-2</v>
      </c>
      <c r="E39" s="326">
        <f t="shared" si="2"/>
        <v>1.0000000000949307</v>
      </c>
      <c r="F39" s="327">
        <f t="shared" si="3"/>
        <v>1.3779025362027965E-5</v>
      </c>
      <c r="G39" s="326">
        <f t="shared" si="4"/>
        <v>1</v>
      </c>
      <c r="H39" s="327">
        <f t="shared" si="5"/>
        <v>0</v>
      </c>
      <c r="I39" s="325">
        <f t="shared" si="6"/>
        <v>14.587785583165923</v>
      </c>
      <c r="J39" s="328">
        <f t="shared" si="7"/>
        <v>1.502192024223447</v>
      </c>
      <c r="K39" s="336">
        <f t="shared" si="8"/>
        <v>1.000003973904255</v>
      </c>
      <c r="L39" s="337">
        <f t="shared" si="9"/>
        <v>2.8191811204797633E-3</v>
      </c>
      <c r="M39" s="325">
        <f t="shared" si="10"/>
        <v>1.0000000022676934</v>
      </c>
      <c r="N39" s="337">
        <f t="shared" si="11"/>
        <v>6.7345279805678301E-5</v>
      </c>
      <c r="O39" s="343">
        <f t="shared" si="12"/>
        <v>1.000000002029926</v>
      </c>
      <c r="P39" s="691">
        <f t="shared" si="13"/>
        <v>6.3716968996895023E-5</v>
      </c>
      <c r="Q39" s="336">
        <f t="shared" si="29"/>
        <v>15.124293791807181</v>
      </c>
      <c r="R39" s="692">
        <f t="shared" si="14"/>
        <v>2.9739086677703871E-5</v>
      </c>
      <c r="S39" s="329">
        <f t="shared" si="15"/>
        <v>0.99999999962491304</v>
      </c>
      <c r="T39" s="330">
        <f t="shared" si="16"/>
        <v>8.7007622029657209E-5</v>
      </c>
      <c r="U39" s="331">
        <f t="shared" si="17"/>
        <v>84.893581892674419</v>
      </c>
      <c r="V39" s="332">
        <f t="shared" si="18"/>
        <v>-86.710673565064184</v>
      </c>
      <c r="W39" s="334">
        <f t="shared" si="19"/>
        <v>93.289326434935816</v>
      </c>
      <c r="Y39" s="307">
        <f t="shared" si="20"/>
        <v>1000000000</v>
      </c>
      <c r="Z39" s="307">
        <f t="shared" si="21"/>
        <v>120.23122499999999</v>
      </c>
      <c r="AB39" s="333">
        <f t="shared" si="22"/>
        <v>74.427471472502774</v>
      </c>
      <c r="AC39" s="334">
        <f t="shared" si="23"/>
        <v>-85.911594524802283</v>
      </c>
      <c r="AE39" s="333">
        <f t="shared" si="24"/>
        <v>68.039012589493751</v>
      </c>
      <c r="AF39" s="334">
        <f t="shared" si="25"/>
        <v>-0.80102582951780743</v>
      </c>
      <c r="AH39">
        <f t="shared" si="26"/>
        <v>0</v>
      </c>
      <c r="AI39">
        <f t="shared" si="27"/>
        <v>0</v>
      </c>
    </row>
    <row r="40" spans="1:35" x14ac:dyDescent="0.2">
      <c r="A40" s="335">
        <v>12.023</v>
      </c>
      <c r="B40" s="352">
        <f t="shared" si="28"/>
        <v>1.2022999999999999E-2</v>
      </c>
      <c r="C40" s="325">
        <f t="shared" si="0"/>
        <v>1.0001162774286445</v>
      </c>
      <c r="D40" s="326">
        <f t="shared" si="1"/>
        <v>1.5249010638647248E-2</v>
      </c>
      <c r="E40" s="326">
        <f t="shared" si="2"/>
        <v>1.000000000114134</v>
      </c>
      <c r="F40" s="327">
        <f t="shared" si="3"/>
        <v>1.5108547371230402E-5</v>
      </c>
      <c r="G40" s="326">
        <f t="shared" si="4"/>
        <v>1</v>
      </c>
      <c r="H40" s="327">
        <f t="shared" si="5"/>
        <v>0</v>
      </c>
      <c r="I40" s="325">
        <f t="shared" si="6"/>
        <v>15.989019335816691</v>
      </c>
      <c r="J40" s="328">
        <f t="shared" si="7"/>
        <v>1.5082125581837831</v>
      </c>
      <c r="K40" s="336">
        <f t="shared" si="8"/>
        <v>1.0000047777744854</v>
      </c>
      <c r="L40" s="337">
        <f t="shared" si="9"/>
        <v>3.0911989463562129E-3</v>
      </c>
      <c r="M40" s="325">
        <f t="shared" si="10"/>
        <v>1.00000000272642</v>
      </c>
      <c r="N40" s="337">
        <f t="shared" si="11"/>
        <v>7.3843346908896674E-5</v>
      </c>
      <c r="O40" s="343">
        <f t="shared" si="12"/>
        <v>1.0000000024405551</v>
      </c>
      <c r="P40" s="691">
        <f t="shared" si="13"/>
        <v>6.9864944645686754E-5</v>
      </c>
      <c r="Q40" s="336">
        <f t="shared" si="29"/>
        <v>15.124293793121334</v>
      </c>
      <c r="R40" s="692">
        <f t="shared" si="14"/>
        <v>3.2608576297822814E-5</v>
      </c>
      <c r="S40" s="329">
        <f t="shared" si="15"/>
        <v>0.99999999954903762</v>
      </c>
      <c r="T40" s="330">
        <f t="shared" si="16"/>
        <v>9.5402885545730622E-5</v>
      </c>
      <c r="U40" s="331">
        <f t="shared" si="17"/>
        <v>84.096769841522303</v>
      </c>
      <c r="V40" s="332">
        <f t="shared" si="18"/>
        <v>-87.11750239634209</v>
      </c>
      <c r="W40" s="334">
        <f t="shared" si="19"/>
        <v>92.88249760365791</v>
      </c>
      <c r="Y40" s="307">
        <f t="shared" si="20"/>
        <v>1000000000</v>
      </c>
      <c r="Z40" s="307">
        <f t="shared" si="21"/>
        <v>144.55252899999999</v>
      </c>
      <c r="AB40" s="333">
        <f t="shared" si="22"/>
        <v>73.630829321727333</v>
      </c>
      <c r="AC40" s="334">
        <f t="shared" si="23"/>
        <v>-86.241332549966472</v>
      </c>
      <c r="AE40" s="333">
        <f t="shared" si="24"/>
        <v>68.038842686305102</v>
      </c>
      <c r="AF40" s="334">
        <f t="shared" si="25"/>
        <v>-0.87830447904438358</v>
      </c>
      <c r="AH40">
        <f t="shared" si="26"/>
        <v>0</v>
      </c>
      <c r="AI40">
        <f t="shared" si="27"/>
        <v>0</v>
      </c>
    </row>
    <row r="41" spans="1:35" x14ac:dyDescent="0.2">
      <c r="A41" s="335">
        <v>13.183</v>
      </c>
      <c r="B41" s="352">
        <f t="shared" si="28"/>
        <v>1.3183E-2</v>
      </c>
      <c r="C41" s="325">
        <f t="shared" si="0"/>
        <v>1.0001397954777476</v>
      </c>
      <c r="D41" s="326">
        <f t="shared" si="1"/>
        <v>1.6719999643758192E-2</v>
      </c>
      <c r="E41" s="326">
        <f t="shared" si="2"/>
        <v>1.0000000001372202</v>
      </c>
      <c r="F41" s="327">
        <f t="shared" si="3"/>
        <v>1.6566246360464517E-5</v>
      </c>
      <c r="G41" s="326">
        <f t="shared" si="4"/>
        <v>1</v>
      </c>
      <c r="H41" s="327">
        <f t="shared" si="5"/>
        <v>0</v>
      </c>
      <c r="I41" s="325">
        <f t="shared" si="6"/>
        <v>17.52589807897882</v>
      </c>
      <c r="J41" s="328">
        <f t="shared" si="7"/>
        <v>1.5137069039033291</v>
      </c>
      <c r="K41" s="336">
        <f t="shared" si="8"/>
        <v>1.0000057441827304</v>
      </c>
      <c r="L41" s="337">
        <f t="shared" si="9"/>
        <v>3.3894410259511891E-3</v>
      </c>
      <c r="M41" s="325">
        <f t="shared" si="10"/>
        <v>1.0000000032778988</v>
      </c>
      <c r="N41" s="337">
        <f t="shared" si="11"/>
        <v>8.0967881721873356E-5</v>
      </c>
      <c r="O41" s="343">
        <f t="shared" si="12"/>
        <v>1.0000000029342118</v>
      </c>
      <c r="P41" s="691">
        <f t="shared" si="13"/>
        <v>7.6605636277216478E-5</v>
      </c>
      <c r="Q41" s="336">
        <f t="shared" si="29"/>
        <v>15.124293794701199</v>
      </c>
      <c r="R41" s="692">
        <f t="shared" si="14"/>
        <v>3.5754708583939391E-5</v>
      </c>
      <c r="S41" s="329">
        <f t="shared" si="15"/>
        <v>0.99999999945782048</v>
      </c>
      <c r="T41" s="330">
        <f t="shared" si="16"/>
        <v>1.0460752230308561E-4</v>
      </c>
      <c r="U41" s="331">
        <f t="shared" si="17"/>
        <v>83.299404905577944</v>
      </c>
      <c r="V41" s="332">
        <f t="shared" si="18"/>
        <v>-87.50014478649841</v>
      </c>
      <c r="W41" s="334">
        <f t="shared" si="19"/>
        <v>92.49985521350159</v>
      </c>
      <c r="Y41" s="307">
        <f t="shared" si="20"/>
        <v>1000000000</v>
      </c>
      <c r="Z41" s="307">
        <f t="shared" si="21"/>
        <v>173.79148899999998</v>
      </c>
      <c r="AB41" s="333">
        <f t="shared" si="22"/>
        <v>72.833668630437316</v>
      </c>
      <c r="AC41" s="334">
        <f t="shared" si="23"/>
        <v>-86.539455564564662</v>
      </c>
      <c r="AE41" s="333">
        <f t="shared" si="24"/>
        <v>68.038638438270226</v>
      </c>
      <c r="AF41" s="334">
        <f t="shared" si="25"/>
        <v>-0.96302980768246504</v>
      </c>
      <c r="AH41">
        <f t="shared" si="26"/>
        <v>0</v>
      </c>
      <c r="AI41">
        <f t="shared" si="27"/>
        <v>0</v>
      </c>
    </row>
    <row r="42" spans="1:35" x14ac:dyDescent="0.2">
      <c r="A42" s="335">
        <v>14.454000000000001</v>
      </c>
      <c r="B42" s="352">
        <f t="shared" si="28"/>
        <v>1.4454E-2</v>
      </c>
      <c r="C42" s="325">
        <f t="shared" si="0"/>
        <v>1.0001680484784565</v>
      </c>
      <c r="D42" s="326">
        <f t="shared" si="1"/>
        <v>1.8331663768177488E-2</v>
      </c>
      <c r="E42" s="326">
        <f t="shared" si="2"/>
        <v>1.0000000001649552</v>
      </c>
      <c r="F42" s="327">
        <f t="shared" si="3"/>
        <v>1.8163432063242567E-5</v>
      </c>
      <c r="G42" s="326">
        <f t="shared" si="4"/>
        <v>1</v>
      </c>
      <c r="H42" s="327">
        <f t="shared" si="5"/>
        <v>0</v>
      </c>
      <c r="I42" s="325">
        <f t="shared" si="6"/>
        <v>19.210345796979766</v>
      </c>
      <c r="J42" s="328">
        <f t="shared" si="7"/>
        <v>1.5187175049144197</v>
      </c>
      <c r="K42" s="336">
        <f t="shared" si="8"/>
        <v>1.0000069051893408</v>
      </c>
      <c r="L42" s="337">
        <f t="shared" si="9"/>
        <v>3.7162210930785223E-3</v>
      </c>
      <c r="M42" s="325">
        <f t="shared" si="10"/>
        <v>1.0000000039404258</v>
      </c>
      <c r="N42" s="337">
        <f t="shared" si="11"/>
        <v>8.8774160804904034E-5</v>
      </c>
      <c r="O42" s="343">
        <f t="shared" si="12"/>
        <v>1.0000000035272727</v>
      </c>
      <c r="P42" s="691">
        <f t="shared" si="13"/>
        <v>8.3991342358575899E-5</v>
      </c>
      <c r="Q42" s="336">
        <f t="shared" si="29"/>
        <v>15.124293796599193</v>
      </c>
      <c r="R42" s="692">
        <f t="shared" si="14"/>
        <v>3.9201893182861358E-5</v>
      </c>
      <c r="S42" s="329">
        <f t="shared" si="15"/>
        <v>0.99999999934823558</v>
      </c>
      <c r="T42" s="330">
        <f t="shared" si="16"/>
        <v>1.1469294759097691E-4</v>
      </c>
      <c r="U42" s="331">
        <f t="shared" si="17"/>
        <v>82.502071610107507</v>
      </c>
      <c r="V42" s="332">
        <f t="shared" si="18"/>
        <v>-87.861557457807777</v>
      </c>
      <c r="W42" s="334">
        <f t="shared" si="19"/>
        <v>92.138442542192223</v>
      </c>
      <c r="Y42" s="307">
        <f t="shared" si="20"/>
        <v>1000000000</v>
      </c>
      <c r="Z42" s="307">
        <f t="shared" si="21"/>
        <v>208.91811600000003</v>
      </c>
      <c r="AB42" s="333">
        <f t="shared" si="22"/>
        <v>72.036580694392001</v>
      </c>
      <c r="AC42" s="334">
        <f t="shared" si="23"/>
        <v>-86.808266003801052</v>
      </c>
      <c r="AE42" s="333">
        <f t="shared" si="24"/>
        <v>68.038393074783869</v>
      </c>
      <c r="AF42" s="334">
        <f t="shared" si="25"/>
        <v>-1.0558577004141323</v>
      </c>
      <c r="AH42">
        <f t="shared" si="26"/>
        <v>0</v>
      </c>
      <c r="AI42">
        <f t="shared" si="27"/>
        <v>0</v>
      </c>
    </row>
    <row r="43" spans="1:35" x14ac:dyDescent="0.2">
      <c r="A43" s="335">
        <v>15.849</v>
      </c>
      <c r="B43" s="352">
        <f t="shared" si="28"/>
        <v>1.5848999999999999E-2</v>
      </c>
      <c r="C43" s="325">
        <f t="shared" si="0"/>
        <v>1.000202048128666</v>
      </c>
      <c r="D43" s="326">
        <f t="shared" si="1"/>
        <v>2.0100453477066651E-2</v>
      </c>
      <c r="E43" s="326">
        <f t="shared" si="2"/>
        <v>1.0000000001983325</v>
      </c>
      <c r="F43" s="327">
        <f t="shared" si="3"/>
        <v>1.991644076130662E-5</v>
      </c>
      <c r="G43" s="326">
        <f t="shared" si="4"/>
        <v>1</v>
      </c>
      <c r="H43" s="327">
        <f t="shared" si="5"/>
        <v>0</v>
      </c>
      <c r="I43" s="325">
        <f t="shared" si="6"/>
        <v>21.059591899299882</v>
      </c>
      <c r="J43" s="328">
        <f t="shared" si="7"/>
        <v>1.5232941634229262</v>
      </c>
      <c r="K43" s="336">
        <f t="shared" si="8"/>
        <v>1.0000083023859445</v>
      </c>
      <c r="L43" s="337">
        <f t="shared" si="9"/>
        <v>4.0748812261506215E-3</v>
      </c>
      <c r="M43" s="325">
        <f t="shared" si="10"/>
        <v>1.0000000047377351</v>
      </c>
      <c r="N43" s="337">
        <f t="shared" si="11"/>
        <v>9.7342028078667312E-5</v>
      </c>
      <c r="O43" s="343">
        <f t="shared" si="12"/>
        <v>1.0000000042409845</v>
      </c>
      <c r="P43" s="691">
        <f t="shared" si="13"/>
        <v>9.2097605120221667E-5</v>
      </c>
      <c r="Q43" s="336">
        <f t="shared" si="29"/>
        <v>15.124293798883309</v>
      </c>
      <c r="R43" s="692">
        <f t="shared" si="14"/>
        <v>4.2985388473331766E-5</v>
      </c>
      <c r="S43" s="329">
        <f t="shared" si="15"/>
        <v>0.99999999921635696</v>
      </c>
      <c r="T43" s="330">
        <f t="shared" si="16"/>
        <v>1.25762316826865E-4</v>
      </c>
      <c r="U43" s="331">
        <f t="shared" si="17"/>
        <v>81.703493112073389</v>
      </c>
      <c r="V43" s="332">
        <f t="shared" si="18"/>
        <v>-88.205352162713112</v>
      </c>
      <c r="W43" s="334">
        <f t="shared" si="19"/>
        <v>91.794647837286888</v>
      </c>
      <c r="Y43" s="307">
        <f t="shared" si="20"/>
        <v>1000000000</v>
      </c>
      <c r="Z43" s="307">
        <f t="shared" si="21"/>
        <v>251.19080099999999</v>
      </c>
      <c r="AB43" s="333">
        <f t="shared" si="22"/>
        <v>71.238297452606659</v>
      </c>
      <c r="AC43" s="334">
        <f t="shared" si="23"/>
        <v>-87.050430411617413</v>
      </c>
      <c r="AE43" s="333">
        <f t="shared" si="24"/>
        <v>68.038097813647624</v>
      </c>
      <c r="AF43" s="334">
        <f t="shared" si="25"/>
        <v>-1.1577356738353068</v>
      </c>
      <c r="AH43">
        <f t="shared" si="26"/>
        <v>0</v>
      </c>
      <c r="AI43">
        <f t="shared" si="27"/>
        <v>0</v>
      </c>
    </row>
    <row r="44" spans="1:35" x14ac:dyDescent="0.2">
      <c r="A44" s="335">
        <v>17.378</v>
      </c>
      <c r="B44" s="352">
        <f t="shared" si="28"/>
        <v>1.7378000000000001E-2</v>
      </c>
      <c r="C44" s="325">
        <f t="shared" si="0"/>
        <v>1.0002429079986361</v>
      </c>
      <c r="D44" s="326">
        <f t="shared" si="1"/>
        <v>2.2039003542789308E-2</v>
      </c>
      <c r="E44" s="326">
        <f t="shared" si="2"/>
        <v>1.0000000002384457</v>
      </c>
      <c r="F44" s="327">
        <f t="shared" si="3"/>
        <v>2.1837838825208578E-5</v>
      </c>
      <c r="G44" s="326">
        <f t="shared" si="4"/>
        <v>1</v>
      </c>
      <c r="H44" s="327">
        <f t="shared" si="5"/>
        <v>0</v>
      </c>
      <c r="I44" s="325">
        <f t="shared" si="6"/>
        <v>23.086893302350475</v>
      </c>
      <c r="J44" s="328">
        <f t="shared" si="7"/>
        <v>1.5274681516306068</v>
      </c>
      <c r="K44" s="336">
        <f t="shared" si="8"/>
        <v>1.0000099815596957</v>
      </c>
      <c r="L44" s="337">
        <f t="shared" si="9"/>
        <v>4.4679920926712921E-3</v>
      </c>
      <c r="M44" s="325">
        <f t="shared" si="10"/>
        <v>1.0000000056959562</v>
      </c>
      <c r="N44" s="337">
        <f t="shared" si="11"/>
        <v>1.0673290194147621E-4</v>
      </c>
      <c r="O44" s="343">
        <f t="shared" si="12"/>
        <v>1.0000000050987361</v>
      </c>
      <c r="P44" s="691">
        <f t="shared" si="13"/>
        <v>1.0098253396832654E-4</v>
      </c>
      <c r="Q44" s="336">
        <f t="shared" si="29"/>
        <v>15.124293801628404</v>
      </c>
      <c r="R44" s="692">
        <f t="shared" si="14"/>
        <v>4.7132316284970926E-5</v>
      </c>
      <c r="S44" s="329">
        <f t="shared" si="15"/>
        <v>0.99999999905786285</v>
      </c>
      <c r="T44" s="330">
        <f t="shared" si="16"/>
        <v>1.3789498033496333E-4</v>
      </c>
      <c r="U44" s="331">
        <f t="shared" si="17"/>
        <v>80.904841974602249</v>
      </c>
      <c r="V44" s="332">
        <f t="shared" si="18"/>
        <v>-88.533902867123359</v>
      </c>
      <c r="W44" s="334">
        <f t="shared" si="19"/>
        <v>91.466097132876641</v>
      </c>
      <c r="Y44" s="307">
        <f t="shared" si="20"/>
        <v>1000000000</v>
      </c>
      <c r="Z44" s="307">
        <f t="shared" si="21"/>
        <v>301.99488400000001</v>
      </c>
      <c r="AB44" s="333">
        <f t="shared" si="22"/>
        <v>70.44000113291699</v>
      </c>
      <c r="AC44" s="334">
        <f t="shared" si="23"/>
        <v>-87.267596783808941</v>
      </c>
      <c r="AE44" s="333">
        <f t="shared" si="24"/>
        <v>68.037742989992324</v>
      </c>
      <c r="AF44" s="334">
        <f t="shared" si="25"/>
        <v>-1.2693914735170491</v>
      </c>
      <c r="AH44">
        <f t="shared" si="26"/>
        <v>0</v>
      </c>
      <c r="AI44">
        <f t="shared" si="27"/>
        <v>0</v>
      </c>
    </row>
    <row r="45" spans="1:35" x14ac:dyDescent="0.2">
      <c r="A45" s="335">
        <v>19.055</v>
      </c>
      <c r="B45" s="352">
        <f t="shared" si="28"/>
        <v>1.9054999999999999E-2</v>
      </c>
      <c r="C45" s="325">
        <f t="shared" si="0"/>
        <v>1.000292044793214</v>
      </c>
      <c r="D45" s="326">
        <f t="shared" si="1"/>
        <v>2.4165005101913863E-2</v>
      </c>
      <c r="E45" s="326">
        <f t="shared" si="2"/>
        <v>1.0000000002866867</v>
      </c>
      <c r="F45" s="327">
        <f t="shared" si="3"/>
        <v>2.3945219173723484E-5</v>
      </c>
      <c r="G45" s="326">
        <f t="shared" si="4"/>
        <v>1</v>
      </c>
      <c r="H45" s="327">
        <f t="shared" si="5"/>
        <v>0</v>
      </c>
      <c r="I45" s="325">
        <f t="shared" si="6"/>
        <v>25.310812762214535</v>
      </c>
      <c r="J45" s="328">
        <f t="shared" si="7"/>
        <v>1.5312772347002139</v>
      </c>
      <c r="K45" s="336">
        <f t="shared" si="8"/>
        <v>1.00001200096835</v>
      </c>
      <c r="L45" s="337">
        <f t="shared" si="9"/>
        <v>4.8991526475119507E-3</v>
      </c>
      <c r="M45" s="325">
        <f t="shared" si="10"/>
        <v>1.0000000068483343</v>
      </c>
      <c r="N45" s="337">
        <f t="shared" si="11"/>
        <v>1.1703276815124651E-4</v>
      </c>
      <c r="O45" s="343">
        <f t="shared" si="12"/>
        <v>1.0000000061302876</v>
      </c>
      <c r="P45" s="691">
        <f t="shared" si="13"/>
        <v>1.1072748207176732E-4</v>
      </c>
      <c r="Q45" s="336">
        <f t="shared" si="29"/>
        <v>15.124293804929716</v>
      </c>
      <c r="R45" s="692">
        <f t="shared" si="14"/>
        <v>5.1680647179270162E-5</v>
      </c>
      <c r="S45" s="329">
        <f t="shared" si="15"/>
        <v>0.99999999886725421</v>
      </c>
      <c r="T45" s="330">
        <f t="shared" si="16"/>
        <v>1.5120202856878248E-4</v>
      </c>
      <c r="U45" s="331">
        <f t="shared" si="17"/>
        <v>80.105620925237204</v>
      </c>
      <c r="V45" s="332">
        <f t="shared" si="18"/>
        <v>-88.850188576010481</v>
      </c>
      <c r="W45" s="334">
        <f t="shared" si="19"/>
        <v>91.149811423989519</v>
      </c>
      <c r="Y45" s="307">
        <f t="shared" si="20"/>
        <v>1000000000</v>
      </c>
      <c r="Z45" s="307">
        <f t="shared" si="21"/>
        <v>363.09302500000001</v>
      </c>
      <c r="AB45" s="333">
        <f t="shared" si="22"/>
        <v>69.641206757060758</v>
      </c>
      <c r="AC45" s="334">
        <f t="shared" si="23"/>
        <v>-87.46172762651247</v>
      </c>
      <c r="AE45" s="333">
        <f t="shared" si="24"/>
        <v>68.037316309419538</v>
      </c>
      <c r="AF45" s="334">
        <f t="shared" si="25"/>
        <v>-1.3918440839348172</v>
      </c>
      <c r="AH45">
        <f t="shared" si="26"/>
        <v>0</v>
      </c>
      <c r="AI45">
        <f t="shared" ref="AI45:AI76" si="30">IF(AH45&gt;0,W43,0)</f>
        <v>0</v>
      </c>
    </row>
    <row r="46" spans="1:35" x14ac:dyDescent="0.2">
      <c r="A46" s="335">
        <v>20.893000000000001</v>
      </c>
      <c r="B46" s="352">
        <f t="shared" si="28"/>
        <v>2.0893000000000002E-2</v>
      </c>
      <c r="C46" s="325">
        <f t="shared" si="0"/>
        <v>1.0003510915283238</v>
      </c>
      <c r="D46" s="326">
        <f t="shared" si="1"/>
        <v>2.6494861314541786E-2</v>
      </c>
      <c r="E46" s="326">
        <f t="shared" si="2"/>
        <v>1.0000000003446603</v>
      </c>
      <c r="F46" s="327">
        <f t="shared" si="3"/>
        <v>2.6254918088547314E-5</v>
      </c>
      <c r="G46" s="326">
        <f t="shared" si="4"/>
        <v>1</v>
      </c>
      <c r="H46" s="327">
        <f t="shared" si="5"/>
        <v>0</v>
      </c>
      <c r="I46" s="325">
        <f t="shared" si="6"/>
        <v>27.748590051884499</v>
      </c>
      <c r="J46" s="328">
        <f t="shared" si="7"/>
        <v>1.5347506545869145</v>
      </c>
      <c r="K46" s="336">
        <f t="shared" si="8"/>
        <v>1.0000144277784822</v>
      </c>
      <c r="L46" s="337">
        <f t="shared" si="9"/>
        <v>5.3717045743334711E-3</v>
      </c>
      <c r="M46" s="325">
        <f t="shared" si="10"/>
        <v>1.0000000082331999</v>
      </c>
      <c r="N46" s="337">
        <f t="shared" si="11"/>
        <v>1.2832147062327525E-4</v>
      </c>
      <c r="O46" s="343">
        <f t="shared" si="12"/>
        <v>1.0000000073699502</v>
      </c>
      <c r="P46" s="691">
        <f t="shared" si="13"/>
        <v>1.2140799165644294E-4</v>
      </c>
      <c r="Q46" s="336">
        <f t="shared" si="29"/>
        <v>15.124293808897052</v>
      </c>
      <c r="R46" s="692">
        <f t="shared" si="14"/>
        <v>5.666563953452902E-5</v>
      </c>
      <c r="S46" s="329">
        <f t="shared" si="15"/>
        <v>0.99999999863819111</v>
      </c>
      <c r="T46" s="330">
        <f t="shared" si="16"/>
        <v>1.6578661695331067E-4</v>
      </c>
      <c r="U46" s="331">
        <f t="shared" si="17"/>
        <v>79.306432699802883</v>
      </c>
      <c r="V46" s="332">
        <f t="shared" si="18"/>
        <v>-89.156640338462708</v>
      </c>
      <c r="W46" s="334">
        <f t="shared" si="19"/>
        <v>90.843359661537292</v>
      </c>
      <c r="Y46" s="307">
        <f t="shared" si="20"/>
        <v>1000000000</v>
      </c>
      <c r="Z46" s="307">
        <f t="shared" si="21"/>
        <v>436.51744900000006</v>
      </c>
      <c r="AB46" s="333">
        <f t="shared" si="22"/>
        <v>68.842531229198187</v>
      </c>
      <c r="AC46" s="334">
        <f t="shared" si="23"/>
        <v>-87.634311490694614</v>
      </c>
      <c r="AE46" s="333">
        <f t="shared" si="24"/>
        <v>68.036803603358649</v>
      </c>
      <c r="AF46" s="334">
        <f t="shared" si="25"/>
        <v>-1.5260383113046747</v>
      </c>
      <c r="AH46">
        <f t="shared" si="26"/>
        <v>0</v>
      </c>
      <c r="AI46">
        <f t="shared" si="30"/>
        <v>0</v>
      </c>
    </row>
    <row r="47" spans="1:35" x14ac:dyDescent="0.2">
      <c r="A47" s="335">
        <v>22.909000000000002</v>
      </c>
      <c r="B47" s="352">
        <f t="shared" si="28"/>
        <v>2.2909000000000002E-2</v>
      </c>
      <c r="C47" s="325">
        <f t="shared" si="0"/>
        <v>1.0004221002310036</v>
      </c>
      <c r="D47" s="326">
        <f t="shared" si="1"/>
        <v>2.9050019298635876E-2</v>
      </c>
      <c r="E47" s="326">
        <f t="shared" si="2"/>
        <v>1.000000000414383</v>
      </c>
      <c r="F47" s="327">
        <f t="shared" si="3"/>
        <v>2.8788298399587083E-5</v>
      </c>
      <c r="G47" s="326">
        <f t="shared" si="4"/>
        <v>1</v>
      </c>
      <c r="H47" s="327">
        <f t="shared" si="5"/>
        <v>0</v>
      </c>
      <c r="I47" s="325">
        <f t="shared" si="6"/>
        <v>30.422772702793463</v>
      </c>
      <c r="J47" s="328">
        <f t="shared" si="7"/>
        <v>1.5379202910882714</v>
      </c>
      <c r="K47" s="336">
        <f t="shared" si="8"/>
        <v>1.000017346405236</v>
      </c>
      <c r="L47" s="337">
        <f t="shared" si="9"/>
        <v>5.890017740465687E-3</v>
      </c>
      <c r="M47" s="325">
        <f t="shared" si="10"/>
        <v>1.0000000098987263</v>
      </c>
      <c r="N47" s="337">
        <f t="shared" si="11"/>
        <v>1.4070342063104846E-4</v>
      </c>
      <c r="O47" s="343">
        <f t="shared" si="12"/>
        <v>1.0000000088608465</v>
      </c>
      <c r="P47" s="691">
        <f t="shared" si="13"/>
        <v>1.3312284870975905E-4</v>
      </c>
      <c r="Q47" s="336">
        <f t="shared" si="29"/>
        <v>15.124293813668421</v>
      </c>
      <c r="R47" s="692">
        <f t="shared" si="14"/>
        <v>6.2133400460801546E-5</v>
      </c>
      <c r="S47" s="329">
        <f t="shared" si="15"/>
        <v>0.99999999836270548</v>
      </c>
      <c r="T47" s="330">
        <f t="shared" si="16"/>
        <v>1.8178364104481083E-4</v>
      </c>
      <c r="U47" s="331">
        <f t="shared" si="17"/>
        <v>78.506684076513139</v>
      </c>
      <c r="V47" s="332">
        <f t="shared" si="18"/>
        <v>-89.456072655716312</v>
      </c>
      <c r="W47" s="334">
        <f t="shared" si="19"/>
        <v>90.543927344283688</v>
      </c>
      <c r="Y47" s="307">
        <f t="shared" si="20"/>
        <v>1000000000</v>
      </c>
      <c r="Z47" s="307">
        <f t="shared" si="21"/>
        <v>524.82228100000009</v>
      </c>
      <c r="AB47" s="333">
        <f t="shared" si="22"/>
        <v>68.043399128105477</v>
      </c>
      <c r="AC47" s="334">
        <f t="shared" si="23"/>
        <v>-87.786930561579524</v>
      </c>
      <c r="AE47" s="333">
        <f t="shared" si="24"/>
        <v>68.036187070952067</v>
      </c>
      <c r="AF47" s="334">
        <f t="shared" si="25"/>
        <v>-1.6732094899160772</v>
      </c>
      <c r="AH47">
        <f t="shared" si="26"/>
        <v>0</v>
      </c>
      <c r="AI47">
        <f t="shared" si="30"/>
        <v>0</v>
      </c>
    </row>
    <row r="48" spans="1:35" x14ac:dyDescent="0.2">
      <c r="A48" s="335">
        <v>25.119</v>
      </c>
      <c r="B48" s="352">
        <f t="shared" si="28"/>
        <v>2.5118999999999999E-2</v>
      </c>
      <c r="C48" s="325">
        <f t="shared" si="0"/>
        <v>1.0005074455975225</v>
      </c>
      <c r="D48" s="326">
        <f t="shared" si="1"/>
        <v>3.185062342263871E-2</v>
      </c>
      <c r="E48" s="326">
        <f t="shared" si="2"/>
        <v>1.0000000004981893</v>
      </c>
      <c r="F48" s="327">
        <f t="shared" si="3"/>
        <v>3.1565466299656284E-5</v>
      </c>
      <c r="G48" s="326">
        <f t="shared" si="4"/>
        <v>1</v>
      </c>
      <c r="H48" s="327">
        <f t="shared" si="5"/>
        <v>0</v>
      </c>
      <c r="I48" s="325">
        <f t="shared" si="6"/>
        <v>33.354584531036778</v>
      </c>
      <c r="J48" s="328">
        <f t="shared" si="7"/>
        <v>1.540810947465135</v>
      </c>
      <c r="K48" s="336">
        <f t="shared" si="8"/>
        <v>1.0000208545658678</v>
      </c>
      <c r="L48" s="337">
        <f t="shared" si="9"/>
        <v>6.4582046184146601E-3</v>
      </c>
      <c r="M48" s="325">
        <f t="shared" si="10"/>
        <v>1.0000000119006791</v>
      </c>
      <c r="N48" s="337">
        <f t="shared" si="11"/>
        <v>1.5427688760374814E-4</v>
      </c>
      <c r="O48" s="343">
        <f t="shared" si="12"/>
        <v>1.0000000106528948</v>
      </c>
      <c r="P48" s="691">
        <f t="shared" si="13"/>
        <v>1.45965028274716E-4</v>
      </c>
      <c r="Q48" s="336">
        <f t="shared" si="29"/>
        <v>15.124293819403576</v>
      </c>
      <c r="R48" s="692">
        <f t="shared" si="14"/>
        <v>6.8127324884811159E-5</v>
      </c>
      <c r="S48" s="329">
        <f t="shared" si="15"/>
        <v>0.99999999803157336</v>
      </c>
      <c r="T48" s="330">
        <f t="shared" si="16"/>
        <v>1.9932006137338094E-4</v>
      </c>
      <c r="U48" s="331">
        <f t="shared" si="17"/>
        <v>77.706838736160194</v>
      </c>
      <c r="V48" s="332">
        <f t="shared" si="18"/>
        <v>-89.750834121908312</v>
      </c>
      <c r="W48" s="334">
        <f t="shared" si="19"/>
        <v>90.249165878091688</v>
      </c>
      <c r="Y48" s="307">
        <f t="shared" si="20"/>
        <v>1000000000</v>
      </c>
      <c r="Z48" s="307">
        <f t="shared" si="21"/>
        <v>630.96416099999999</v>
      </c>
      <c r="AB48" s="333">
        <f t="shared" si="22"/>
        <v>67.244294727935426</v>
      </c>
      <c r="AC48" s="334">
        <f t="shared" si="23"/>
        <v>-87.920775964439017</v>
      </c>
      <c r="AE48" s="333">
        <f t="shared" si="24"/>
        <v>68.035446118497319</v>
      </c>
      <c r="AF48" s="334">
        <f t="shared" si="25"/>
        <v>-1.8345179293656158</v>
      </c>
      <c r="AH48">
        <f t="shared" si="26"/>
        <v>0</v>
      </c>
      <c r="AI48">
        <f t="shared" si="30"/>
        <v>0</v>
      </c>
    </row>
    <row r="49" spans="1:35" x14ac:dyDescent="0.2">
      <c r="A49" s="335">
        <v>27.542000000000002</v>
      </c>
      <c r="B49" s="352">
        <f t="shared" si="28"/>
        <v>2.7542000000000001E-2</v>
      </c>
      <c r="C49" s="325">
        <f t="shared" si="0"/>
        <v>1.0006100332046397</v>
      </c>
      <c r="D49" s="326">
        <f t="shared" si="1"/>
        <v>3.4920574133214977E-2</v>
      </c>
      <c r="E49" s="326">
        <f t="shared" si="2"/>
        <v>1.0000000005989362</v>
      </c>
      <c r="F49" s="327">
        <f t="shared" si="3"/>
        <v>3.4610297892700425E-5</v>
      </c>
      <c r="G49" s="326">
        <f t="shared" si="4"/>
        <v>1</v>
      </c>
      <c r="H49" s="327">
        <f t="shared" si="5"/>
        <v>0</v>
      </c>
      <c r="I49" s="325">
        <f t="shared" si="6"/>
        <v>36.569231109751939</v>
      </c>
      <c r="J49" s="328">
        <f t="shared" si="7"/>
        <v>1.5434475245361134</v>
      </c>
      <c r="K49" s="336">
        <f t="shared" si="8"/>
        <v>1.0000250718565216</v>
      </c>
      <c r="L49" s="337">
        <f t="shared" si="9"/>
        <v>7.0811485934118793E-3</v>
      </c>
      <c r="M49" s="325">
        <f t="shared" si="10"/>
        <v>1.0000000143073104</v>
      </c>
      <c r="N49" s="337">
        <f t="shared" si="11"/>
        <v>1.6915856648612985E-4</v>
      </c>
      <c r="O49" s="343">
        <f t="shared" si="12"/>
        <v>1.0000000128071913</v>
      </c>
      <c r="P49" s="691">
        <f t="shared" si="13"/>
        <v>1.6004493821284569E-4</v>
      </c>
      <c r="Q49" s="336">
        <f t="shared" si="29"/>
        <v>15.12429382629805</v>
      </c>
      <c r="R49" s="692">
        <f t="shared" si="14"/>
        <v>7.4698944281844295E-5</v>
      </c>
      <c r="S49" s="329">
        <f t="shared" si="15"/>
        <v>0.99999999763350556</v>
      </c>
      <c r="T49" s="330">
        <f t="shared" si="16"/>
        <v>2.1854664357186709E-4</v>
      </c>
      <c r="U49" s="331">
        <f t="shared" si="17"/>
        <v>76.906778922690961</v>
      </c>
      <c r="V49" s="332">
        <f t="shared" si="18"/>
        <v>-90.043451629206956</v>
      </c>
      <c r="W49" s="334">
        <f t="shared" si="19"/>
        <v>89.956548370793044</v>
      </c>
      <c r="Y49" s="307">
        <f t="shared" si="20"/>
        <v>1000000000</v>
      </c>
      <c r="Z49" s="307">
        <f t="shared" si="21"/>
        <v>758.56176400000004</v>
      </c>
      <c r="AB49" s="333">
        <f t="shared" si="22"/>
        <v>66.445125462420606</v>
      </c>
      <c r="AC49" s="334">
        <f t="shared" si="23"/>
        <v>-88.03700129985144</v>
      </c>
      <c r="AE49" s="333">
        <f t="shared" si="24"/>
        <v>68.034555555790433</v>
      </c>
      <c r="AF49" s="334">
        <f t="shared" si="25"/>
        <v>-2.0113402946116983</v>
      </c>
      <c r="AH49">
        <f t="shared" si="26"/>
        <v>0</v>
      </c>
      <c r="AI49">
        <f t="shared" si="30"/>
        <v>0</v>
      </c>
    </row>
    <row r="50" spans="1:35" x14ac:dyDescent="0.2">
      <c r="A50" s="335">
        <v>30.2</v>
      </c>
      <c r="B50" s="352">
        <f t="shared" si="28"/>
        <v>3.0199999999999998E-2</v>
      </c>
      <c r="C50" s="325">
        <f t="shared" si="0"/>
        <v>1.0007334147326759</v>
      </c>
      <c r="D50" s="326">
        <f t="shared" si="1"/>
        <v>3.8287511420554879E-2</v>
      </c>
      <c r="E50" s="326">
        <f t="shared" si="2"/>
        <v>1.000000000720118</v>
      </c>
      <c r="F50" s="327">
        <f t="shared" si="3"/>
        <v>3.7950439193780811E-5</v>
      </c>
      <c r="G50" s="326">
        <f t="shared" si="4"/>
        <v>1</v>
      </c>
      <c r="H50" s="327">
        <f t="shared" si="5"/>
        <v>0</v>
      </c>
      <c r="I50" s="325">
        <f t="shared" si="6"/>
        <v>40.095900510251816</v>
      </c>
      <c r="J50" s="328">
        <f t="shared" si="7"/>
        <v>1.5458535350062941</v>
      </c>
      <c r="K50" s="336">
        <f t="shared" si="8"/>
        <v>1.0000301445170463</v>
      </c>
      <c r="L50" s="337">
        <f t="shared" si="9"/>
        <v>7.7645038247867188E-3</v>
      </c>
      <c r="M50" s="325">
        <f t="shared" si="10"/>
        <v>1.0000000172020791</v>
      </c>
      <c r="N50" s="337">
        <f t="shared" si="11"/>
        <v>1.8548357773663255E-4</v>
      </c>
      <c r="O50" s="343">
        <f t="shared" si="12"/>
        <v>1.0000000153984439</v>
      </c>
      <c r="P50" s="691">
        <f t="shared" si="13"/>
        <v>1.7549041920261082E-4</v>
      </c>
      <c r="Q50" s="336">
        <f t="shared" si="29"/>
        <v>15.124293834590929</v>
      </c>
      <c r="R50" s="692">
        <f t="shared" si="14"/>
        <v>8.1907926675594604E-5</v>
      </c>
      <c r="S50" s="329">
        <f t="shared" si="15"/>
        <v>0.99999999715469778</v>
      </c>
      <c r="T50" s="330">
        <f t="shared" si="16"/>
        <v>2.3963795837850669E-4</v>
      </c>
      <c r="U50" s="331">
        <f t="shared" si="17"/>
        <v>76.106069169439536</v>
      </c>
      <c r="V50" s="332">
        <f t="shared" si="18"/>
        <v>-90.336544305692257</v>
      </c>
      <c r="W50" s="334">
        <f t="shared" si="19"/>
        <v>89.663455694307743</v>
      </c>
      <c r="Y50" s="307">
        <f t="shared" si="20"/>
        <v>1000000000</v>
      </c>
      <c r="Z50" s="307">
        <f t="shared" si="21"/>
        <v>912.04</v>
      </c>
      <c r="AB50" s="333">
        <f t="shared" si="22"/>
        <v>65.645486645161483</v>
      </c>
      <c r="AC50" s="334">
        <f t="shared" si="23"/>
        <v>-88.136637528950132</v>
      </c>
      <c r="AE50" s="333">
        <f t="shared" si="24"/>
        <v>68.03348460205342</v>
      </c>
      <c r="AF50" s="334">
        <f t="shared" si="25"/>
        <v>-2.2052686586063692</v>
      </c>
      <c r="AH50">
        <f t="shared" si="26"/>
        <v>0</v>
      </c>
      <c r="AI50">
        <f t="shared" si="30"/>
        <v>0</v>
      </c>
    </row>
    <row r="51" spans="1:35" x14ac:dyDescent="0.2">
      <c r="A51" s="335">
        <v>33.113</v>
      </c>
      <c r="B51" s="352">
        <f t="shared" si="28"/>
        <v>3.3112999999999997E-2</v>
      </c>
      <c r="C51" s="325">
        <f t="shared" si="0"/>
        <v>1.0008816589574805</v>
      </c>
      <c r="D51" s="326">
        <f t="shared" si="1"/>
        <v>4.1976461873064599E-2</v>
      </c>
      <c r="E51" s="326">
        <f t="shared" si="2"/>
        <v>1.0000000008657386</v>
      </c>
      <c r="F51" s="327">
        <f t="shared" si="3"/>
        <v>4.1611022943763817E-5</v>
      </c>
      <c r="G51" s="326">
        <f t="shared" si="4"/>
        <v>1</v>
      </c>
      <c r="H51" s="327">
        <f t="shared" si="5"/>
        <v>0</v>
      </c>
      <c r="I51" s="325">
        <f t="shared" si="6"/>
        <v>43.961129025195021</v>
      </c>
      <c r="J51" s="328">
        <f t="shared" si="7"/>
        <v>1.5480469961310721</v>
      </c>
      <c r="K51" s="336">
        <f t="shared" si="8"/>
        <v>1.0000362401660567</v>
      </c>
      <c r="L51" s="337">
        <f t="shared" si="9"/>
        <v>8.5134096145374916E-3</v>
      </c>
      <c r="M51" s="325">
        <f t="shared" si="10"/>
        <v>1.0000000206806465</v>
      </c>
      <c r="N51" s="337">
        <f t="shared" si="11"/>
        <v>2.0337475812416325E-4</v>
      </c>
      <c r="O51" s="343">
        <f t="shared" si="12"/>
        <v>1.0000000185122839</v>
      </c>
      <c r="P51" s="691">
        <f t="shared" si="13"/>
        <v>1.92417690032881E-4</v>
      </c>
      <c r="Q51" s="336">
        <f t="shared" si="29"/>
        <v>15.124293844556265</v>
      </c>
      <c r="R51" s="692">
        <f t="shared" si="14"/>
        <v>8.98085157230184E-5</v>
      </c>
      <c r="S51" s="329">
        <f t="shared" si="15"/>
        <v>0.99999999657932703</v>
      </c>
      <c r="T51" s="330">
        <f t="shared" si="16"/>
        <v>2.6275270648049991E-4</v>
      </c>
      <c r="U51" s="331">
        <f t="shared" si="17"/>
        <v>75.305458199267306</v>
      </c>
      <c r="V51" s="332">
        <f t="shared" si="18"/>
        <v>-90.632295061630941</v>
      </c>
      <c r="W51" s="334">
        <f t="shared" si="19"/>
        <v>89.367704938369059</v>
      </c>
      <c r="Y51" s="307">
        <f t="shared" si="20"/>
        <v>1000000000</v>
      </c>
      <c r="Z51" s="307">
        <f t="shared" si="21"/>
        <v>1096.470769</v>
      </c>
      <c r="AB51" s="333">
        <f t="shared" si="22"/>
        <v>64.846162241409829</v>
      </c>
      <c r="AC51" s="334">
        <f t="shared" si="23"/>
        <v>-88.220429542142767</v>
      </c>
      <c r="AE51" s="333">
        <f t="shared" si="24"/>
        <v>68.032198014309444</v>
      </c>
      <c r="AF51" s="334">
        <f t="shared" si="25"/>
        <v>-2.4177445921221645</v>
      </c>
      <c r="AH51">
        <f t="shared" si="26"/>
        <v>0</v>
      </c>
      <c r="AI51">
        <f t="shared" si="30"/>
        <v>0</v>
      </c>
    </row>
    <row r="52" spans="1:35" x14ac:dyDescent="0.2">
      <c r="A52" s="335">
        <v>36.308</v>
      </c>
      <c r="B52" s="352">
        <f t="shared" si="28"/>
        <v>3.6308E-2</v>
      </c>
      <c r="C52" s="325">
        <f t="shared" si="0"/>
        <v>1.0010599113219305</v>
      </c>
      <c r="D52" s="326">
        <f t="shared" si="1"/>
        <v>4.6021212309254995E-2</v>
      </c>
      <c r="E52" s="326">
        <f t="shared" si="2"/>
        <v>1.0000000010408649</v>
      </c>
      <c r="F52" s="327">
        <f t="shared" si="3"/>
        <v>4.5625978342819678E-5</v>
      </c>
      <c r="G52" s="326">
        <f t="shared" si="4"/>
        <v>1</v>
      </c>
      <c r="H52" s="327">
        <f t="shared" si="5"/>
        <v>0</v>
      </c>
      <c r="I52" s="325">
        <f t="shared" si="6"/>
        <v>48.200742639241604</v>
      </c>
      <c r="J52" s="328">
        <f t="shared" si="7"/>
        <v>1.550048269901541</v>
      </c>
      <c r="K52" s="336">
        <f t="shared" si="8"/>
        <v>1.0000435708650552</v>
      </c>
      <c r="L52" s="337">
        <f t="shared" si="9"/>
        <v>9.3348040254880651E-3</v>
      </c>
      <c r="M52" s="325">
        <f t="shared" si="10"/>
        <v>1.0000000248640406</v>
      </c>
      <c r="N52" s="337">
        <f t="shared" si="11"/>
        <v>2.2299793728681487E-4</v>
      </c>
      <c r="O52" s="343">
        <f t="shared" si="12"/>
        <v>1.0000000222570498</v>
      </c>
      <c r="P52" s="691">
        <f t="shared" si="13"/>
        <v>2.1098364606868806E-4</v>
      </c>
      <c r="Q52" s="336">
        <f t="shared" si="29"/>
        <v>15.124293856540772</v>
      </c>
      <c r="R52" s="692">
        <f t="shared" si="14"/>
        <v>9.8473940361012261E-5</v>
      </c>
      <c r="S52" s="329">
        <f t="shared" si="15"/>
        <v>0.99999999588737487</v>
      </c>
      <c r="T52" s="330">
        <f t="shared" si="16"/>
        <v>2.8810513380547129E-4</v>
      </c>
      <c r="U52" s="331">
        <f t="shared" si="17"/>
        <v>74.50427724921424</v>
      </c>
      <c r="V52" s="332">
        <f t="shared" si="18"/>
        <v>-90.933423912556876</v>
      </c>
      <c r="W52" s="334">
        <f t="shared" si="19"/>
        <v>89.066576087443124</v>
      </c>
      <c r="Y52" s="307">
        <f t="shared" si="20"/>
        <v>1000000000</v>
      </c>
      <c r="Z52" s="307">
        <f t="shared" si="21"/>
        <v>1318.2708640000001</v>
      </c>
      <c r="AB52" s="333">
        <f t="shared" si="22"/>
        <v>64.046528036961078</v>
      </c>
      <c r="AC52" s="334">
        <f t="shared" si="23"/>
        <v>-88.289155975202931</v>
      </c>
      <c r="AE52" s="333">
        <f t="shared" si="24"/>
        <v>68.030651243061214</v>
      </c>
      <c r="AF52" s="334">
        <f t="shared" si="25"/>
        <v>-2.6507142686526133</v>
      </c>
      <c r="AH52">
        <f t="shared" si="26"/>
        <v>0</v>
      </c>
      <c r="AI52">
        <f t="shared" si="30"/>
        <v>0</v>
      </c>
    </row>
    <row r="53" spans="1:35" x14ac:dyDescent="0.2">
      <c r="A53" s="335">
        <v>39.811</v>
      </c>
      <c r="B53" s="352">
        <f t="shared" si="28"/>
        <v>3.9810999999999999E-2</v>
      </c>
      <c r="C53" s="325">
        <f t="shared" si="0"/>
        <v>1.0012741617227643</v>
      </c>
      <c r="D53" s="326">
        <f t="shared" si="1"/>
        <v>5.0454143246771076E-2</v>
      </c>
      <c r="E53" s="326">
        <f t="shared" si="2"/>
        <v>1.0000000012513992</v>
      </c>
      <c r="F53" s="327">
        <f t="shared" si="3"/>
        <v>5.0027977953923348E-5</v>
      </c>
      <c r="G53" s="326">
        <f t="shared" si="4"/>
        <v>1</v>
      </c>
      <c r="H53" s="327">
        <f t="shared" si="5"/>
        <v>0</v>
      </c>
      <c r="I53" s="325">
        <f t="shared" si="6"/>
        <v>52.849242208284267</v>
      </c>
      <c r="J53" s="328">
        <f t="shared" si="7"/>
        <v>1.5518734503275133</v>
      </c>
      <c r="K53" s="336">
        <f t="shared" si="8"/>
        <v>1.0000523836539279</v>
      </c>
      <c r="L53" s="337">
        <f t="shared" si="9"/>
        <v>1.0235366854592729E-2</v>
      </c>
      <c r="M53" s="325">
        <f t="shared" si="10"/>
        <v>1.0000000298932561</v>
      </c>
      <c r="N53" s="337">
        <f t="shared" si="11"/>
        <v>2.4451280300649729E-4</v>
      </c>
      <c r="O53" s="343">
        <f t="shared" si="12"/>
        <v>1.0000000267589531</v>
      </c>
      <c r="P53" s="691">
        <f t="shared" si="13"/>
        <v>2.3133937172059804E-4</v>
      </c>
      <c r="Q53" s="336">
        <f t="shared" si="29"/>
        <v>15.124293870948375</v>
      </c>
      <c r="R53" s="692">
        <f t="shared" si="14"/>
        <v>1.079747173421632E-4</v>
      </c>
      <c r="S53" s="329">
        <f t="shared" si="15"/>
        <v>0.99999999505551995</v>
      </c>
      <c r="T53" s="330">
        <f t="shared" si="16"/>
        <v>3.1590155127149649E-4</v>
      </c>
      <c r="U53" s="331">
        <f t="shared" si="17"/>
        <v>73.702794304744032</v>
      </c>
      <c r="V53" s="332">
        <f t="shared" si="18"/>
        <v>-91.242340002130661</v>
      </c>
      <c r="W53" s="334">
        <f t="shared" si="19"/>
        <v>88.757659997869339</v>
      </c>
      <c r="Y53" s="307">
        <f t="shared" si="20"/>
        <v>1000000000</v>
      </c>
      <c r="Z53" s="307">
        <f t="shared" si="21"/>
        <v>1584.9157210000001</v>
      </c>
      <c r="AB53" s="333">
        <f t="shared" si="22"/>
        <v>63.246903838680488</v>
      </c>
      <c r="AC53" s="334">
        <f t="shared" si="23"/>
        <v>-88.343365372231446</v>
      </c>
      <c r="AE53" s="333">
        <f t="shared" si="24"/>
        <v>68.028792466042873</v>
      </c>
      <c r="AF53" s="334">
        <f t="shared" si="25"/>
        <v>-2.9060429039442641</v>
      </c>
      <c r="AH53">
        <f t="shared" si="26"/>
        <v>0</v>
      </c>
      <c r="AI53">
        <f t="shared" si="30"/>
        <v>0</v>
      </c>
    </row>
    <row r="54" spans="1:35" x14ac:dyDescent="0.2">
      <c r="A54" s="335">
        <v>43.652000000000001</v>
      </c>
      <c r="B54" s="352">
        <f t="shared" si="28"/>
        <v>4.3652000000000003E-2</v>
      </c>
      <c r="C54" s="325">
        <f t="shared" si="0"/>
        <v>1.0015316896995001</v>
      </c>
      <c r="D54" s="326">
        <f t="shared" si="1"/>
        <v>5.5312515587906695E-2</v>
      </c>
      <c r="E54" s="326">
        <f t="shared" si="2"/>
        <v>1.0000000015045201</v>
      </c>
      <c r="F54" s="327">
        <f t="shared" si="3"/>
        <v>5.4854720888099988E-5</v>
      </c>
      <c r="G54" s="326">
        <f t="shared" si="4"/>
        <v>1</v>
      </c>
      <c r="H54" s="327">
        <f t="shared" si="5"/>
        <v>0</v>
      </c>
      <c r="I54" s="325">
        <f t="shared" si="6"/>
        <v>57.9464378924594</v>
      </c>
      <c r="J54" s="328">
        <f t="shared" si="7"/>
        <v>1.5535381539226296</v>
      </c>
      <c r="K54" s="336">
        <f t="shared" si="8"/>
        <v>1.0000629789778437</v>
      </c>
      <c r="L54" s="337">
        <f t="shared" si="9"/>
        <v>1.1222804705438906E-2</v>
      </c>
      <c r="M54" s="325">
        <f t="shared" si="10"/>
        <v>1.000000035939774</v>
      </c>
      <c r="N54" s="337">
        <f t="shared" si="11"/>
        <v>2.6810361040452955E-4</v>
      </c>
      <c r="O54" s="343">
        <f t="shared" si="12"/>
        <v>1.0000000321714946</v>
      </c>
      <c r="P54" s="691">
        <f t="shared" si="13"/>
        <v>2.5365919514477858E-4</v>
      </c>
      <c r="Q54" s="336">
        <f t="shared" si="29"/>
        <v>15.124293888270326</v>
      </c>
      <c r="R54" s="692">
        <f t="shared" si="14"/>
        <v>1.1839221214926505E-4</v>
      </c>
      <c r="S54" s="329">
        <f t="shared" si="15"/>
        <v>0.99999999405539886</v>
      </c>
      <c r="T54" s="330">
        <f t="shared" si="16"/>
        <v>3.4638000995419537E-4</v>
      </c>
      <c r="U54" s="331">
        <f t="shared" si="17"/>
        <v>72.900893008074618</v>
      </c>
      <c r="V54" s="332">
        <f t="shared" si="18"/>
        <v>-91.561648137253883</v>
      </c>
      <c r="W54" s="334">
        <f t="shared" si="19"/>
        <v>88.438351862746117</v>
      </c>
      <c r="Y54" s="307">
        <f t="shared" si="20"/>
        <v>1000000000</v>
      </c>
      <c r="Z54" s="307">
        <f t="shared" si="21"/>
        <v>1905.497104</v>
      </c>
      <c r="AB54" s="333">
        <f t="shared" si="22"/>
        <v>62.447236219906358</v>
      </c>
      <c r="AC54" s="334">
        <f t="shared" si="23"/>
        <v>-88.383521494732008</v>
      </c>
      <c r="AE54" s="333">
        <f t="shared" si="24"/>
        <v>68.026558751082845</v>
      </c>
      <c r="AF54" s="334">
        <f t="shared" si="25"/>
        <v>-3.1858768697638444</v>
      </c>
      <c r="AH54">
        <f t="shared" si="26"/>
        <v>0</v>
      </c>
      <c r="AI54">
        <f t="shared" si="30"/>
        <v>0</v>
      </c>
    </row>
    <row r="55" spans="1:35" x14ac:dyDescent="0.2">
      <c r="A55" s="335">
        <v>47.863</v>
      </c>
      <c r="B55" s="352">
        <f t="shared" si="28"/>
        <v>4.7863000000000003E-2</v>
      </c>
      <c r="C55" s="325">
        <f t="shared" si="0"/>
        <v>1.001841175485473</v>
      </c>
      <c r="D55" s="326">
        <f t="shared" si="1"/>
        <v>6.0635880094688246E-2</v>
      </c>
      <c r="E55" s="326">
        <f t="shared" si="2"/>
        <v>1.0000000018087958</v>
      </c>
      <c r="F55" s="327">
        <f t="shared" si="3"/>
        <v>6.0146419530251606E-5</v>
      </c>
      <c r="G55" s="326">
        <f t="shared" si="4"/>
        <v>1</v>
      </c>
      <c r="H55" s="327">
        <f t="shared" si="5"/>
        <v>0</v>
      </c>
      <c r="I55" s="325">
        <f t="shared" si="6"/>
        <v>63.534795248926585</v>
      </c>
      <c r="J55" s="328">
        <f t="shared" si="7"/>
        <v>1.5550562698884307</v>
      </c>
      <c r="K55" s="336">
        <f t="shared" si="8"/>
        <v>1.0000757154279765</v>
      </c>
      <c r="L55" s="337">
        <f t="shared" si="9"/>
        <v>1.2305336316425957E-2</v>
      </c>
      <c r="M55" s="325">
        <f t="shared" si="10"/>
        <v>1.0000000432082701</v>
      </c>
      <c r="N55" s="337">
        <f t="shared" si="11"/>
        <v>2.9396689825463349E-4</v>
      </c>
      <c r="O55" s="343">
        <f t="shared" si="12"/>
        <v>1.00000003867789</v>
      </c>
      <c r="P55" s="691">
        <f t="shared" si="13"/>
        <v>2.7812906635554503E-4</v>
      </c>
      <c r="Q55" s="336">
        <f t="shared" si="29"/>
        <v>15.124293909092978</v>
      </c>
      <c r="R55" s="692">
        <f t="shared" si="14"/>
        <v>1.2981321462878924E-4</v>
      </c>
      <c r="S55" s="329">
        <f t="shared" si="15"/>
        <v>0.99999999285315722</v>
      </c>
      <c r="T55" s="330">
        <f t="shared" si="16"/>
        <v>3.7979443103216133E-4</v>
      </c>
      <c r="U55" s="331">
        <f t="shared" si="17"/>
        <v>72.098622174924159</v>
      </c>
      <c r="V55" s="332">
        <f t="shared" si="18"/>
        <v>-91.893957127271136</v>
      </c>
      <c r="W55" s="334">
        <f t="shared" si="19"/>
        <v>88.106042872728864</v>
      </c>
      <c r="Y55" s="307">
        <f t="shared" si="20"/>
        <v>1000000000</v>
      </c>
      <c r="Z55" s="307">
        <f t="shared" si="21"/>
        <v>2290.8667689999997</v>
      </c>
      <c r="AB55" s="333">
        <f t="shared" si="22"/>
        <v>61.64764896275075</v>
      </c>
      <c r="AC55" s="334">
        <f t="shared" si="23"/>
        <v>-88.409960497153136</v>
      </c>
      <c r="AE55" s="333">
        <f t="shared" si="24"/>
        <v>68.02387513053263</v>
      </c>
      <c r="AF55" s="334">
        <f t="shared" si="25"/>
        <v>-3.4924945024665202</v>
      </c>
      <c r="AH55">
        <f t="shared" si="26"/>
        <v>0</v>
      </c>
      <c r="AI55">
        <f t="shared" si="30"/>
        <v>0</v>
      </c>
    </row>
    <row r="56" spans="1:35" x14ac:dyDescent="0.2">
      <c r="A56" s="335">
        <v>52.481000000000002</v>
      </c>
      <c r="B56" s="352">
        <f t="shared" si="28"/>
        <v>5.2481E-2</v>
      </c>
      <c r="C56" s="325">
        <f t="shared" si="0"/>
        <v>1.0022131907910625</v>
      </c>
      <c r="D56" s="326">
        <f t="shared" si="1"/>
        <v>6.6469792245848411E-2</v>
      </c>
      <c r="E56" s="326">
        <f t="shared" si="2"/>
        <v>1.0000000021746729</v>
      </c>
      <c r="F56" s="327">
        <f t="shared" si="3"/>
        <v>6.594956945024751E-5</v>
      </c>
      <c r="G56" s="326">
        <f t="shared" si="4"/>
        <v>1</v>
      </c>
      <c r="H56" s="327">
        <f t="shared" si="5"/>
        <v>0</v>
      </c>
      <c r="I56" s="325">
        <f t="shared" si="6"/>
        <v>69.663416460478203</v>
      </c>
      <c r="J56" s="328">
        <f t="shared" si="7"/>
        <v>1.5564410970764431</v>
      </c>
      <c r="K56" s="336">
        <f t="shared" si="8"/>
        <v>1.0000910301853616</v>
      </c>
      <c r="L56" s="337">
        <f t="shared" si="9"/>
        <v>1.3492463117288314E-2</v>
      </c>
      <c r="M56" s="325">
        <f t="shared" si="10"/>
        <v>1.000000051948289</v>
      </c>
      <c r="N56" s="337">
        <f t="shared" si="11"/>
        <v>3.2232991449364433E-4</v>
      </c>
      <c r="O56" s="343">
        <f t="shared" si="12"/>
        <v>1.0000000465015195</v>
      </c>
      <c r="P56" s="691">
        <f t="shared" si="13"/>
        <v>3.0496399003977325E-4</v>
      </c>
      <c r="Q56" s="336">
        <f t="shared" si="29"/>
        <v>15.124293934131222</v>
      </c>
      <c r="R56" s="692">
        <f t="shared" si="14"/>
        <v>1.4233807553904693E-4</v>
      </c>
      <c r="S56" s="329">
        <f t="shared" si="15"/>
        <v>0.99999999140751938</v>
      </c>
      <c r="T56" s="330">
        <f t="shared" si="16"/>
        <v>4.1643841089651125E-4</v>
      </c>
      <c r="U56" s="331">
        <f t="shared" si="17"/>
        <v>71.295667736600009</v>
      </c>
      <c r="V56" s="332">
        <f t="shared" si="18"/>
        <v>-92.242115294088038</v>
      </c>
      <c r="W56" s="334">
        <f t="shared" si="19"/>
        <v>87.757884705911962</v>
      </c>
      <c r="Y56" s="307">
        <f t="shared" si="20"/>
        <v>1000000000</v>
      </c>
      <c r="Z56" s="307">
        <f t="shared" si="21"/>
        <v>2754.255361</v>
      </c>
      <c r="AB56" s="333">
        <f t="shared" si="22"/>
        <v>60.847919201889134</v>
      </c>
      <c r="AC56" s="334">
        <f t="shared" si="23"/>
        <v>-88.42291297608449</v>
      </c>
      <c r="AE56" s="333">
        <f t="shared" si="24"/>
        <v>68.020650399494386</v>
      </c>
      <c r="AF56" s="334">
        <f t="shared" si="25"/>
        <v>-3.8285200965545423</v>
      </c>
      <c r="AH56">
        <f t="shared" si="26"/>
        <v>0</v>
      </c>
      <c r="AI56">
        <f t="shared" si="30"/>
        <v>0</v>
      </c>
    </row>
    <row r="57" spans="1:35" x14ac:dyDescent="0.2">
      <c r="A57" s="335">
        <v>57.544000000000004</v>
      </c>
      <c r="B57" s="352">
        <f t="shared" si="28"/>
        <v>5.7544000000000005E-2</v>
      </c>
      <c r="C57" s="325">
        <f t="shared" si="0"/>
        <v>1.0026602214580609</v>
      </c>
      <c r="D57" s="326">
        <f t="shared" si="1"/>
        <v>7.2860654666196095E-2</v>
      </c>
      <c r="E57" s="326">
        <f t="shared" si="2"/>
        <v>1.0000000026145071</v>
      </c>
      <c r="F57" s="327">
        <f t="shared" si="3"/>
        <v>7.2311922854599996E-5</v>
      </c>
      <c r="G57" s="326">
        <f t="shared" si="4"/>
        <v>1</v>
      </c>
      <c r="H57" s="327">
        <f t="shared" si="5"/>
        <v>0</v>
      </c>
      <c r="I57" s="325">
        <f t="shared" si="6"/>
        <v>76.382731949667487</v>
      </c>
      <c r="J57" s="328">
        <f t="shared" si="7"/>
        <v>1.5577039884709578</v>
      </c>
      <c r="K57" s="336">
        <f t="shared" si="8"/>
        <v>1.0001094403115514</v>
      </c>
      <c r="L57" s="337">
        <f t="shared" si="9"/>
        <v>1.4793940076835448E-2</v>
      </c>
      <c r="M57" s="325">
        <f t="shared" si="10"/>
        <v>1.0000000624549892</v>
      </c>
      <c r="N57" s="337">
        <f t="shared" si="11"/>
        <v>3.5342604885010495E-4</v>
      </c>
      <c r="O57" s="343">
        <f t="shared" si="12"/>
        <v>1.0000000559065938</v>
      </c>
      <c r="P57" s="691">
        <f t="shared" si="13"/>
        <v>3.3438478178419946E-4</v>
      </c>
      <c r="Q57" s="336">
        <f t="shared" si="29"/>
        <v>15.12429396423062</v>
      </c>
      <c r="R57" s="692">
        <f t="shared" si="14"/>
        <v>1.5606985781734556E-4</v>
      </c>
      <c r="S57" s="329">
        <f t="shared" si="15"/>
        <v>0.99999998966966497</v>
      </c>
      <c r="T57" s="330">
        <f t="shared" si="16"/>
        <v>4.5661348103809903E-4</v>
      </c>
      <c r="U57" s="331">
        <f t="shared" si="17"/>
        <v>70.492145838991604</v>
      </c>
      <c r="V57" s="332">
        <f t="shared" si="18"/>
        <v>-92.608894037808909</v>
      </c>
      <c r="W57" s="334">
        <f t="shared" si="19"/>
        <v>87.391105962191091</v>
      </c>
      <c r="Y57" s="307">
        <f t="shared" si="20"/>
        <v>1000000000</v>
      </c>
      <c r="Z57" s="307">
        <f t="shared" si="21"/>
        <v>3311.3119360000005</v>
      </c>
      <c r="AB57" s="333">
        <f t="shared" si="22"/>
        <v>60.048270641674989</v>
      </c>
      <c r="AC57" s="334">
        <f t="shared" si="23"/>
        <v>-88.422483863315307</v>
      </c>
      <c r="AE57" s="333">
        <f t="shared" si="24"/>
        <v>68.016776997694805</v>
      </c>
      <c r="AF57" s="334">
        <f t="shared" si="25"/>
        <v>-4.196626867072764</v>
      </c>
      <c r="AH57">
        <f t="shared" si="26"/>
        <v>0</v>
      </c>
      <c r="AI57">
        <f t="shared" si="30"/>
        <v>0</v>
      </c>
    </row>
    <row r="58" spans="1:35" x14ac:dyDescent="0.2">
      <c r="A58" s="335">
        <v>63.095999999999997</v>
      </c>
      <c r="B58" s="352">
        <f t="shared" si="28"/>
        <v>6.3095999999999999E-2</v>
      </c>
      <c r="C58" s="325">
        <f t="shared" si="0"/>
        <v>1.0031974581171565</v>
      </c>
      <c r="D58" s="326">
        <f t="shared" si="1"/>
        <v>7.9861899762386585E-2</v>
      </c>
      <c r="E58" s="326">
        <f t="shared" si="2"/>
        <v>1.0000000031433547</v>
      </c>
      <c r="F58" s="327">
        <f t="shared" si="3"/>
        <v>7.9288771771604853E-5</v>
      </c>
      <c r="G58" s="326">
        <f t="shared" si="4"/>
        <v>1</v>
      </c>
      <c r="H58" s="327">
        <f t="shared" si="5"/>
        <v>0</v>
      </c>
      <c r="I58" s="325">
        <f t="shared" si="6"/>
        <v>83.751135930091323</v>
      </c>
      <c r="J58" s="328">
        <f t="shared" si="7"/>
        <v>1.5588559065061165</v>
      </c>
      <c r="K58" s="336">
        <f t="shared" si="8"/>
        <v>1.0001315758170022</v>
      </c>
      <c r="L58" s="337">
        <f t="shared" si="9"/>
        <v>1.6221059878568124E-2</v>
      </c>
      <c r="M58" s="325">
        <f t="shared" si="10"/>
        <v>1.0000000750880276</v>
      </c>
      <c r="N58" s="337">
        <f t="shared" si="11"/>
        <v>3.875255420276136E-4</v>
      </c>
      <c r="O58" s="343">
        <f t="shared" si="12"/>
        <v>1.00000006721506</v>
      </c>
      <c r="P58" s="691">
        <f t="shared" si="13"/>
        <v>3.6664712276511757E-4</v>
      </c>
      <c r="Q58" s="336">
        <f t="shared" si="29"/>
        <v>15.124294000421514</v>
      </c>
      <c r="R58" s="692">
        <f t="shared" si="14"/>
        <v>1.7112789749349576E-4</v>
      </c>
      <c r="S58" s="329">
        <f t="shared" si="15"/>
        <v>0.99999998758010533</v>
      </c>
      <c r="T58" s="330">
        <f t="shared" si="16"/>
        <v>5.0066878323173458E-4</v>
      </c>
      <c r="U58" s="331">
        <f t="shared" si="17"/>
        <v>69.687774949399582</v>
      </c>
      <c r="V58" s="332">
        <f t="shared" si="18"/>
        <v>-92.997360395933924</v>
      </c>
      <c r="W58" s="334">
        <f t="shared" si="19"/>
        <v>87.002639604066076</v>
      </c>
      <c r="Y58" s="307">
        <f t="shared" si="20"/>
        <v>1000000000</v>
      </c>
      <c r="Z58" s="307">
        <f t="shared" si="21"/>
        <v>3981.1052159999995</v>
      </c>
      <c r="AB58" s="333">
        <f t="shared" si="22"/>
        <v>59.248552403179076</v>
      </c>
      <c r="AC58" s="334">
        <f t="shared" si="23"/>
        <v>-88.408669720602902</v>
      </c>
      <c r="AE58" s="333">
        <f t="shared" si="24"/>
        <v>68.01212426915906</v>
      </c>
      <c r="AF58" s="334">
        <f t="shared" si="25"/>
        <v>-4.5998931017655673</v>
      </c>
      <c r="AH58">
        <f t="shared" si="26"/>
        <v>0</v>
      </c>
      <c r="AI58">
        <f t="shared" si="30"/>
        <v>0</v>
      </c>
    </row>
    <row r="59" spans="1:35" x14ac:dyDescent="0.2">
      <c r="A59" s="335">
        <v>69.183000000000007</v>
      </c>
      <c r="B59" s="352">
        <f t="shared" si="28"/>
        <v>6.9183000000000008E-2</v>
      </c>
      <c r="C59" s="325">
        <f t="shared" si="0"/>
        <v>1.0038429088031484</v>
      </c>
      <c r="D59" s="326">
        <f t="shared" si="1"/>
        <v>8.7528765581336473E-2</v>
      </c>
      <c r="E59" s="326">
        <f t="shared" si="2"/>
        <v>1.000000003779101</v>
      </c>
      <c r="F59" s="327">
        <f t="shared" si="3"/>
        <v>8.6937921502948558E-5</v>
      </c>
      <c r="G59" s="326">
        <f t="shared" si="4"/>
        <v>1</v>
      </c>
      <c r="H59" s="327">
        <f t="shared" si="5"/>
        <v>0</v>
      </c>
      <c r="I59" s="325">
        <f t="shared" si="6"/>
        <v>91.829677861459601</v>
      </c>
      <c r="J59" s="328">
        <f t="shared" si="7"/>
        <v>1.5599063858880184</v>
      </c>
      <c r="K59" s="336">
        <f t="shared" si="8"/>
        <v>1.0001581850452468</v>
      </c>
      <c r="L59" s="337">
        <f t="shared" si="9"/>
        <v>1.7785623181133952E-2</v>
      </c>
      <c r="M59" s="325">
        <f t="shared" si="10"/>
        <v>1.0000000902746511</v>
      </c>
      <c r="N59" s="337">
        <f t="shared" si="11"/>
        <v>4.2491091832539318E-4</v>
      </c>
      <c r="O59" s="343">
        <f t="shared" si="12"/>
        <v>1.0000000808093685</v>
      </c>
      <c r="P59" s="691">
        <f t="shared" si="13"/>
        <v>4.0201831596888249E-4</v>
      </c>
      <c r="Q59" s="336">
        <f t="shared" si="29"/>
        <v>15.12429404392787</v>
      </c>
      <c r="R59" s="692">
        <f t="shared" si="14"/>
        <v>1.8763695495630691E-4</v>
      </c>
      <c r="S59" s="329">
        <f t="shared" si="15"/>
        <v>0.99999998506817223</v>
      </c>
      <c r="T59" s="330">
        <f t="shared" si="16"/>
        <v>5.4896932943462352E-4</v>
      </c>
      <c r="U59" s="331">
        <f t="shared" si="17"/>
        <v>68.882572288470143</v>
      </c>
      <c r="V59" s="332">
        <f t="shared" si="18"/>
        <v>-93.41057506791141</v>
      </c>
      <c r="W59" s="334">
        <f t="shared" si="19"/>
        <v>86.58942493208859</v>
      </c>
      <c r="Y59" s="307">
        <f t="shared" si="20"/>
        <v>1000000000</v>
      </c>
      <c r="Z59" s="307">
        <f t="shared" si="21"/>
        <v>4786.2874890000012</v>
      </c>
      <c r="AB59" s="333">
        <f t="shared" si="22"/>
        <v>58.448936269410453</v>
      </c>
      <c r="AC59" s="334">
        <f t="shared" si="23"/>
        <v>-88.381356905879485</v>
      </c>
      <c r="AE59" s="333">
        <f t="shared" si="24"/>
        <v>68.006537648905308</v>
      </c>
      <c r="AF59" s="334">
        <f t="shared" si="25"/>
        <v>-5.0415013092382504</v>
      </c>
      <c r="AH59">
        <f t="shared" si="26"/>
        <v>0</v>
      </c>
      <c r="AI59">
        <f t="shared" si="30"/>
        <v>0</v>
      </c>
    </row>
    <row r="60" spans="1:35" x14ac:dyDescent="0.2">
      <c r="A60" s="335">
        <v>75.858000000000004</v>
      </c>
      <c r="B60" s="352">
        <f t="shared" si="28"/>
        <v>7.5858000000000009E-2</v>
      </c>
      <c r="C60" s="325">
        <f t="shared" si="0"/>
        <v>1.0046184476285118</v>
      </c>
      <c r="D60" s="326">
        <f t="shared" si="1"/>
        <v>9.5924369709344204E-2</v>
      </c>
      <c r="E60" s="326">
        <f t="shared" si="2"/>
        <v>1.0000000045435207</v>
      </c>
      <c r="F60" s="327">
        <f t="shared" si="3"/>
        <v>9.5325973808736326E-5</v>
      </c>
      <c r="G60" s="326">
        <f t="shared" si="4"/>
        <v>1</v>
      </c>
      <c r="H60" s="327">
        <f t="shared" si="5"/>
        <v>0</v>
      </c>
      <c r="I60" s="325">
        <f t="shared" si="6"/>
        <v>100.68869826431519</v>
      </c>
      <c r="J60" s="328">
        <f t="shared" si="7"/>
        <v>1.560864562282904</v>
      </c>
      <c r="K60" s="336">
        <f t="shared" si="8"/>
        <v>1.0001901789616618</v>
      </c>
      <c r="L60" s="337">
        <f t="shared" si="9"/>
        <v>1.9501221834602844E-2</v>
      </c>
      <c r="M60" s="325">
        <f t="shared" si="10"/>
        <v>1.0000001085349999</v>
      </c>
      <c r="N60" s="337">
        <f t="shared" si="11"/>
        <v>4.6590769480852912E-4</v>
      </c>
      <c r="O60" s="343">
        <f t="shared" si="12"/>
        <v>1.0000000971551228</v>
      </c>
      <c r="P60" s="691">
        <f t="shared" si="13"/>
        <v>4.4080634087050432E-4</v>
      </c>
      <c r="Q60" s="336">
        <f t="shared" si="29"/>
        <v>15.12429409623978</v>
      </c>
      <c r="R60" s="692">
        <f t="shared" si="14"/>
        <v>2.0574077586601344E-4</v>
      </c>
      <c r="S60" s="329">
        <f t="shared" si="15"/>
        <v>0.99999998204783269</v>
      </c>
      <c r="T60" s="330">
        <f t="shared" si="16"/>
        <v>6.0193567698892342E-4</v>
      </c>
      <c r="U60" s="331">
        <f t="shared" si="17"/>
        <v>68.076188948130337</v>
      </c>
      <c r="V60" s="332">
        <f t="shared" si="18"/>
        <v>-93.851928625537525</v>
      </c>
      <c r="W60" s="334">
        <f t="shared" si="19"/>
        <v>86.148071374462475</v>
      </c>
      <c r="Y60" s="307">
        <f t="shared" si="20"/>
        <v>1000000000</v>
      </c>
      <c r="Z60" s="307">
        <f t="shared" si="21"/>
        <v>5754.4361640000006</v>
      </c>
      <c r="AB60" s="333">
        <f t="shared" si="22"/>
        <v>57.649260650420693</v>
      </c>
      <c r="AC60" s="334">
        <f t="shared" si="23"/>
        <v>-88.340308749372625</v>
      </c>
      <c r="AE60" s="333">
        <f t="shared" si="24"/>
        <v>67.999829815620615</v>
      </c>
      <c r="AF60" s="334">
        <f t="shared" si="25"/>
        <v>-5.525088140963911</v>
      </c>
      <c r="AH60">
        <f t="shared" si="26"/>
        <v>0</v>
      </c>
      <c r="AI60">
        <f t="shared" si="30"/>
        <v>0</v>
      </c>
    </row>
    <row r="61" spans="1:35" x14ac:dyDescent="0.2">
      <c r="A61" s="335">
        <v>83.176000000000002</v>
      </c>
      <c r="B61" s="352">
        <f t="shared" si="28"/>
        <v>8.3176E-2</v>
      </c>
      <c r="C61" s="325">
        <f t="shared" si="0"/>
        <v>1.0055499306000408</v>
      </c>
      <c r="D61" s="326">
        <f t="shared" si="1"/>
        <v>0.10511311497789055</v>
      </c>
      <c r="E61" s="326">
        <f t="shared" si="2"/>
        <v>1.0000000054624287</v>
      </c>
      <c r="F61" s="327">
        <f t="shared" si="3"/>
        <v>1.0452204372193052E-4</v>
      </c>
      <c r="G61" s="326">
        <f t="shared" si="4"/>
        <v>1</v>
      </c>
      <c r="H61" s="327">
        <f t="shared" si="5"/>
        <v>0</v>
      </c>
      <c r="I61" s="325">
        <f t="shared" si="6"/>
        <v>110.40119281199938</v>
      </c>
      <c r="J61" s="328">
        <f t="shared" si="7"/>
        <v>1.5617383297822607</v>
      </c>
      <c r="K61" s="336">
        <f t="shared" si="8"/>
        <v>1.0002286374706026</v>
      </c>
      <c r="L61" s="337">
        <f t="shared" si="9"/>
        <v>2.1381951104740105E-2</v>
      </c>
      <c r="M61" s="325">
        <f t="shared" si="10"/>
        <v>1.0000001304857513</v>
      </c>
      <c r="N61" s="337">
        <f t="shared" si="11"/>
        <v>5.1085367207544317E-4</v>
      </c>
      <c r="O61" s="343">
        <f t="shared" si="12"/>
        <v>1.0000001168043418</v>
      </c>
      <c r="P61" s="691">
        <f t="shared" si="13"/>
        <v>4.8333079870230088E-4</v>
      </c>
      <c r="Q61" s="336">
        <f t="shared" si="29"/>
        <v>15.124294159123885</v>
      </c>
      <c r="R61" s="692">
        <f t="shared" si="14"/>
        <v>2.2558853023671525E-4</v>
      </c>
      <c r="S61" s="329">
        <f t="shared" si="15"/>
        <v>0.99999997841708621</v>
      </c>
      <c r="T61" s="330">
        <f t="shared" si="16"/>
        <v>6.6000425350631539E-4</v>
      </c>
      <c r="U61" s="331">
        <f t="shared" si="17"/>
        <v>67.268612286198177</v>
      </c>
      <c r="V61" s="332">
        <f t="shared" si="18"/>
        <v>-94.324786413154143</v>
      </c>
      <c r="W61" s="334">
        <f t="shared" si="19"/>
        <v>85.675213586845857</v>
      </c>
      <c r="Y61" s="307">
        <f t="shared" si="20"/>
        <v>1000000000</v>
      </c>
      <c r="Z61" s="307">
        <f t="shared" si="21"/>
        <v>6918.2469760000004</v>
      </c>
      <c r="AB61" s="333">
        <f t="shared" si="22"/>
        <v>56.849733646415494</v>
      </c>
      <c r="AC61" s="334">
        <f t="shared" si="23"/>
        <v>-88.285189304516365</v>
      </c>
      <c r="AE61" s="333">
        <f t="shared" si="24"/>
        <v>67.991780023137096</v>
      </c>
      <c r="AF61" s="334">
        <f t="shared" si="25"/>
        <v>-6.0543646528398547</v>
      </c>
      <c r="AH61">
        <f t="shared" si="26"/>
        <v>0</v>
      </c>
      <c r="AI61">
        <f t="shared" si="30"/>
        <v>0</v>
      </c>
    </row>
    <row r="62" spans="1:35" x14ac:dyDescent="0.2">
      <c r="A62" s="335">
        <v>91.201000000000008</v>
      </c>
      <c r="B62" s="352">
        <f t="shared" si="28"/>
        <v>9.1201000000000004E-2</v>
      </c>
      <c r="C62" s="325">
        <f t="shared" si="0"/>
        <v>1.0066688119174074</v>
      </c>
      <c r="D62" s="326">
        <f t="shared" si="1"/>
        <v>0.11516909938235115</v>
      </c>
      <c r="E62" s="326">
        <f t="shared" si="2"/>
        <v>1.0000000065673313</v>
      </c>
      <c r="F62" s="327">
        <f t="shared" si="3"/>
        <v>1.146065560072872E-4</v>
      </c>
      <c r="G62" s="326">
        <f t="shared" si="4"/>
        <v>1</v>
      </c>
      <c r="H62" s="327">
        <f t="shared" si="5"/>
        <v>0</v>
      </c>
      <c r="I62" s="325">
        <f t="shared" si="6"/>
        <v>121.05210269832837</v>
      </c>
      <c r="J62" s="328">
        <f t="shared" si="7"/>
        <v>1.5625353271772213</v>
      </c>
      <c r="K62" s="336">
        <f t="shared" si="8"/>
        <v>1.0002748783313524</v>
      </c>
      <c r="L62" s="337">
        <f t="shared" si="9"/>
        <v>2.3444205298421665E-2</v>
      </c>
      <c r="M62" s="325">
        <f t="shared" si="10"/>
        <v>1.0000001568795098</v>
      </c>
      <c r="N62" s="337">
        <f t="shared" si="11"/>
        <v>5.6014192708420726E-4</v>
      </c>
      <c r="O62" s="343">
        <f t="shared" si="12"/>
        <v>1.0000001404307193</v>
      </c>
      <c r="P62" s="691">
        <f t="shared" si="13"/>
        <v>5.299635889937502E-4</v>
      </c>
      <c r="Q62" s="336">
        <f t="shared" si="29"/>
        <v>15.124294234736237</v>
      </c>
      <c r="R62" s="692">
        <f t="shared" si="14"/>
        <v>2.4735379771278441E-4</v>
      </c>
      <c r="S62" s="329">
        <f t="shared" si="15"/>
        <v>0.99999997405144969</v>
      </c>
      <c r="T62" s="330">
        <f t="shared" si="16"/>
        <v>7.2368290216839849E-4</v>
      </c>
      <c r="U62" s="331">
        <f t="shared" si="17"/>
        <v>66.459382902038172</v>
      </c>
      <c r="V62" s="332">
        <f t="shared" si="18"/>
        <v>-94.832927927101139</v>
      </c>
      <c r="W62" s="334">
        <f t="shared" si="19"/>
        <v>85.167072072898861</v>
      </c>
      <c r="Y62" s="307">
        <f t="shared" si="20"/>
        <v>1000000000</v>
      </c>
      <c r="Z62" s="307">
        <f t="shared" si="21"/>
        <v>8317.6224010000005</v>
      </c>
      <c r="AB62" s="333">
        <f t="shared" si="22"/>
        <v>56.050163520317128</v>
      </c>
      <c r="AC62" s="334">
        <f t="shared" si="23"/>
        <v>-88.215519438861392</v>
      </c>
      <c r="AE62" s="333">
        <f t="shared" si="24"/>
        <v>67.98212060328359</v>
      </c>
      <c r="AF62" s="334">
        <f t="shared" si="25"/>
        <v>-6.633600836547731</v>
      </c>
      <c r="AH62">
        <f t="shared" si="26"/>
        <v>0</v>
      </c>
      <c r="AI62">
        <f t="shared" si="30"/>
        <v>0</v>
      </c>
    </row>
    <row r="63" spans="1:35" x14ac:dyDescent="0.2">
      <c r="A63" s="335">
        <v>100</v>
      </c>
      <c r="B63" s="352">
        <f t="shared" si="28"/>
        <v>0.1</v>
      </c>
      <c r="C63" s="325">
        <f t="shared" si="0"/>
        <v>1.0080123256996181</v>
      </c>
      <c r="D63" s="326">
        <f t="shared" si="1"/>
        <v>0.12616807153995147</v>
      </c>
      <c r="E63" s="326">
        <f t="shared" si="2"/>
        <v>1.0000000078956834</v>
      </c>
      <c r="F63" s="327">
        <f t="shared" si="3"/>
        <v>1.2566370533853279E-4</v>
      </c>
      <c r="G63" s="326">
        <f t="shared" si="4"/>
        <v>1</v>
      </c>
      <c r="H63" s="327">
        <f t="shared" si="5"/>
        <v>0</v>
      </c>
      <c r="I63" s="325">
        <f t="shared" si="6"/>
        <v>132.73035141961444</v>
      </c>
      <c r="J63" s="328">
        <f t="shared" si="7"/>
        <v>1.563262183700125</v>
      </c>
      <c r="K63" s="336">
        <f t="shared" si="8"/>
        <v>1.000330467865916</v>
      </c>
      <c r="L63" s="337">
        <f t="shared" si="9"/>
        <v>2.5705131163408126E-2</v>
      </c>
      <c r="M63" s="325">
        <f t="shared" si="10"/>
        <v>1.0000001886109993</v>
      </c>
      <c r="N63" s="337">
        <f t="shared" si="11"/>
        <v>6.1418396205609985E-4</v>
      </c>
      <c r="O63" s="343">
        <f t="shared" si="12"/>
        <v>1.0000001688351676</v>
      </c>
      <c r="P63" s="691">
        <f t="shared" si="13"/>
        <v>5.8109404387912688E-4</v>
      </c>
      <c r="Q63" s="336">
        <f t="shared" si="29"/>
        <v>15.124294325640024</v>
      </c>
      <c r="R63" s="692">
        <f t="shared" si="14"/>
        <v>2.7121829446635835E-4</v>
      </c>
      <c r="S63" s="329">
        <f t="shared" si="15"/>
        <v>0.9999999688029334</v>
      </c>
      <c r="T63" s="330">
        <f t="shared" si="16"/>
        <v>7.93503271612529E-4</v>
      </c>
      <c r="U63" s="331">
        <f t="shared" si="17"/>
        <v>65.648322867330705</v>
      </c>
      <c r="V63" s="332">
        <f t="shared" si="18"/>
        <v>-95.380127953254984</v>
      </c>
      <c r="W63" s="334">
        <f t="shared" si="19"/>
        <v>84.619872046745016</v>
      </c>
      <c r="Y63" s="307">
        <f t="shared" si="20"/>
        <v>1000000000</v>
      </c>
      <c r="Z63" s="307">
        <f t="shared" si="21"/>
        <v>10000</v>
      </c>
      <c r="AB63" s="333">
        <f t="shared" si="22"/>
        <v>55.250687810758265</v>
      </c>
      <c r="AC63" s="334">
        <f t="shared" si="23"/>
        <v>-88.130720120502929</v>
      </c>
      <c r="AE63" s="333">
        <f t="shared" si="24"/>
        <v>67.970536083623216</v>
      </c>
      <c r="AF63" s="334">
        <f t="shared" si="25"/>
        <v>-7.2671624053871469</v>
      </c>
      <c r="AH63">
        <f t="shared" si="26"/>
        <v>0</v>
      </c>
      <c r="AI63">
        <f t="shared" si="30"/>
        <v>0</v>
      </c>
    </row>
    <row r="64" spans="1:35" x14ac:dyDescent="0.2">
      <c r="A64" s="335">
        <v>109.65</v>
      </c>
      <c r="B64" s="352">
        <f t="shared" si="28"/>
        <v>0.10965000000000001</v>
      </c>
      <c r="C64" s="325">
        <f t="shared" si="0"/>
        <v>1.0096255840435968</v>
      </c>
      <c r="D64" s="326">
        <f t="shared" si="1"/>
        <v>0.13819553591376435</v>
      </c>
      <c r="E64" s="326">
        <f t="shared" si="2"/>
        <v>1.000000009493077</v>
      </c>
      <c r="F64" s="327">
        <f t="shared" si="3"/>
        <v>1.3779025275696436E-4</v>
      </c>
      <c r="G64" s="326">
        <f t="shared" si="4"/>
        <v>1</v>
      </c>
      <c r="H64" s="327">
        <f t="shared" si="5"/>
        <v>0</v>
      </c>
      <c r="I64" s="325">
        <f t="shared" si="6"/>
        <v>145.53813528433827</v>
      </c>
      <c r="J64" s="328">
        <f t="shared" si="7"/>
        <v>1.5639252213848183</v>
      </c>
      <c r="K64" s="336">
        <f t="shared" si="8"/>
        <v>1.000397312286561</v>
      </c>
      <c r="L64" s="337">
        <f t="shared" si="9"/>
        <v>2.8184420646924165E-2</v>
      </c>
      <c r="M64" s="325">
        <f t="shared" si="10"/>
        <v>1.0000002267693107</v>
      </c>
      <c r="N64" s="337">
        <f t="shared" si="11"/>
        <v>6.7345269726263755E-4</v>
      </c>
      <c r="O64" s="343">
        <f t="shared" si="12"/>
        <v>1.000000202992587</v>
      </c>
      <c r="P64" s="691">
        <f t="shared" si="13"/>
        <v>6.3716960460408483E-4</v>
      </c>
      <c r="Q64" s="336">
        <f t="shared" si="29"/>
        <v>15.124294434955257</v>
      </c>
      <c r="R64" s="692">
        <f t="shared" si="14"/>
        <v>2.9739085847050955E-4</v>
      </c>
      <c r="S64" s="329">
        <f t="shared" si="15"/>
        <v>0.99999996249139922</v>
      </c>
      <c r="T64" s="330">
        <f t="shared" si="16"/>
        <v>8.7007636128716447E-4</v>
      </c>
      <c r="U64" s="331">
        <f t="shared" si="17"/>
        <v>64.83488190060298</v>
      </c>
      <c r="V64" s="332">
        <f t="shared" si="18"/>
        <v>-95.970562385940511</v>
      </c>
      <c r="W64" s="334">
        <f t="shared" si="19"/>
        <v>84.029437614059489</v>
      </c>
      <c r="Y64" s="307">
        <f t="shared" si="20"/>
        <v>1000000000</v>
      </c>
      <c r="Z64" s="307">
        <f t="shared" si="21"/>
        <v>12023.122500000001</v>
      </c>
      <c r="AB64" s="333">
        <f t="shared" si="22"/>
        <v>54.451136632262191</v>
      </c>
      <c r="AC64" s="334">
        <f t="shared" si="23"/>
        <v>-88.030052406166718</v>
      </c>
      <c r="AE64" s="333">
        <f t="shared" si="24"/>
        <v>67.956646061483838</v>
      </c>
      <c r="AF64" s="334">
        <f t="shared" si="25"/>
        <v>-7.9599778679177318</v>
      </c>
      <c r="AH64">
        <f t="shared" si="26"/>
        <v>0</v>
      </c>
      <c r="AI64">
        <f t="shared" si="30"/>
        <v>0</v>
      </c>
    </row>
    <row r="65" spans="1:35" x14ac:dyDescent="0.2">
      <c r="A65" s="335">
        <v>120.23</v>
      </c>
      <c r="B65" s="352">
        <f t="shared" si="28"/>
        <v>0.12023</v>
      </c>
      <c r="C65" s="325">
        <f t="shared" si="0"/>
        <v>1.0115615837767695</v>
      </c>
      <c r="D65" s="326">
        <f t="shared" si="1"/>
        <v>0.15133591746482539</v>
      </c>
      <c r="E65" s="326">
        <f t="shared" si="2"/>
        <v>1.0000000114134102</v>
      </c>
      <c r="F65" s="327">
        <f t="shared" si="3"/>
        <v>1.5108547257419971E-4</v>
      </c>
      <c r="G65" s="326">
        <f t="shared" si="4"/>
        <v>1</v>
      </c>
      <c r="H65" s="327">
        <f t="shared" si="5"/>
        <v>0</v>
      </c>
      <c r="I65" s="325">
        <f t="shared" si="6"/>
        <v>159.58030558973121</v>
      </c>
      <c r="J65" s="328">
        <f t="shared" si="7"/>
        <v>1.5645298483524193</v>
      </c>
      <c r="K65" s="336">
        <f t="shared" si="8"/>
        <v>1.0004776645082161</v>
      </c>
      <c r="L65" s="337">
        <f t="shared" si="9"/>
        <v>3.0902247475953826E-2</v>
      </c>
      <c r="M65" s="325">
        <f t="shared" si="10"/>
        <v>1.0000002726419579</v>
      </c>
      <c r="N65" s="337">
        <f t="shared" si="11"/>
        <v>7.3843333621254731E-4</v>
      </c>
      <c r="O65" s="343">
        <f t="shared" si="12"/>
        <v>1.0000002440554956</v>
      </c>
      <c r="P65" s="691">
        <f t="shared" si="13"/>
        <v>6.9864933392079062E-4</v>
      </c>
      <c r="Q65" s="336">
        <f t="shared" si="29"/>
        <v>15.124294566370382</v>
      </c>
      <c r="R65" s="692">
        <f t="shared" si="14"/>
        <v>3.260857520277717E-4</v>
      </c>
      <c r="S65" s="329">
        <f t="shared" si="15"/>
        <v>0.99999995490388949</v>
      </c>
      <c r="T65" s="330">
        <f t="shared" si="16"/>
        <v>9.5402904132450524E-4</v>
      </c>
      <c r="U65" s="331">
        <f t="shared" si="17"/>
        <v>64.018890155313144</v>
      </c>
      <c r="V65" s="332">
        <f t="shared" si="18"/>
        <v>-96.608266415311647</v>
      </c>
      <c r="W65" s="334">
        <f t="shared" si="19"/>
        <v>83.391733584688353</v>
      </c>
      <c r="Y65" s="307">
        <f t="shared" si="20"/>
        <v>1000000000</v>
      </c>
      <c r="Z65" s="307">
        <f t="shared" si="21"/>
        <v>14455.252900000001</v>
      </c>
      <c r="AB65" s="333">
        <f t="shared" si="22"/>
        <v>53.651784135230294</v>
      </c>
      <c r="AC65" s="334">
        <f t="shared" si="23"/>
        <v>-87.912698089067021</v>
      </c>
      <c r="AE65" s="333">
        <f t="shared" si="24"/>
        <v>67.940006532029855</v>
      </c>
      <c r="AF65" s="334">
        <f t="shared" si="25"/>
        <v>-8.71691464711175</v>
      </c>
      <c r="AH65">
        <f t="shared" si="26"/>
        <v>0</v>
      </c>
      <c r="AI65">
        <f t="shared" si="30"/>
        <v>0</v>
      </c>
    </row>
    <row r="66" spans="1:35" x14ac:dyDescent="0.2">
      <c r="A66" s="335">
        <v>131.83000000000001</v>
      </c>
      <c r="B66" s="352">
        <f t="shared" si="28"/>
        <v>0.13183</v>
      </c>
      <c r="C66" s="325">
        <f t="shared" si="0"/>
        <v>1.0138841402384451</v>
      </c>
      <c r="D66" s="326">
        <f t="shared" si="1"/>
        <v>0.16568270659654355</v>
      </c>
      <c r="E66" s="326">
        <f t="shared" si="2"/>
        <v>1.000000013722026</v>
      </c>
      <c r="F66" s="327">
        <f t="shared" si="3"/>
        <v>1.6566246210431698E-4</v>
      </c>
      <c r="G66" s="326">
        <f t="shared" si="4"/>
        <v>1</v>
      </c>
      <c r="H66" s="327">
        <f t="shared" si="5"/>
        <v>0</v>
      </c>
      <c r="I66" s="325">
        <f t="shared" si="6"/>
        <v>174.97631367552395</v>
      </c>
      <c r="J66" s="328">
        <f t="shared" si="7"/>
        <v>1.5650812364336675</v>
      </c>
      <c r="K66" s="336">
        <f t="shared" si="8"/>
        <v>1.0005742550384</v>
      </c>
      <c r="L66" s="337">
        <f t="shared" si="9"/>
        <v>3.388156919691316E-2</v>
      </c>
      <c r="M66" s="325">
        <f t="shared" si="10"/>
        <v>1.0000003277898413</v>
      </c>
      <c r="N66" s="337">
        <f t="shared" si="11"/>
        <v>8.0967864205181014E-4</v>
      </c>
      <c r="O66" s="343">
        <f t="shared" si="12"/>
        <v>1.0000002934211336</v>
      </c>
      <c r="P66" s="691">
        <f t="shared" si="13"/>
        <v>7.660562144192922E-4</v>
      </c>
      <c r="Q66" s="336">
        <f t="shared" si="29"/>
        <v>15.124294724357039</v>
      </c>
      <c r="R66" s="692">
        <f t="shared" si="14"/>
        <v>3.5754707140374094E-4</v>
      </c>
      <c r="S66" s="329">
        <f t="shared" si="15"/>
        <v>0.99999994578222962</v>
      </c>
      <c r="T66" s="330">
        <f t="shared" si="16"/>
        <v>1.0460754680539116E-3</v>
      </c>
      <c r="U66" s="331">
        <f t="shared" si="17"/>
        <v>63.199809201820578</v>
      </c>
      <c r="V66" s="332">
        <f t="shared" si="18"/>
        <v>-97.297627730600595</v>
      </c>
      <c r="W66" s="334">
        <f t="shared" si="19"/>
        <v>82.702372269399405</v>
      </c>
      <c r="Y66" s="307">
        <f t="shared" si="20"/>
        <v>1000000000</v>
      </c>
      <c r="Z66" s="307">
        <f t="shared" si="21"/>
        <v>17379.148900000004</v>
      </c>
      <c r="AB66" s="333">
        <f t="shared" si="22"/>
        <v>52.852622782454034</v>
      </c>
      <c r="AC66" s="334">
        <f t="shared" si="23"/>
        <v>-87.777669793754143</v>
      </c>
      <c r="AE66" s="333">
        <f t="shared" si="24"/>
        <v>67.92008659326099</v>
      </c>
      <c r="AF66" s="334">
        <f t="shared" si="25"/>
        <v>-9.543363786660489</v>
      </c>
      <c r="AH66">
        <f t="shared" si="26"/>
        <v>0</v>
      </c>
      <c r="AI66">
        <f t="shared" si="30"/>
        <v>0</v>
      </c>
    </row>
    <row r="67" spans="1:35" x14ac:dyDescent="0.2">
      <c r="A67" s="335">
        <v>144.54</v>
      </c>
      <c r="B67" s="352">
        <f t="shared" si="28"/>
        <v>0.14454</v>
      </c>
      <c r="C67" s="325">
        <f t="shared" si="0"/>
        <v>1.0166673594250959</v>
      </c>
      <c r="D67" s="326">
        <f t="shared" si="1"/>
        <v>0.18132349109801194</v>
      </c>
      <c r="E67" s="326">
        <f t="shared" si="2"/>
        <v>1.000000016495513</v>
      </c>
      <c r="F67" s="327">
        <f t="shared" si="3"/>
        <v>1.8163431865496582E-4</v>
      </c>
      <c r="G67" s="326">
        <f t="shared" si="4"/>
        <v>1</v>
      </c>
      <c r="H67" s="327">
        <f t="shared" si="5"/>
        <v>0</v>
      </c>
      <c r="I67" s="325">
        <f t="shared" si="6"/>
        <v>191.84561127102648</v>
      </c>
      <c r="J67" s="328">
        <f t="shared" si="7"/>
        <v>1.5655837784241913</v>
      </c>
      <c r="K67" s="336">
        <f t="shared" si="8"/>
        <v>1.0006902830728004</v>
      </c>
      <c r="L67" s="337">
        <f t="shared" si="9"/>
        <v>3.7145288555977658E-2</v>
      </c>
      <c r="M67" s="325">
        <f t="shared" si="10"/>
        <v>1.0000003940425057</v>
      </c>
      <c r="N67" s="337">
        <f t="shared" si="11"/>
        <v>8.8774137717587207E-4</v>
      </c>
      <c r="O67" s="343">
        <f t="shared" si="12"/>
        <v>1.000000352727219</v>
      </c>
      <c r="P67" s="691">
        <f t="shared" si="13"/>
        <v>8.3991322805399232E-4</v>
      </c>
      <c r="Q67" s="336">
        <f t="shared" si="29"/>
        <v>15.124294914156485</v>
      </c>
      <c r="R67" s="692">
        <f t="shared" si="14"/>
        <v>3.9201891280216095E-4</v>
      </c>
      <c r="S67" s="329">
        <f t="shared" si="15"/>
        <v>0.99999993482381144</v>
      </c>
      <c r="T67" s="330">
        <f t="shared" si="16"/>
        <v>1.1469297988545904E-3</v>
      </c>
      <c r="U67" s="331">
        <f t="shared" si="17"/>
        <v>62.377553186850633</v>
      </c>
      <c r="V67" s="332">
        <f t="shared" si="18"/>
        <v>-98.04265433059976</v>
      </c>
      <c r="W67" s="334">
        <f t="shared" si="19"/>
        <v>81.95734566940024</v>
      </c>
      <c r="Y67" s="307">
        <f t="shared" si="20"/>
        <v>1000000000</v>
      </c>
      <c r="Z67" s="307">
        <f t="shared" si="21"/>
        <v>20891.811599999997</v>
      </c>
      <c r="AB67" s="333">
        <f t="shared" si="22"/>
        <v>52.054177260754969</v>
      </c>
      <c r="AC67" s="334">
        <f t="shared" si="23"/>
        <v>-87.623938649133919</v>
      </c>
      <c r="AE67" s="333">
        <f t="shared" si="24"/>
        <v>67.896275693866073</v>
      </c>
      <c r="AF67" s="334">
        <f t="shared" si="25"/>
        <v>-10.44437813542697</v>
      </c>
      <c r="AH67">
        <f t="shared" si="26"/>
        <v>0</v>
      </c>
      <c r="AI67">
        <f t="shared" si="30"/>
        <v>0</v>
      </c>
    </row>
    <row r="68" spans="1:35" x14ac:dyDescent="0.2">
      <c r="A68" s="335">
        <v>158.49</v>
      </c>
      <c r="B68" s="352">
        <f t="shared" si="28"/>
        <v>0.15849000000000002</v>
      </c>
      <c r="C68" s="325">
        <f t="shared" si="0"/>
        <v>1.0200067196238625</v>
      </c>
      <c r="D68" s="326">
        <f t="shared" si="1"/>
        <v>0.19838729513206188</v>
      </c>
      <c r="E68" s="326">
        <f t="shared" si="2"/>
        <v>1.0000000198332304</v>
      </c>
      <c r="F68" s="327">
        <f t="shared" si="3"/>
        <v>1.9916440500601767E-4</v>
      </c>
      <c r="G68" s="326">
        <f t="shared" si="4"/>
        <v>1</v>
      </c>
      <c r="H68" s="327">
        <f t="shared" si="5"/>
        <v>0</v>
      </c>
      <c r="I68" s="325">
        <f t="shared" si="6"/>
        <v>210.36074038780555</v>
      </c>
      <c r="J68" s="328">
        <f t="shared" si="7"/>
        <v>1.566042570155072</v>
      </c>
      <c r="K68" s="336">
        <f t="shared" si="8"/>
        <v>1.0008298976758598</v>
      </c>
      <c r="L68" s="337">
        <f t="shared" si="9"/>
        <v>4.0726505870905774E-2</v>
      </c>
      <c r="M68" s="325">
        <f t="shared" si="10"/>
        <v>1.0000004737734123</v>
      </c>
      <c r="N68" s="337">
        <f t="shared" si="11"/>
        <v>9.7341997640754726E-4</v>
      </c>
      <c r="O68" s="343">
        <f t="shared" si="12"/>
        <v>1.0000004240983558</v>
      </c>
      <c r="P68" s="691">
        <f t="shared" si="13"/>
        <v>9.2097579341657071E-4</v>
      </c>
      <c r="Q68" s="336">
        <f t="shared" si="29"/>
        <v>15.124295142568171</v>
      </c>
      <c r="R68" s="692">
        <f t="shared" si="14"/>
        <v>4.2985385964917504E-4</v>
      </c>
      <c r="S68" s="329">
        <f t="shared" si="15"/>
        <v>0.99999992163606422</v>
      </c>
      <c r="T68" s="330">
        <f t="shared" si="16"/>
        <v>1.2576235940334412E-3</v>
      </c>
      <c r="U68" s="331">
        <f t="shared" si="17"/>
        <v>61.550025394787838</v>
      </c>
      <c r="V68" s="332">
        <f t="shared" si="18"/>
        <v>-98.849206626651977</v>
      </c>
      <c r="W68" s="334">
        <f t="shared" si="19"/>
        <v>81.150793373348023</v>
      </c>
      <c r="Y68" s="307">
        <f t="shared" si="20"/>
        <v>1000000000</v>
      </c>
      <c r="Z68" s="307">
        <f t="shared" si="21"/>
        <v>25119.080100000003</v>
      </c>
      <c r="AB68" s="333">
        <f t="shared" si="22"/>
        <v>51.255131881819977</v>
      </c>
      <c r="AC68" s="334">
        <f t="shared" si="23"/>
        <v>-87.44994586325609</v>
      </c>
      <c r="AE68" s="333">
        <f t="shared" si="24"/>
        <v>67.867792791993622</v>
      </c>
      <c r="AF68" s="334">
        <f t="shared" si="25"/>
        <v>-11.427399977459226</v>
      </c>
      <c r="AH68">
        <f t="shared" si="26"/>
        <v>0</v>
      </c>
      <c r="AI68">
        <f t="shared" si="30"/>
        <v>0</v>
      </c>
    </row>
    <row r="69" spans="1:35" x14ac:dyDescent="0.2">
      <c r="A69" s="335">
        <v>173.78</v>
      </c>
      <c r="B69" s="352">
        <f t="shared" si="28"/>
        <v>0.17377999999999999</v>
      </c>
      <c r="C69" s="325">
        <f t="shared" si="0"/>
        <v>1.0240056152955426</v>
      </c>
      <c r="D69" s="326">
        <f t="shared" si="1"/>
        <v>0.21695633965261538</v>
      </c>
      <c r="E69" s="326">
        <f t="shared" si="2"/>
        <v>1.0000000238445599</v>
      </c>
      <c r="F69" s="327">
        <f t="shared" si="3"/>
        <v>2.1837838481537569E-4</v>
      </c>
      <c r="G69" s="326">
        <f t="shared" si="4"/>
        <v>1</v>
      </c>
      <c r="H69" s="327">
        <f t="shared" si="5"/>
        <v>0</v>
      </c>
      <c r="I69" s="325">
        <f t="shared" si="6"/>
        <v>230.65442600438331</v>
      </c>
      <c r="J69" s="328">
        <f t="shared" si="7"/>
        <v>1.5664608230280912</v>
      </c>
      <c r="K69" s="336">
        <f t="shared" si="8"/>
        <v>1.0009976632851272</v>
      </c>
      <c r="L69" s="337">
        <f t="shared" si="9"/>
        <v>4.4650521772841581E-2</v>
      </c>
      <c r="M69" s="325">
        <f t="shared" si="10"/>
        <v>1.0000005695954599</v>
      </c>
      <c r="N69" s="337">
        <f t="shared" si="11"/>
        <v>1.0673286181707195E-3</v>
      </c>
      <c r="O69" s="343">
        <f t="shared" si="12"/>
        <v>1.0000005098734819</v>
      </c>
      <c r="P69" s="691">
        <f t="shared" si="13"/>
        <v>1.0098249998605005E-3</v>
      </c>
      <c r="Q69" s="336">
        <f t="shared" si="29"/>
        <v>15.124295417077487</v>
      </c>
      <c r="R69" s="692">
        <f t="shared" si="14"/>
        <v>4.7132312978284343E-4</v>
      </c>
      <c r="S69" s="329">
        <f t="shared" si="15"/>
        <v>0.9999999057868173</v>
      </c>
      <c r="T69" s="330">
        <f t="shared" si="16"/>
        <v>1.3789503646088629E-3</v>
      </c>
      <c r="U69" s="331">
        <f t="shared" si="17"/>
        <v>60.717553039461748</v>
      </c>
      <c r="V69" s="332">
        <f t="shared" si="18"/>
        <v>-99.72078561313009</v>
      </c>
      <c r="W69" s="334">
        <f t="shared" si="19"/>
        <v>80.27921438686991</v>
      </c>
      <c r="Y69" s="307">
        <f t="shared" si="20"/>
        <v>1000000000</v>
      </c>
      <c r="Z69" s="307">
        <f t="shared" si="21"/>
        <v>30199.488400000002</v>
      </c>
      <c r="AB69" s="333">
        <f t="shared" si="22"/>
        <v>50.456644873439686</v>
      </c>
      <c r="AC69" s="334">
        <f t="shared" si="23"/>
        <v>-87.254461006335632</v>
      </c>
      <c r="AE69" s="333">
        <f t="shared" si="24"/>
        <v>67.833806857665721</v>
      </c>
      <c r="AF69" s="334">
        <f t="shared" si="25"/>
        <v>-12.497178491245068</v>
      </c>
      <c r="AH69">
        <f t="shared" si="26"/>
        <v>0</v>
      </c>
      <c r="AI69">
        <f t="shared" si="30"/>
        <v>0</v>
      </c>
    </row>
    <row r="70" spans="1:35" x14ac:dyDescent="0.2">
      <c r="A70" s="335">
        <v>190.55</v>
      </c>
      <c r="B70" s="352">
        <f t="shared" si="28"/>
        <v>0.19055000000000002</v>
      </c>
      <c r="C70" s="325">
        <f t="shared" si="0"/>
        <v>1.0287941911086502</v>
      </c>
      <c r="D70" s="326">
        <f t="shared" si="1"/>
        <v>0.23714903158685666</v>
      </c>
      <c r="E70" s="326">
        <f t="shared" si="2"/>
        <v>1.0000000286686757</v>
      </c>
      <c r="F70" s="327">
        <f t="shared" si="3"/>
        <v>2.3945218720648198E-4</v>
      </c>
      <c r="G70" s="326">
        <f t="shared" si="4"/>
        <v>1</v>
      </c>
      <c r="H70" s="327">
        <f t="shared" si="5"/>
        <v>0</v>
      </c>
      <c r="I70" s="325">
        <f t="shared" si="6"/>
        <v>252.91248341746248</v>
      </c>
      <c r="J70" s="328">
        <f t="shared" si="7"/>
        <v>1.5668423795950246</v>
      </c>
      <c r="K70" s="336">
        <f t="shared" si="8"/>
        <v>1.0011993847742389</v>
      </c>
      <c r="L70" s="337">
        <f t="shared" si="9"/>
        <v>4.8952777857976498E-2</v>
      </c>
      <c r="M70" s="325">
        <f t="shared" si="10"/>
        <v>1.0000006848332128</v>
      </c>
      <c r="N70" s="337">
        <f t="shared" si="11"/>
        <v>1.170327152536405E-3</v>
      </c>
      <c r="O70" s="343">
        <f t="shared" si="12"/>
        <v>1.0000006130285815</v>
      </c>
      <c r="P70" s="691">
        <f t="shared" si="13"/>
        <v>1.1072743727157327E-3</v>
      </c>
      <c r="Q70" s="336">
        <f t="shared" si="29"/>
        <v>15.124295747208606</v>
      </c>
      <c r="R70" s="692">
        <f t="shared" si="14"/>
        <v>5.1680642819932569E-4</v>
      </c>
      <c r="S70" s="329">
        <f t="shared" si="15"/>
        <v>0.99999988672619455</v>
      </c>
      <c r="T70" s="330">
        <f t="shared" si="16"/>
        <v>1.5120210256183418E-3</v>
      </c>
      <c r="U70" s="331">
        <f t="shared" si="17"/>
        <v>59.878610387114023</v>
      </c>
      <c r="V70" s="332">
        <f t="shared" si="18"/>
        <v>-100.6624429958036</v>
      </c>
      <c r="W70" s="334">
        <f t="shared" si="19"/>
        <v>79.337557004196398</v>
      </c>
      <c r="Y70" s="307">
        <f t="shared" si="20"/>
        <v>1000000000</v>
      </c>
      <c r="Z70" s="307">
        <f t="shared" si="21"/>
        <v>36309.302500000005</v>
      </c>
      <c r="AB70" s="333">
        <f t="shared" si="22"/>
        <v>49.658224612378994</v>
      </c>
      <c r="AC70" s="334">
        <f t="shared" si="23"/>
        <v>-87.035722852268947</v>
      </c>
      <c r="AE70" s="333">
        <f t="shared" si="24"/>
        <v>67.793283759979829</v>
      </c>
      <c r="AF70" s="334">
        <f t="shared" si="25"/>
        <v>-13.660551464731855</v>
      </c>
      <c r="AH70">
        <f t="shared" si="26"/>
        <v>0</v>
      </c>
      <c r="AI70">
        <f t="shared" si="30"/>
        <v>0</v>
      </c>
    </row>
    <row r="71" spans="1:35" x14ac:dyDescent="0.2">
      <c r="A71" s="335">
        <v>208.93</v>
      </c>
      <c r="B71" s="352">
        <f t="shared" si="28"/>
        <v>0.20893</v>
      </c>
      <c r="C71" s="325">
        <f t="shared" si="0"/>
        <v>1.0345195175495197</v>
      </c>
      <c r="D71" s="326">
        <f t="shared" si="1"/>
        <v>0.25905565974162414</v>
      </c>
      <c r="E71" s="326">
        <f t="shared" si="2"/>
        <v>1.0000000344660356</v>
      </c>
      <c r="F71" s="327">
        <f t="shared" si="3"/>
        <v>2.6254917491311388E-4</v>
      </c>
      <c r="G71" s="326">
        <f t="shared" si="4"/>
        <v>1</v>
      </c>
      <c r="H71" s="327">
        <f t="shared" si="5"/>
        <v>0</v>
      </c>
      <c r="I71" s="325">
        <f t="shared" si="6"/>
        <v>277.30745569990427</v>
      </c>
      <c r="J71" s="328">
        <f t="shared" si="7"/>
        <v>1.5671902132671451</v>
      </c>
      <c r="K71" s="336">
        <f t="shared" si="8"/>
        <v>1.0014417489362568</v>
      </c>
      <c r="L71" s="337">
        <f t="shared" si="9"/>
        <v>5.3665982981811654E-2</v>
      </c>
      <c r="M71" s="325">
        <f t="shared" si="10"/>
        <v>1.0000008233196613</v>
      </c>
      <c r="N71" s="337">
        <f t="shared" si="11"/>
        <v>1.2832140089458651E-3</v>
      </c>
      <c r="O71" s="343">
        <f t="shared" si="12"/>
        <v>1.0000007369947574</v>
      </c>
      <c r="P71" s="691">
        <f t="shared" si="13"/>
        <v>1.214079326016184E-3</v>
      </c>
      <c r="Q71" s="336">
        <f t="shared" si="29"/>
        <v>15.124296143942225</v>
      </c>
      <c r="R71" s="692">
        <f t="shared" si="14"/>
        <v>5.6665633788126519E-4</v>
      </c>
      <c r="S71" s="329">
        <f t="shared" si="15"/>
        <v>0.99999986382023309</v>
      </c>
      <c r="T71" s="330">
        <f t="shared" si="16"/>
        <v>1.6578671448964917E-3</v>
      </c>
      <c r="U71" s="331">
        <f t="shared" si="17"/>
        <v>59.032683348216935</v>
      </c>
      <c r="V71" s="332">
        <f t="shared" si="18"/>
        <v>-101.67772063739561</v>
      </c>
      <c r="W71" s="334">
        <f t="shared" si="19"/>
        <v>78.322279362604391</v>
      </c>
      <c r="Y71" s="307">
        <f t="shared" si="20"/>
        <v>1000000000</v>
      </c>
      <c r="Z71" s="307">
        <f t="shared" si="21"/>
        <v>43651.744900000005</v>
      </c>
      <c r="AB71" s="333">
        <f t="shared" si="22"/>
        <v>48.86050017887392</v>
      </c>
      <c r="AC71" s="334">
        <f t="shared" si="23"/>
        <v>-86.792073432235156</v>
      </c>
      <c r="AE71" s="333">
        <f t="shared" si="24"/>
        <v>67.745080305676296</v>
      </c>
      <c r="AF71" s="334">
        <f t="shared" si="25"/>
        <v>-14.9227418099827</v>
      </c>
      <c r="AH71">
        <f t="shared" si="26"/>
        <v>0</v>
      </c>
      <c r="AI71">
        <f t="shared" si="30"/>
        <v>0</v>
      </c>
    </row>
    <row r="72" spans="1:35" x14ac:dyDescent="0.2">
      <c r="A72" s="335">
        <v>229.09</v>
      </c>
      <c r="B72" s="352">
        <f t="shared" si="28"/>
        <v>0.22909000000000002</v>
      </c>
      <c r="C72" s="325">
        <f t="shared" si="0"/>
        <v>1.0413634634752751</v>
      </c>
      <c r="D72" s="326">
        <f t="shared" si="1"/>
        <v>0.28279413262003611</v>
      </c>
      <c r="E72" s="326">
        <f t="shared" si="2"/>
        <v>1.0000000414383055</v>
      </c>
      <c r="F72" s="327">
        <f t="shared" si="3"/>
        <v>2.8788297612247825E-4</v>
      </c>
      <c r="G72" s="326">
        <f t="shared" si="4"/>
        <v>1</v>
      </c>
      <c r="H72" s="327">
        <f t="shared" si="5"/>
        <v>0</v>
      </c>
      <c r="I72" s="325">
        <f t="shared" si="6"/>
        <v>304.0649764319848</v>
      </c>
      <c r="J72" s="328">
        <f t="shared" si="7"/>
        <v>1.5675075501182401</v>
      </c>
      <c r="K72" s="336">
        <f t="shared" si="8"/>
        <v>1.0017331536576817</v>
      </c>
      <c r="L72" s="337">
        <f t="shared" si="9"/>
        <v>5.883288484413033E-2</v>
      </c>
      <c r="M72" s="325">
        <f t="shared" si="10"/>
        <v>1.000000989872152</v>
      </c>
      <c r="N72" s="337">
        <f t="shared" si="11"/>
        <v>1.407033287073701E-3</v>
      </c>
      <c r="O72" s="343">
        <f t="shared" si="12"/>
        <v>1.0000008860842604</v>
      </c>
      <c r="P72" s="691">
        <f t="shared" si="13"/>
        <v>1.3312277085748749E-3</v>
      </c>
      <c r="Q72" s="336">
        <f t="shared" si="29"/>
        <v>15.124296621079024</v>
      </c>
      <c r="R72" s="692">
        <f t="shared" si="14"/>
        <v>6.2133392885289213E-4</v>
      </c>
      <c r="S72" s="329">
        <f t="shared" si="15"/>
        <v>0.9999998362721676</v>
      </c>
      <c r="T72" s="330">
        <f t="shared" si="16"/>
        <v>1.817837696274627E-3</v>
      </c>
      <c r="U72" s="331">
        <f t="shared" si="17"/>
        <v>58.17784030993208</v>
      </c>
      <c r="V72" s="332">
        <f t="shared" si="18"/>
        <v>-102.77120446595676</v>
      </c>
      <c r="W72" s="334">
        <f t="shared" si="19"/>
        <v>77.228795534043243</v>
      </c>
      <c r="Y72" s="307">
        <f t="shared" si="20"/>
        <v>1000000000</v>
      </c>
      <c r="Z72" s="307">
        <f t="shared" si="21"/>
        <v>52482.2281</v>
      </c>
      <c r="AB72" s="333">
        <f t="shared" si="22"/>
        <v>48.06292877296795</v>
      </c>
      <c r="AC72" s="334">
        <f t="shared" si="23"/>
        <v>-86.521308146367403</v>
      </c>
      <c r="AE72" s="333">
        <f t="shared" si="24"/>
        <v>67.687807652343366</v>
      </c>
      <c r="AF72" s="334">
        <f t="shared" si="25"/>
        <v>-16.290570237116476</v>
      </c>
      <c r="AH72">
        <f t="shared" si="26"/>
        <v>0</v>
      </c>
      <c r="AI72">
        <f t="shared" si="30"/>
        <v>0</v>
      </c>
    </row>
    <row r="73" spans="1:35" x14ac:dyDescent="0.2">
      <c r="A73" s="335">
        <v>251.19</v>
      </c>
      <c r="B73" s="352">
        <f t="shared" si="28"/>
        <v>0.25119000000000002</v>
      </c>
      <c r="C73" s="325">
        <f t="shared" si="0"/>
        <v>1.0495307854503071</v>
      </c>
      <c r="D73" s="326">
        <f t="shared" si="1"/>
        <v>0.30844516606145128</v>
      </c>
      <c r="E73" s="326">
        <f t="shared" si="2"/>
        <v>1.0000000498189319</v>
      </c>
      <c r="F73" s="327">
        <f t="shared" si="3"/>
        <v>3.1565465261768159E-4</v>
      </c>
      <c r="G73" s="326">
        <f t="shared" si="4"/>
        <v>1</v>
      </c>
      <c r="H73" s="327">
        <f t="shared" si="5"/>
        <v>0</v>
      </c>
      <c r="I73" s="325">
        <f t="shared" si="6"/>
        <v>333.3974068942465</v>
      </c>
      <c r="J73" s="328">
        <f t="shared" si="7"/>
        <v>1.5677968988486954</v>
      </c>
      <c r="K73" s="336">
        <f t="shared" si="8"/>
        <v>1.0020833082457863</v>
      </c>
      <c r="L73" s="337">
        <f t="shared" si="9"/>
        <v>6.449337722458505E-2</v>
      </c>
      <c r="M73" s="325">
        <f t="shared" si="10"/>
        <v>1.0000011900672132</v>
      </c>
      <c r="N73" s="337">
        <f t="shared" si="11"/>
        <v>1.5427676642793848E-3</v>
      </c>
      <c r="O73" s="343">
        <f t="shared" si="12"/>
        <v>1.0000010652889217</v>
      </c>
      <c r="P73" s="691">
        <f t="shared" si="13"/>
        <v>1.459649256481409E-3</v>
      </c>
      <c r="Q73" s="336">
        <f t="shared" si="29"/>
        <v>15.124297194594581</v>
      </c>
      <c r="R73" s="692">
        <f t="shared" si="14"/>
        <v>6.8127314898602624E-4</v>
      </c>
      <c r="S73" s="329">
        <f t="shared" si="15"/>
        <v>0.99999980315968007</v>
      </c>
      <c r="T73" s="330">
        <f t="shared" si="16"/>
        <v>1.9932023087386986E-3</v>
      </c>
      <c r="U73" s="331">
        <f t="shared" si="17"/>
        <v>57.313102481712789</v>
      </c>
      <c r="V73" s="332">
        <f t="shared" si="18"/>
        <v>-103.94546627225016</v>
      </c>
      <c r="W73" s="334">
        <f t="shared" si="19"/>
        <v>76.054533727749842</v>
      </c>
      <c r="Y73" s="307">
        <f t="shared" si="20"/>
        <v>1000000000</v>
      </c>
      <c r="Z73" s="307">
        <f t="shared" si="21"/>
        <v>63096.416100000002</v>
      </c>
      <c r="AB73" s="333">
        <f t="shared" si="22"/>
        <v>47.266046273556988</v>
      </c>
      <c r="AC73" s="334">
        <f t="shared" si="23"/>
        <v>-86.221341290669926</v>
      </c>
      <c r="AE73" s="333">
        <f t="shared" si="24"/>
        <v>67.619951096354853</v>
      </c>
      <c r="AF73" s="334">
        <f t="shared" si="25"/>
        <v>-17.768722647464497</v>
      </c>
      <c r="AH73">
        <f t="shared" si="26"/>
        <v>0</v>
      </c>
      <c r="AI73">
        <f t="shared" si="30"/>
        <v>0</v>
      </c>
    </row>
    <row r="74" spans="1:35" x14ac:dyDescent="0.2">
      <c r="A74" s="335">
        <v>275.42</v>
      </c>
      <c r="B74" s="352">
        <f t="shared" si="28"/>
        <v>0.27542</v>
      </c>
      <c r="C74" s="325">
        <f t="shared" si="0"/>
        <v>1.0592657150021405</v>
      </c>
      <c r="D74" s="326">
        <f t="shared" si="1"/>
        <v>0.33609363801383391</v>
      </c>
      <c r="E74" s="326">
        <f t="shared" si="2"/>
        <v>1.0000000598936343</v>
      </c>
      <c r="F74" s="327">
        <f t="shared" si="3"/>
        <v>3.4610296524562381E-4</v>
      </c>
      <c r="G74" s="326">
        <f t="shared" si="4"/>
        <v>1</v>
      </c>
      <c r="H74" s="327">
        <f t="shared" si="5"/>
        <v>0</v>
      </c>
      <c r="I74" s="325">
        <f t="shared" si="6"/>
        <v>365.556926340953</v>
      </c>
      <c r="J74" s="328">
        <f t="shared" si="7"/>
        <v>1.5680607713310151</v>
      </c>
      <c r="K74" s="336">
        <f t="shared" si="8"/>
        <v>1.0025040818690401</v>
      </c>
      <c r="L74" s="337">
        <f t="shared" si="9"/>
        <v>7.0694662533649297E-2</v>
      </c>
      <c r="M74" s="325">
        <f t="shared" si="10"/>
        <v>1.0000014307300347</v>
      </c>
      <c r="N74" s="337">
        <f t="shared" si="11"/>
        <v>1.6915840675293156E-3</v>
      </c>
      <c r="O74" s="343">
        <f t="shared" si="12"/>
        <v>1.0000012807183143</v>
      </c>
      <c r="P74" s="691">
        <f t="shared" si="13"/>
        <v>1.6004480293112884E-3</v>
      </c>
      <c r="Q74" s="336">
        <f t="shared" si="29"/>
        <v>15.124297884041644</v>
      </c>
      <c r="R74" s="692">
        <f t="shared" si="14"/>
        <v>7.4698931118083228E-4</v>
      </c>
      <c r="S74" s="329">
        <f t="shared" si="15"/>
        <v>0.99999976335394791</v>
      </c>
      <c r="T74" s="330">
        <f t="shared" si="16"/>
        <v>2.185468670063822E-3</v>
      </c>
      <c r="U74" s="331">
        <f t="shared" si="17"/>
        <v>56.436698066638954</v>
      </c>
      <c r="V74" s="332">
        <f t="shared" si="18"/>
        <v>-105.20291445670877</v>
      </c>
      <c r="W74" s="334">
        <f t="shared" si="19"/>
        <v>74.797085543291232</v>
      </c>
      <c r="Y74" s="307">
        <f t="shared" si="20"/>
        <v>1000000000</v>
      </c>
      <c r="Z74" s="307">
        <f t="shared" si="21"/>
        <v>75856.176400000011</v>
      </c>
      <c r="AB74" s="333">
        <f t="shared" si="22"/>
        <v>46.469834624397649</v>
      </c>
      <c r="AC74" s="334">
        <f t="shared" si="23"/>
        <v>-85.889679145920169</v>
      </c>
      <c r="AE74" s="333">
        <f t="shared" si="24"/>
        <v>67.539756855196316</v>
      </c>
      <c r="AF74" s="334">
        <f t="shared" si="25"/>
        <v>-19.362134893381981</v>
      </c>
      <c r="AH74">
        <f t="shared" si="26"/>
        <v>0</v>
      </c>
      <c r="AI74">
        <f t="shared" si="30"/>
        <v>0</v>
      </c>
    </row>
    <row r="75" spans="1:35" x14ac:dyDescent="0.2">
      <c r="A75" s="335">
        <v>302</v>
      </c>
      <c r="B75" s="352">
        <f t="shared" si="28"/>
        <v>0.30199999999999999</v>
      </c>
      <c r="C75" s="325">
        <f t="shared" si="0"/>
        <v>1.0708579440113253</v>
      </c>
      <c r="D75" s="326">
        <f t="shared" si="1"/>
        <v>0.36582019744240402</v>
      </c>
      <c r="E75" s="326">
        <f t="shared" si="2"/>
        <v>1.0000000720117892</v>
      </c>
      <c r="F75" s="327">
        <f t="shared" si="3"/>
        <v>3.7950437390080741E-4</v>
      </c>
      <c r="G75" s="326">
        <f t="shared" si="4"/>
        <v>1</v>
      </c>
      <c r="H75" s="327">
        <f t="shared" si="5"/>
        <v>0</v>
      </c>
      <c r="I75" s="325">
        <f t="shared" si="6"/>
        <v>400.8355320736938</v>
      </c>
      <c r="J75" s="328">
        <f t="shared" si="7"/>
        <v>1.568301535397143</v>
      </c>
      <c r="K75" s="336">
        <f t="shared" si="8"/>
        <v>1.0030099671879933</v>
      </c>
      <c r="L75" s="337">
        <f t="shared" si="9"/>
        <v>7.7491117046986108E-2</v>
      </c>
      <c r="M75" s="325">
        <f t="shared" si="10"/>
        <v>1.0000017202064404</v>
      </c>
      <c r="N75" s="337">
        <f t="shared" si="11"/>
        <v>1.8548336715065834E-3</v>
      </c>
      <c r="O75" s="343">
        <f t="shared" si="12"/>
        <v>1.0000015398432076</v>
      </c>
      <c r="P75" s="691">
        <f t="shared" si="13"/>
        <v>1.7549024085250272E-3</v>
      </c>
      <c r="Q75" s="336">
        <f t="shared" si="29"/>
        <v>15.124298713329273</v>
      </c>
      <c r="R75" s="692">
        <f t="shared" si="14"/>
        <v>8.190790932100418E-4</v>
      </c>
      <c r="S75" s="329">
        <f t="shared" si="15"/>
        <v>0.99999971547467181</v>
      </c>
      <c r="T75" s="330">
        <f t="shared" si="16"/>
        <v>2.396382529458349E-3</v>
      </c>
      <c r="U75" s="331">
        <f t="shared" si="17"/>
        <v>55.546316980233613</v>
      </c>
      <c r="V75" s="332">
        <f t="shared" si="18"/>
        <v>-106.54531254227877</v>
      </c>
      <c r="W75" s="334">
        <f t="shared" si="19"/>
        <v>73.454687457721235</v>
      </c>
      <c r="Y75" s="307">
        <f t="shared" si="20"/>
        <v>1000000000</v>
      </c>
      <c r="Z75" s="307">
        <f t="shared" si="21"/>
        <v>91204</v>
      </c>
      <c r="AB75" s="333">
        <f t="shared" si="22"/>
        <v>45.673990181877642</v>
      </c>
      <c r="AC75" s="334">
        <f t="shared" si="23"/>
        <v>-85.523419264397432</v>
      </c>
      <c r="AE75" s="333">
        <f t="shared" si="24"/>
        <v>67.445218436844115</v>
      </c>
      <c r="AF75" s="334">
        <f t="shared" si="25"/>
        <v>-21.075512004280078</v>
      </c>
      <c r="AH75">
        <f t="shared" si="26"/>
        <v>0</v>
      </c>
      <c r="AI75">
        <f t="shared" si="30"/>
        <v>0</v>
      </c>
    </row>
    <row r="76" spans="1:35" x14ac:dyDescent="0.2">
      <c r="A76" s="335">
        <v>331.13</v>
      </c>
      <c r="B76" s="352">
        <f t="shared" si="28"/>
        <v>0.33112999999999998</v>
      </c>
      <c r="C76" s="325">
        <f t="shared" si="0"/>
        <v>1.084624139390147</v>
      </c>
      <c r="D76" s="326">
        <f t="shared" si="1"/>
        <v>0.39763762905706773</v>
      </c>
      <c r="E76" s="326">
        <f t="shared" si="2"/>
        <v>1.0000000865738579</v>
      </c>
      <c r="F76" s="327">
        <f t="shared" si="3"/>
        <v>4.161102056616229E-4</v>
      </c>
      <c r="G76" s="326">
        <f t="shared" si="4"/>
        <v>1</v>
      </c>
      <c r="H76" s="327">
        <f t="shared" si="5"/>
        <v>0</v>
      </c>
      <c r="I76" s="325">
        <f t="shared" si="6"/>
        <v>439.49867635407554</v>
      </c>
      <c r="J76" s="328">
        <f t="shared" si="7"/>
        <v>1.5685210051235225</v>
      </c>
      <c r="K76" s="336">
        <f t="shared" si="8"/>
        <v>1.003617538979013</v>
      </c>
      <c r="L76" s="337">
        <f t="shared" si="9"/>
        <v>8.4931349312222529E-2</v>
      </c>
      <c r="M76" s="325">
        <f t="shared" si="10"/>
        <v>1.0000020680625308</v>
      </c>
      <c r="N76" s="337">
        <f t="shared" si="11"/>
        <v>2.0337448053403496E-3</v>
      </c>
      <c r="O76" s="343">
        <f t="shared" si="12"/>
        <v>1.0000018512267039</v>
      </c>
      <c r="P76" s="691">
        <f t="shared" si="13"/>
        <v>1.9241745493540233E-3</v>
      </c>
      <c r="Q76" s="336">
        <f t="shared" si="29"/>
        <v>15.124299709862397</v>
      </c>
      <c r="R76" s="692">
        <f t="shared" si="14"/>
        <v>8.9808492846544076E-4</v>
      </c>
      <c r="S76" s="329">
        <f t="shared" si="15"/>
        <v>0.99999965793977219</v>
      </c>
      <c r="T76" s="330">
        <f t="shared" si="16"/>
        <v>2.6275309477319657E-3</v>
      </c>
      <c r="U76" s="331">
        <f t="shared" si="17"/>
        <v>54.640801350839226</v>
      </c>
      <c r="V76" s="332">
        <f t="shared" si="18"/>
        <v>-107.97082331570903</v>
      </c>
      <c r="W76" s="334">
        <f t="shared" si="19"/>
        <v>72.029176684290974</v>
      </c>
      <c r="Y76" s="307">
        <f t="shared" si="20"/>
        <v>1000000000</v>
      </c>
      <c r="Z76" s="307">
        <f t="shared" si="21"/>
        <v>109647.0769</v>
      </c>
      <c r="AB76" s="333">
        <f t="shared" si="22"/>
        <v>44.879419855596431</v>
      </c>
      <c r="AC76" s="334">
        <f t="shared" si="23"/>
        <v>-85.119950898470307</v>
      </c>
      <c r="AE76" s="333">
        <f t="shared" si="24"/>
        <v>67.334271001402115</v>
      </c>
      <c r="AF76" s="334">
        <f t="shared" si="25"/>
        <v>-22.909663021984993</v>
      </c>
      <c r="AH76">
        <f t="shared" si="26"/>
        <v>0</v>
      </c>
      <c r="AI76">
        <f t="shared" si="30"/>
        <v>0</v>
      </c>
    </row>
    <row r="77" spans="1:35" x14ac:dyDescent="0.2">
      <c r="A77" s="335">
        <v>363.08</v>
      </c>
      <c r="B77" s="352">
        <f t="shared" si="28"/>
        <v>0.36307999999999996</v>
      </c>
      <c r="C77" s="325">
        <f t="shared" ref="C77:C140" si="31">SQRT(1+(A77/pole1)^2)</f>
        <v>1.1009516817676976</v>
      </c>
      <c r="D77" s="326">
        <f t="shared" ref="D77:D140" si="32">ATAN(A77/pole1)</f>
        <v>0.43158211423634291</v>
      </c>
      <c r="E77" s="326">
        <f t="shared" ref="E77:E140" si="33">SQRT(1+(A77/Zero1)^2)</f>
        <v>1.0000001040864896</v>
      </c>
      <c r="F77" s="327">
        <f t="shared" ref="F77:F140" si="34">ATAN(A77/Zero1)</f>
        <v>4.5625975208448278E-4</v>
      </c>
      <c r="G77" s="326">
        <f t="shared" ref="G77:G140" si="35">IF(VIN_nom&gt;Vout, 1, SQRT(1+(A77/z_RHP)^2))</f>
        <v>1</v>
      </c>
      <c r="H77" s="327">
        <f t="shared" ref="H77:H140" si="36">IF(VIN_nom&gt;Vout, 0, -ATAN(A77/z_RHP))</f>
        <v>0</v>
      </c>
      <c r="I77" s="325">
        <f t="shared" ref="I77:I140" si="37">SQRT(1+(A77/Pole2)^2)</f>
        <v>481.90471993687754</v>
      </c>
      <c r="J77" s="328">
        <f t="shared" ref="J77:J140" si="38">ATAN(A77/Pole2)</f>
        <v>1.5687212263107075</v>
      </c>
      <c r="K77" s="336">
        <f t="shared" ref="K77:K140" si="39">SQRT(1+(A77/Zero2)^2)</f>
        <v>1.0043477300482497</v>
      </c>
      <c r="L77" s="337">
        <f t="shared" ref="L77:L140" si="40">ATAN(A77/Zero2)</f>
        <v>9.3080996693994458E-2</v>
      </c>
      <c r="M77" s="325">
        <f t="shared" ref="M77:M140" si="41">SQRT(1+(A77/pole4)^2)</f>
        <v>1.0000024864009931</v>
      </c>
      <c r="N77" s="337">
        <f t="shared" ref="N77:N140" si="42">ATAN(A77/pole4)</f>
        <v>2.2299757134234344E-3</v>
      </c>
      <c r="O77" s="343">
        <f t="shared" ref="O77:O140" si="43">IF(VOUT_setting=1,1,SQRT(1+(A77*zterm1)^2))</f>
        <v>1.0000022257025347</v>
      </c>
      <c r="P77" s="691">
        <f t="shared" ref="P77:P140" si="44">IF(VOUT_setting=1,0,ATAN(((A77*zterm1))))</f>
        <v>2.10983336141863E-3</v>
      </c>
      <c r="Q77" s="336">
        <f t="shared" si="29"/>
        <v>15.12430090831278</v>
      </c>
      <c r="R77" s="692">
        <f t="shared" ref="R77:R140" si="45">IF(VOUT_setting=1,0,ATAN(A77*$Q$4/(1+Afbr-$Q$5*(A77)^2)))</f>
        <v>9.84739102031576E-4</v>
      </c>
      <c r="S77" s="329">
        <f t="shared" ref="S77:S140" si="46">SQRT((1-(Z77/pterm2))^2+(A77/pterm1)^2)</f>
        <v>0.99999958874769745</v>
      </c>
      <c r="T77" s="330">
        <f t="shared" ref="T77:T140" si="47">IF((ATAN((A77/pterm1)/(1-A77^2/pterm2))&gt;0),ATAN((A77/pterm1)/(1-A77^2/pterm2)),PI()+ATAN((A77/pterm1)/(1-A77^2/pterm2)))</f>
        <v>2.881056456882046E-3</v>
      </c>
      <c r="U77" s="331">
        <f t="shared" ref="U77:U140" si="48">20*LOG10(((E77*K77*G77*O77)/(C77*I77*S77*M77*Q77))*Adc)</f>
        <v>53.717266197880434</v>
      </c>
      <c r="V77" s="332">
        <f t="shared" ref="V77:V140" si="49">((F77+L77+H77+P77)-(D77+J77+T77+N77+R77))*radconv</f>
        <v>-109.47802668246635</v>
      </c>
      <c r="W77" s="334">
        <f t="shared" ref="W77:W140" si="50">IF(V77&gt;0,V77,V77+180)</f>
        <v>70.52197331753365</v>
      </c>
      <c r="Y77" s="307">
        <f t="shared" ref="Y77:Y140" si="51">IF(U77&lt;0,A77,1000000000)</f>
        <v>1000000000</v>
      </c>
      <c r="Z77" s="307">
        <f t="shared" ref="Z77:Z140" si="52">A77^2</f>
        <v>131827.0864</v>
      </c>
      <c r="AB77" s="333">
        <f t="shared" ref="AB77:AB140" si="53">20*LOG10((K77/(I77*M77))*AEA)</f>
        <v>44.085661252008315</v>
      </c>
      <c r="AC77" s="334">
        <f t="shared" ref="AC77:AC140" si="54">(L77-(J77+N77))*radconv</f>
        <v>-84.675725530305314</v>
      </c>
      <c r="AE77" s="333">
        <f t="shared" ref="AE77:AE140" si="55">20*LOG10((E77*G77/(C77*S77))*Acs*Am)</f>
        <v>67.204491887652694</v>
      </c>
      <c r="AF77" s="334">
        <f t="shared" ref="AF77:AF140" si="56">(F77+H77-(D77+T77))*radconv</f>
        <v>-24.866764304851959</v>
      </c>
      <c r="AH77">
        <f t="shared" ref="AH77:AH140" si="57">SUM((U78&lt;0)*(U77&gt;0))*A77</f>
        <v>0</v>
      </c>
      <c r="AI77">
        <f t="shared" ref="AI77:AI89" si="58">IF(AH77&gt;0,W75,0)</f>
        <v>0</v>
      </c>
    </row>
    <row r="78" spans="1:35" x14ac:dyDescent="0.2">
      <c r="A78" s="335">
        <v>398.11</v>
      </c>
      <c r="B78" s="352">
        <f t="shared" ref="B78:B141" si="59">A78/1000</f>
        <v>0.39811000000000002</v>
      </c>
      <c r="C78" s="325">
        <f t="shared" si="31"/>
        <v>1.1202654566496479</v>
      </c>
      <c r="D78" s="326">
        <f t="shared" si="32"/>
        <v>0.46761569362144456</v>
      </c>
      <c r="E78" s="326">
        <f t="shared" si="33"/>
        <v>1.0000001251399213</v>
      </c>
      <c r="F78" s="327">
        <f t="shared" si="34"/>
        <v>5.002797382199555E-4</v>
      </c>
      <c r="G78" s="326">
        <f t="shared" si="35"/>
        <v>1</v>
      </c>
      <c r="H78" s="327">
        <f t="shared" si="36"/>
        <v>0</v>
      </c>
      <c r="I78" s="325">
        <f t="shared" si="37"/>
        <v>528.39875113307141</v>
      </c>
      <c r="J78" s="328">
        <f t="shared" si="38"/>
        <v>1.5689038155147526</v>
      </c>
      <c r="K78" s="336">
        <f t="shared" si="39"/>
        <v>1.005224853050444</v>
      </c>
      <c r="L78" s="337">
        <f t="shared" si="40"/>
        <v>0.10200200761253005</v>
      </c>
      <c r="M78" s="325">
        <f t="shared" si="41"/>
        <v>1.0000029893211928</v>
      </c>
      <c r="N78" s="337">
        <f t="shared" si="42"/>
        <v>2.4451232059549389E-3</v>
      </c>
      <c r="O78" s="343">
        <f t="shared" si="43"/>
        <v>1.0000026758917606</v>
      </c>
      <c r="P78" s="691">
        <f t="shared" si="44"/>
        <v>2.3133896315555083E-3</v>
      </c>
      <c r="Q78" s="336">
        <f t="shared" si="29"/>
        <v>15.124302349072321</v>
      </c>
      <c r="R78" s="692">
        <f t="shared" si="45"/>
        <v>1.0797467758616398E-3</v>
      </c>
      <c r="S78" s="329">
        <f t="shared" si="46"/>
        <v>0.9999995055667622</v>
      </c>
      <c r="T78" s="330">
        <f t="shared" si="47"/>
        <v>3.159022260676493E-3</v>
      </c>
      <c r="U78" s="331">
        <f t="shared" si="48"/>
        <v>52.773782359587585</v>
      </c>
      <c r="V78" s="332">
        <f t="shared" si="49"/>
        <v>-111.06143579478682</v>
      </c>
      <c r="W78" s="334">
        <f t="shared" si="50"/>
        <v>68.938564205213183</v>
      </c>
      <c r="Y78" s="307">
        <f t="shared" si="51"/>
        <v>1000000000</v>
      </c>
      <c r="Z78" s="307">
        <f t="shared" si="52"/>
        <v>158491.57210000002</v>
      </c>
      <c r="AB78" s="333">
        <f t="shared" si="53"/>
        <v>43.293227135811136</v>
      </c>
      <c r="AC78" s="334">
        <f t="shared" si="54"/>
        <v>-84.187377889196398</v>
      </c>
      <c r="AE78" s="333">
        <f t="shared" si="55"/>
        <v>67.053439082701203</v>
      </c>
      <c r="AF78" s="334">
        <f t="shared" si="56"/>
        <v>-26.944740434728921</v>
      </c>
      <c r="AH78">
        <f t="shared" si="57"/>
        <v>0</v>
      </c>
      <c r="AI78">
        <f t="shared" si="58"/>
        <v>0</v>
      </c>
    </row>
    <row r="79" spans="1:35" x14ac:dyDescent="0.2">
      <c r="A79" s="335">
        <v>436.52</v>
      </c>
      <c r="B79" s="352">
        <f t="shared" si="59"/>
        <v>0.43651999999999996</v>
      </c>
      <c r="C79" s="325">
        <f t="shared" si="31"/>
        <v>1.1430540438813788</v>
      </c>
      <c r="D79" s="326">
        <f t="shared" si="32"/>
        <v>0.50567176180956142</v>
      </c>
      <c r="E79" s="326">
        <f t="shared" si="33"/>
        <v>1.0000001504520093</v>
      </c>
      <c r="F79" s="327">
        <f t="shared" si="34"/>
        <v>5.4854715441118602E-4</v>
      </c>
      <c r="G79" s="326">
        <f t="shared" si="35"/>
        <v>1</v>
      </c>
      <c r="H79" s="327">
        <f t="shared" si="36"/>
        <v>0</v>
      </c>
      <c r="I79" s="325">
        <f t="shared" si="37"/>
        <v>579.37894891207895</v>
      </c>
      <c r="J79" s="328">
        <f t="shared" si="38"/>
        <v>1.5690703398594323</v>
      </c>
      <c r="K79" s="336">
        <f t="shared" si="39"/>
        <v>1.0062783870300955</v>
      </c>
      <c r="L79" s="337">
        <f t="shared" si="40"/>
        <v>0.11176505364303607</v>
      </c>
      <c r="M79" s="325">
        <f t="shared" si="41"/>
        <v>1.0000035939710095</v>
      </c>
      <c r="N79" s="337">
        <f t="shared" si="42"/>
        <v>2.6810297445878342E-3</v>
      </c>
      <c r="O79" s="343">
        <f t="shared" si="43"/>
        <v>1.0000032171443269</v>
      </c>
      <c r="P79" s="691">
        <f t="shared" si="44"/>
        <v>2.536586565475619E-3</v>
      </c>
      <c r="Q79" s="336">
        <f t="shared" ref="Q79:Q142" si="60">IF(VOUT_setting=1,1,SQRT((1+Afbr-$Q$5*(A79)^2)^2+(A79*$Q$4)^2))</f>
        <v>15.124304081266382</v>
      </c>
      <c r="R79" s="692">
        <f t="shared" si="45"/>
        <v>1.1839215974027472E-3</v>
      </c>
      <c r="S79" s="329">
        <f t="shared" si="46"/>
        <v>0.99999940556122868</v>
      </c>
      <c r="T79" s="330">
        <f t="shared" si="47"/>
        <v>3.4638089951488506E-3</v>
      </c>
      <c r="U79" s="331">
        <f t="shared" si="48"/>
        <v>51.807945476585502</v>
      </c>
      <c r="V79" s="332">
        <f t="shared" si="49"/>
        <v>-112.71344215672828</v>
      </c>
      <c r="W79" s="334">
        <f t="shared" si="50"/>
        <v>67.286557843271723</v>
      </c>
      <c r="Y79" s="307">
        <f t="shared" si="51"/>
        <v>1000000000</v>
      </c>
      <c r="Z79" s="307">
        <f t="shared" si="52"/>
        <v>190549.71039999998</v>
      </c>
      <c r="AB79" s="333">
        <f t="shared" si="53"/>
        <v>42.502301852078439</v>
      </c>
      <c r="AC79" s="334">
        <f t="shared" si="54"/>
        <v>-83.651054147003137</v>
      </c>
      <c r="AE79" s="333">
        <f t="shared" si="55"/>
        <v>66.878523776984906</v>
      </c>
      <c r="AF79" s="334">
        <f t="shared" si="56"/>
        <v>-29.139890003579495</v>
      </c>
      <c r="AH79">
        <f t="shared" si="57"/>
        <v>0</v>
      </c>
      <c r="AI79">
        <f t="shared" si="58"/>
        <v>0</v>
      </c>
    </row>
    <row r="80" spans="1:35" x14ac:dyDescent="0.2">
      <c r="A80" s="335">
        <v>478.63</v>
      </c>
      <c r="B80" s="352">
        <f t="shared" si="59"/>
        <v>0.47863</v>
      </c>
      <c r="C80" s="325">
        <f t="shared" si="31"/>
        <v>1.1698607138507597</v>
      </c>
      <c r="D80" s="326">
        <f t="shared" si="32"/>
        <v>0.5456259543122165</v>
      </c>
      <c r="E80" s="326">
        <f t="shared" si="33"/>
        <v>1.0000001808795731</v>
      </c>
      <c r="F80" s="327">
        <f t="shared" si="34"/>
        <v>6.0146412349941785E-4</v>
      </c>
      <c r="G80" s="326">
        <f t="shared" si="35"/>
        <v>1</v>
      </c>
      <c r="H80" s="327">
        <f t="shared" si="36"/>
        <v>0</v>
      </c>
      <c r="I80" s="325">
        <f t="shared" si="37"/>
        <v>635.27003764722167</v>
      </c>
      <c r="J80" s="328">
        <f t="shared" si="38"/>
        <v>1.5692221924052332</v>
      </c>
      <c r="K80" s="336">
        <f t="shared" si="39"/>
        <v>1.0075433781619105</v>
      </c>
      <c r="L80" s="337">
        <f t="shared" si="40"/>
        <v>0.1224439676852658</v>
      </c>
      <c r="M80" s="325">
        <f t="shared" si="41"/>
        <v>1.0000043208177778</v>
      </c>
      <c r="N80" s="337">
        <f t="shared" si="42"/>
        <v>2.9396605994010433E-3</v>
      </c>
      <c r="O80" s="343">
        <f t="shared" si="43"/>
        <v>1.0000038677815972</v>
      </c>
      <c r="P80" s="691">
        <f t="shared" si="44"/>
        <v>2.7812835636744212E-3</v>
      </c>
      <c r="Q80" s="336">
        <f t="shared" si="60"/>
        <v>15.124306163530033</v>
      </c>
      <c r="R80" s="692">
        <f t="shared" si="45"/>
        <v>1.2981314554231498E-3</v>
      </c>
      <c r="S80" s="329">
        <f t="shared" si="46"/>
        <v>0.99999928534657134</v>
      </c>
      <c r="T80" s="330">
        <f t="shared" si="47"/>
        <v>3.7979560366663578E-3</v>
      </c>
      <c r="U80" s="331">
        <f t="shared" si="48"/>
        <v>50.817596024818307</v>
      </c>
      <c r="V80" s="332">
        <f t="shared" si="49"/>
        <v>-114.42294795875908</v>
      </c>
      <c r="W80" s="334">
        <f t="shared" si="50"/>
        <v>65.577052041240918</v>
      </c>
      <c r="Y80" s="307">
        <f t="shared" si="51"/>
        <v>1000000000</v>
      </c>
      <c r="Z80" s="307">
        <f t="shared" si="52"/>
        <v>229086.67689999999</v>
      </c>
      <c r="AB80" s="333">
        <f t="shared" si="53"/>
        <v>41.713294483357103</v>
      </c>
      <c r="AC80" s="334">
        <f t="shared" si="54"/>
        <v>-83.062716408343476</v>
      </c>
      <c r="AE80" s="333">
        <f t="shared" si="55"/>
        <v>66.677177238439725</v>
      </c>
      <c r="AF80" s="334">
        <f t="shared" si="56"/>
        <v>-31.445209906691439</v>
      </c>
      <c r="AH80">
        <f t="shared" si="57"/>
        <v>0</v>
      </c>
      <c r="AI80">
        <f t="shared" si="58"/>
        <v>0</v>
      </c>
    </row>
    <row r="81" spans="1:35" x14ac:dyDescent="0.2">
      <c r="A81" s="335">
        <v>524.80999999999995</v>
      </c>
      <c r="B81" s="352">
        <f t="shared" si="59"/>
        <v>0.52481</v>
      </c>
      <c r="C81" s="325">
        <f t="shared" si="31"/>
        <v>1.2013026178113011</v>
      </c>
      <c r="D81" s="326">
        <f t="shared" si="32"/>
        <v>0.58731823555554252</v>
      </c>
      <c r="E81" s="326">
        <f t="shared" si="33"/>
        <v>1.0000002174672626</v>
      </c>
      <c r="F81" s="327">
        <f t="shared" si="34"/>
        <v>6.5949559984613214E-4</v>
      </c>
      <c r="G81" s="326">
        <f t="shared" si="35"/>
        <v>1</v>
      </c>
      <c r="H81" s="327">
        <f t="shared" si="36"/>
        <v>0</v>
      </c>
      <c r="I81" s="325">
        <f t="shared" si="37"/>
        <v>696.56310503399641</v>
      </c>
      <c r="J81" s="328">
        <f t="shared" si="38"/>
        <v>1.569360706193871</v>
      </c>
      <c r="K81" s="336">
        <f t="shared" si="39"/>
        <v>1.0090623695895966</v>
      </c>
      <c r="L81" s="337">
        <f t="shared" si="40"/>
        <v>0.13412274910937386</v>
      </c>
      <c r="M81" s="325">
        <f t="shared" si="41"/>
        <v>1.0000051948155557</v>
      </c>
      <c r="N81" s="337">
        <f t="shared" si="42"/>
        <v>3.2232880936435403E-3</v>
      </c>
      <c r="O81" s="343">
        <f t="shared" si="43"/>
        <v>1.0000046501412374</v>
      </c>
      <c r="P81" s="691">
        <f t="shared" si="44"/>
        <v>3.0496305407992988E-3</v>
      </c>
      <c r="Q81" s="336">
        <f t="shared" si="60"/>
        <v>15.124308667352111</v>
      </c>
      <c r="R81" s="692">
        <f t="shared" si="45"/>
        <v>1.4233798446398004E-3</v>
      </c>
      <c r="S81" s="329">
        <f t="shared" si="46"/>
        <v>0.99999914079653063</v>
      </c>
      <c r="T81" s="330">
        <f t="shared" si="47"/>
        <v>4.1643995675214466E-3</v>
      </c>
      <c r="U81" s="331">
        <f t="shared" si="48"/>
        <v>49.800273281453364</v>
      </c>
      <c r="V81" s="332">
        <f t="shared" si="49"/>
        <v>-116.17625350662051</v>
      </c>
      <c r="W81" s="334">
        <f t="shared" si="50"/>
        <v>63.823746493379488</v>
      </c>
      <c r="Y81" s="307">
        <f t="shared" si="51"/>
        <v>1000000000</v>
      </c>
      <c r="Z81" s="307">
        <f t="shared" si="52"/>
        <v>275425.53609999997</v>
      </c>
      <c r="AB81" s="333">
        <f t="shared" si="53"/>
        <v>40.92633014277596</v>
      </c>
      <c r="AC81" s="334">
        <f t="shared" si="54"/>
        <v>-82.417758436016612</v>
      </c>
      <c r="AE81" s="333">
        <f t="shared" si="55"/>
        <v>66.446813478140371</v>
      </c>
      <c r="AF81" s="334">
        <f t="shared" si="56"/>
        <v>-33.851672372030535</v>
      </c>
      <c r="AH81">
        <f t="shared" si="57"/>
        <v>0</v>
      </c>
      <c r="AI81">
        <f t="shared" si="58"/>
        <v>0</v>
      </c>
    </row>
    <row r="82" spans="1:35" x14ac:dyDescent="0.2">
      <c r="A82" s="335">
        <v>575.44000000000005</v>
      </c>
      <c r="B82" s="352">
        <f t="shared" si="59"/>
        <v>0.57544000000000006</v>
      </c>
      <c r="C82" s="325">
        <f t="shared" si="31"/>
        <v>1.2380436056265456</v>
      </c>
      <c r="D82" s="326">
        <f t="shared" si="32"/>
        <v>0.63051160629969139</v>
      </c>
      <c r="E82" s="326">
        <f t="shared" si="33"/>
        <v>1.0000002614506762</v>
      </c>
      <c r="F82" s="327">
        <f t="shared" si="34"/>
        <v>7.2311910376641542E-4</v>
      </c>
      <c r="G82" s="326">
        <f t="shared" si="35"/>
        <v>1</v>
      </c>
      <c r="H82" s="327">
        <f t="shared" si="36"/>
        <v>0</v>
      </c>
      <c r="I82" s="325">
        <f t="shared" si="37"/>
        <v>763.76251152401778</v>
      </c>
      <c r="J82" s="328">
        <f t="shared" si="38"/>
        <v>1.5694870189005889</v>
      </c>
      <c r="K82" s="336">
        <f t="shared" si="39"/>
        <v>1.0108853842194174</v>
      </c>
      <c r="L82" s="337">
        <f t="shared" si="40"/>
        <v>0.14688464745756824</v>
      </c>
      <c r="M82" s="325">
        <f t="shared" si="41"/>
        <v>1.0000062454796175</v>
      </c>
      <c r="N82" s="337">
        <f t="shared" si="42"/>
        <v>3.5342459202850076E-3</v>
      </c>
      <c r="O82" s="343">
        <f t="shared" si="43"/>
        <v>1.0000055906439036</v>
      </c>
      <c r="P82" s="691">
        <f t="shared" si="44"/>
        <v>3.3438354796774517E-3</v>
      </c>
      <c r="Q82" s="336">
        <f t="shared" si="60"/>
        <v>15.124311677288741</v>
      </c>
      <c r="R82" s="692">
        <f t="shared" si="45"/>
        <v>1.5606973775875767E-3</v>
      </c>
      <c r="S82" s="329">
        <f t="shared" si="46"/>
        <v>0.99999896703095259</v>
      </c>
      <c r="T82" s="330">
        <f t="shared" si="47"/>
        <v>4.5661551884219748E-3</v>
      </c>
      <c r="U82" s="331">
        <f t="shared" si="48"/>
        <v>48.754322859060871</v>
      </c>
      <c r="V82" s="332">
        <f t="shared" si="49"/>
        <v>-117.9552867543796</v>
      </c>
      <c r="W82" s="334">
        <f t="shared" si="50"/>
        <v>62.0447132456204</v>
      </c>
      <c r="Y82" s="307">
        <f t="shared" si="51"/>
        <v>1000000000</v>
      </c>
      <c r="Z82" s="307">
        <f t="shared" si="52"/>
        <v>331131.19360000006</v>
      </c>
      <c r="AB82" s="333">
        <f t="shared" si="53"/>
        <v>40.142041747528452</v>
      </c>
      <c r="AC82" s="334">
        <f t="shared" si="54"/>
        <v>-81.711609277350135</v>
      </c>
      <c r="AE82" s="333">
        <f t="shared" si="55"/>
        <v>66.185145010541106</v>
      </c>
      <c r="AF82" s="334">
        <f t="shared" si="56"/>
        <v>-36.345843764684908</v>
      </c>
      <c r="AH82">
        <f t="shared" si="57"/>
        <v>0</v>
      </c>
      <c r="AI82">
        <f t="shared" si="58"/>
        <v>0</v>
      </c>
    </row>
    <row r="83" spans="1:35" x14ac:dyDescent="0.2">
      <c r="A83" s="335">
        <v>630.96</v>
      </c>
      <c r="B83" s="352">
        <f t="shared" si="59"/>
        <v>0.63096000000000008</v>
      </c>
      <c r="C83" s="325">
        <f t="shared" si="31"/>
        <v>1.280825513984001</v>
      </c>
      <c r="D83" s="326">
        <f t="shared" si="32"/>
        <v>0.67493675533521469</v>
      </c>
      <c r="E83" s="326">
        <f t="shared" si="33"/>
        <v>1.0000003143354184</v>
      </c>
      <c r="F83" s="327">
        <f t="shared" si="34"/>
        <v>7.9288755322250799E-4</v>
      </c>
      <c r="G83" s="326">
        <f t="shared" si="35"/>
        <v>1</v>
      </c>
      <c r="H83" s="327">
        <f t="shared" si="36"/>
        <v>0</v>
      </c>
      <c r="I83" s="325">
        <f t="shared" si="37"/>
        <v>837.45225353930698</v>
      </c>
      <c r="J83" s="328">
        <f t="shared" si="38"/>
        <v>1.569602228584021</v>
      </c>
      <c r="K83" s="336">
        <f t="shared" si="39"/>
        <v>1.0130729957016826</v>
      </c>
      <c r="L83" s="337">
        <f t="shared" si="40"/>
        <v>0.16082379958672874</v>
      </c>
      <c r="M83" s="325">
        <f t="shared" si="41"/>
        <v>1.000007508774847</v>
      </c>
      <c r="N83" s="337">
        <f t="shared" si="42"/>
        <v>3.875236215420368E-3</v>
      </c>
      <c r="O83" s="343">
        <f t="shared" si="43"/>
        <v>1.0000067214836448</v>
      </c>
      <c r="P83" s="691">
        <f t="shared" si="44"/>
        <v>3.6664549626048686E-3</v>
      </c>
      <c r="Q83" s="336">
        <f t="shared" si="60"/>
        <v>15.124315296373366</v>
      </c>
      <c r="R83" s="692">
        <f t="shared" si="45"/>
        <v>1.7112773922355257E-3</v>
      </c>
      <c r="S83" s="329">
        <f t="shared" si="46"/>
        <v>0.99999875810370253</v>
      </c>
      <c r="T83" s="330">
        <f t="shared" si="47"/>
        <v>5.0067146961124383E-3</v>
      </c>
      <c r="U83" s="331">
        <f t="shared" si="48"/>
        <v>47.677983404921719</v>
      </c>
      <c r="V83" s="332">
        <f t="shared" si="49"/>
        <v>-119.73953167406367</v>
      </c>
      <c r="W83" s="334">
        <f t="shared" si="50"/>
        <v>60.26046832593633</v>
      </c>
      <c r="Y83" s="307">
        <f t="shared" si="51"/>
        <v>1000000000</v>
      </c>
      <c r="Z83" s="307">
        <f t="shared" si="52"/>
        <v>398110.52160000004</v>
      </c>
      <c r="AB83" s="333">
        <f t="shared" si="53"/>
        <v>39.360772849683848</v>
      </c>
      <c r="AC83" s="334">
        <f t="shared" si="54"/>
        <v>-80.939093022861584</v>
      </c>
      <c r="AE83" s="333">
        <f t="shared" si="55"/>
        <v>65.890066710397292</v>
      </c>
      <c r="AF83" s="334">
        <f t="shared" si="56"/>
        <v>-38.912462074310881</v>
      </c>
      <c r="AH83">
        <f t="shared" si="57"/>
        <v>0</v>
      </c>
      <c r="AI83">
        <f t="shared" si="58"/>
        <v>0</v>
      </c>
    </row>
    <row r="84" spans="1:35" x14ac:dyDescent="0.2">
      <c r="A84" s="335">
        <v>691.83</v>
      </c>
      <c r="B84" s="352">
        <f t="shared" si="59"/>
        <v>0.69183000000000006</v>
      </c>
      <c r="C84" s="325">
        <f t="shared" si="31"/>
        <v>1.3304354758636832</v>
      </c>
      <c r="D84" s="326">
        <f t="shared" si="32"/>
        <v>0.72026101344067572</v>
      </c>
      <c r="E84" s="326">
        <f t="shared" si="33"/>
        <v>1.0000003779100402</v>
      </c>
      <c r="F84" s="327">
        <f t="shared" si="34"/>
        <v>8.6937899818843466E-4</v>
      </c>
      <c r="G84" s="326">
        <f t="shared" si="35"/>
        <v>1</v>
      </c>
      <c r="H84" s="327">
        <f t="shared" si="36"/>
        <v>0</v>
      </c>
      <c r="I84" s="325">
        <f t="shared" si="37"/>
        <v>918.24287289036135</v>
      </c>
      <c r="J84" s="328">
        <f t="shared" si="38"/>
        <v>1.5697072900844682</v>
      </c>
      <c r="K84" s="336">
        <f t="shared" si="39"/>
        <v>1.0156965645802924</v>
      </c>
      <c r="L84" s="337">
        <f t="shared" si="40"/>
        <v>0.17603385574653982</v>
      </c>
      <c r="M84" s="325">
        <f t="shared" si="41"/>
        <v>1.0000090274247651</v>
      </c>
      <c r="N84" s="337">
        <f t="shared" si="42"/>
        <v>4.2490838667962397E-3</v>
      </c>
      <c r="O84" s="343">
        <f t="shared" si="43"/>
        <v>1.0000080809045389</v>
      </c>
      <c r="P84" s="691">
        <f t="shared" si="44"/>
        <v>4.0201617185782468E-3</v>
      </c>
      <c r="Q84" s="336">
        <f t="shared" si="60"/>
        <v>15.124319647002292</v>
      </c>
      <c r="R84" s="692">
        <f t="shared" si="45"/>
        <v>1.8763674631947318E-3</v>
      </c>
      <c r="S84" s="329">
        <f t="shared" si="46"/>
        <v>0.99999850695189241</v>
      </c>
      <c r="T84" s="330">
        <f t="shared" si="47"/>
        <v>5.489728707089035E-3</v>
      </c>
      <c r="U84" s="331">
        <f t="shared" si="48"/>
        <v>46.57042000207251</v>
      </c>
      <c r="V84" s="332">
        <f t="shared" si="49"/>
        <v>-121.50487291145308</v>
      </c>
      <c r="W84" s="334">
        <f t="shared" si="50"/>
        <v>58.495127088546923</v>
      </c>
      <c r="Y84" s="307">
        <f t="shared" si="51"/>
        <v>1000000000</v>
      </c>
      <c r="Z84" s="307">
        <f t="shared" si="52"/>
        <v>478628.74890000006</v>
      </c>
      <c r="AB84" s="333">
        <f t="shared" si="53"/>
        <v>38.583274336833455</v>
      </c>
      <c r="AC84" s="334">
        <f t="shared" si="54"/>
        <v>-80.09506047095266</v>
      </c>
      <c r="AE84" s="333">
        <f t="shared" si="55"/>
        <v>65.559992511270508</v>
      </c>
      <c r="AF84" s="334">
        <f t="shared" si="56"/>
        <v>-41.53264280361865</v>
      </c>
      <c r="AH84">
        <f t="shared" si="57"/>
        <v>0</v>
      </c>
      <c r="AI84">
        <f t="shared" si="58"/>
        <v>0</v>
      </c>
    </row>
    <row r="85" spans="1:35" x14ac:dyDescent="0.2">
      <c r="A85" s="335">
        <v>758.58</v>
      </c>
      <c r="B85" s="352">
        <f t="shared" si="59"/>
        <v>0.75858000000000003</v>
      </c>
      <c r="C85" s="325">
        <f t="shared" si="31"/>
        <v>1.3877400806894993</v>
      </c>
      <c r="D85" s="326">
        <f t="shared" si="32"/>
        <v>0.7661347523411246</v>
      </c>
      <c r="E85" s="326">
        <f t="shared" si="33"/>
        <v>1.0000004543519636</v>
      </c>
      <c r="F85" s="327">
        <f t="shared" si="34"/>
        <v>9.5325945223126852E-4</v>
      </c>
      <c r="G85" s="326">
        <f t="shared" si="35"/>
        <v>1</v>
      </c>
      <c r="H85" s="327">
        <f t="shared" si="36"/>
        <v>0</v>
      </c>
      <c r="I85" s="325">
        <f t="shared" si="37"/>
        <v>1006.8378200168243</v>
      </c>
      <c r="J85" s="328">
        <f t="shared" si="38"/>
        <v>1.5698031180133731</v>
      </c>
      <c r="K85" s="336">
        <f t="shared" si="39"/>
        <v>1.0188421904967073</v>
      </c>
      <c r="L85" s="337">
        <f t="shared" si="40"/>
        <v>0.19261886691782767</v>
      </c>
      <c r="M85" s="325">
        <f t="shared" si="41"/>
        <v>1.0000108534416761</v>
      </c>
      <c r="N85" s="337">
        <f t="shared" si="42"/>
        <v>4.6590435741076311E-3</v>
      </c>
      <c r="O85" s="343">
        <f t="shared" si="43"/>
        <v>1.0000097154655712</v>
      </c>
      <c r="P85" s="691">
        <f t="shared" si="44"/>
        <v>4.4080351434824683E-3</v>
      </c>
      <c r="Q85" s="336">
        <f t="shared" si="60"/>
        <v>15.124324878183399</v>
      </c>
      <c r="R85" s="692">
        <f t="shared" si="45"/>
        <v>2.0574050082542111E-3</v>
      </c>
      <c r="S85" s="329">
        <f t="shared" si="46"/>
        <v>0.9999982049779268</v>
      </c>
      <c r="T85" s="330">
        <f t="shared" si="47"/>
        <v>6.0194034535571029E-3</v>
      </c>
      <c r="U85" s="331">
        <f t="shared" si="48"/>
        <v>45.430951979656633</v>
      </c>
      <c r="V85" s="332">
        <f t="shared" si="49"/>
        <v>-123.22566420501317</v>
      </c>
      <c r="W85" s="334">
        <f t="shared" si="50"/>
        <v>56.774335794986825</v>
      </c>
      <c r="Y85" s="307">
        <f t="shared" si="51"/>
        <v>1000000000</v>
      </c>
      <c r="Z85" s="307">
        <f t="shared" si="52"/>
        <v>575443.61640000006</v>
      </c>
      <c r="AB85" s="333">
        <f t="shared" si="53"/>
        <v>37.810078134199408</v>
      </c>
      <c r="AC85" s="334">
        <f t="shared" si="54"/>
        <v>-79.173788823492927</v>
      </c>
      <c r="AE85" s="333">
        <f t="shared" si="55"/>
        <v>65.193709498262606</v>
      </c>
      <c r="AF85" s="334">
        <f t="shared" si="56"/>
        <v>-44.186556567619</v>
      </c>
      <c r="AH85">
        <f t="shared" si="57"/>
        <v>0</v>
      </c>
      <c r="AI85">
        <f t="shared" si="58"/>
        <v>0</v>
      </c>
    </row>
    <row r="86" spans="1:35" x14ac:dyDescent="0.2">
      <c r="A86" s="335">
        <v>831.76</v>
      </c>
      <c r="B86" s="352">
        <f t="shared" si="59"/>
        <v>0.83175999999999994</v>
      </c>
      <c r="C86" s="325">
        <f t="shared" si="31"/>
        <v>1.4536389830266276</v>
      </c>
      <c r="D86" s="326">
        <f t="shared" si="32"/>
        <v>0.81216502745061592</v>
      </c>
      <c r="E86" s="326">
        <f t="shared" si="33"/>
        <v>1.0000005462427359</v>
      </c>
      <c r="F86" s="327">
        <f t="shared" si="34"/>
        <v>1.0452200603963634E-3</v>
      </c>
      <c r="G86" s="326">
        <f t="shared" si="35"/>
        <v>1</v>
      </c>
      <c r="H86" s="327">
        <f t="shared" si="36"/>
        <v>0</v>
      </c>
      <c r="I86" s="325">
        <f t="shared" si="37"/>
        <v>1103.9670907374123</v>
      </c>
      <c r="J86" s="328">
        <f t="shared" si="38"/>
        <v>1.5698905025677587</v>
      </c>
      <c r="K86" s="336">
        <f t="shared" si="39"/>
        <v>1.0226107380767286</v>
      </c>
      <c r="L86" s="337">
        <f t="shared" si="40"/>
        <v>0.21067872098814128</v>
      </c>
      <c r="M86" s="325">
        <f t="shared" si="41"/>
        <v>1.0000130484908523</v>
      </c>
      <c r="N86" s="337">
        <f t="shared" si="42"/>
        <v>5.1084927264208532E-3</v>
      </c>
      <c r="O86" s="343">
        <f t="shared" si="43"/>
        <v>1.0000116803666523</v>
      </c>
      <c r="P86" s="691">
        <f t="shared" si="44"/>
        <v>4.8332707271557512E-3</v>
      </c>
      <c r="Q86" s="336">
        <f t="shared" si="60"/>
        <v>15.124331166579982</v>
      </c>
      <c r="R86" s="692">
        <f t="shared" si="45"/>
        <v>2.2558816767119234E-3</v>
      </c>
      <c r="S86" s="329">
        <f t="shared" si="46"/>
        <v>0.99999784198997743</v>
      </c>
      <c r="T86" s="330">
        <f t="shared" si="47"/>
        <v>6.6001040745955067E-3</v>
      </c>
      <c r="U86" s="331">
        <f t="shared" si="48"/>
        <v>44.260118157678193</v>
      </c>
      <c r="V86" s="332">
        <f t="shared" si="49"/>
        <v>-124.87402000054772</v>
      </c>
      <c r="W86" s="334">
        <f t="shared" si="50"/>
        <v>55.125979999452284</v>
      </c>
      <c r="Y86" s="307">
        <f t="shared" si="51"/>
        <v>1000000000</v>
      </c>
      <c r="Z86" s="307">
        <f t="shared" si="52"/>
        <v>691824.69759999996</v>
      </c>
      <c r="AB86" s="333">
        <f t="shared" si="53"/>
        <v>37.042195494064067</v>
      </c>
      <c r="AC86" s="334">
        <f t="shared" si="54"/>
        <v>-78.169793711188774</v>
      </c>
      <c r="AE86" s="333">
        <f t="shared" si="55"/>
        <v>64.790744861109332</v>
      </c>
      <c r="AF86" s="334">
        <f t="shared" si="56"/>
        <v>-46.851899804281345</v>
      </c>
      <c r="AH86">
        <f t="shared" si="57"/>
        <v>0</v>
      </c>
      <c r="AI86">
        <f t="shared" si="58"/>
        <v>0</v>
      </c>
    </row>
    <row r="87" spans="1:35" x14ac:dyDescent="0.2">
      <c r="A87" s="335">
        <v>912.01</v>
      </c>
      <c r="B87" s="352">
        <f t="shared" si="59"/>
        <v>0.91200999999999999</v>
      </c>
      <c r="C87" s="325">
        <f t="shared" si="31"/>
        <v>1.5291205605577576</v>
      </c>
      <c r="D87" s="326">
        <f t="shared" si="32"/>
        <v>0.85797511760311895</v>
      </c>
      <c r="E87" s="326">
        <f t="shared" si="33"/>
        <v>1.000000656732924</v>
      </c>
      <c r="F87" s="327">
        <f t="shared" si="34"/>
        <v>1.1460650633181709E-3</v>
      </c>
      <c r="G87" s="326">
        <f t="shared" si="35"/>
        <v>1</v>
      </c>
      <c r="H87" s="327">
        <f t="shared" si="36"/>
        <v>0</v>
      </c>
      <c r="I87" s="325">
        <f t="shared" si="37"/>
        <v>1210.4801348095982</v>
      </c>
      <c r="J87" s="328">
        <f t="shared" si="38"/>
        <v>1.5699702082283968</v>
      </c>
      <c r="K87" s="336">
        <f t="shared" si="39"/>
        <v>1.0271237618126583</v>
      </c>
      <c r="L87" s="337">
        <f t="shared" si="40"/>
        <v>0.2303238707431709</v>
      </c>
      <c r="M87" s="325">
        <f t="shared" si="41"/>
        <v>1.0000156878291515</v>
      </c>
      <c r="N87" s="337">
        <f t="shared" si="42"/>
        <v>5.601361274572181E-3</v>
      </c>
      <c r="O87" s="343">
        <f t="shared" si="43"/>
        <v>1.0000140429743098</v>
      </c>
      <c r="P87" s="691">
        <f t="shared" si="44"/>
        <v>5.2995867714745876E-3</v>
      </c>
      <c r="Q87" s="336">
        <f t="shared" si="60"/>
        <v>15.124338727794848</v>
      </c>
      <c r="R87" s="692">
        <f t="shared" si="45"/>
        <v>2.4735331975344883E-3</v>
      </c>
      <c r="S87" s="329">
        <f t="shared" si="46"/>
        <v>0.99999740555166361</v>
      </c>
      <c r="T87" s="330">
        <f t="shared" si="47"/>
        <v>7.2369101473078769E-3</v>
      </c>
      <c r="U87" s="331">
        <f t="shared" si="48"/>
        <v>43.058630594027449</v>
      </c>
      <c r="V87" s="332">
        <f t="shared" si="49"/>
        <v>-126.4224276234966</v>
      </c>
      <c r="W87" s="334">
        <f t="shared" si="50"/>
        <v>53.577572376503397</v>
      </c>
      <c r="Y87" s="307">
        <f t="shared" si="51"/>
        <v>1000000000</v>
      </c>
      <c r="Z87" s="307">
        <f t="shared" si="52"/>
        <v>831762.24009999994</v>
      </c>
      <c r="AB87" s="333">
        <f t="shared" si="53"/>
        <v>36.280390335250615</v>
      </c>
      <c r="AC87" s="334">
        <f t="shared" si="54"/>
        <v>-77.07701562669611</v>
      </c>
      <c r="AE87" s="333">
        <f t="shared" si="55"/>
        <v>64.351046277584331</v>
      </c>
      <c r="AF87" s="334">
        <f t="shared" si="56"/>
        <v>-49.507332939450166</v>
      </c>
      <c r="AH87">
        <f t="shared" si="57"/>
        <v>0</v>
      </c>
      <c r="AI87">
        <f t="shared" si="58"/>
        <v>0</v>
      </c>
    </row>
    <row r="88" spans="1:35" x14ac:dyDescent="0.2">
      <c r="A88" s="335">
        <v>1000</v>
      </c>
      <c r="B88" s="352">
        <f t="shared" si="59"/>
        <v>1</v>
      </c>
      <c r="C88" s="325">
        <f t="shared" si="31"/>
        <v>1.6152042831280766</v>
      </c>
      <c r="D88" s="326">
        <f t="shared" si="32"/>
        <v>0.90317887461040369</v>
      </c>
      <c r="E88" s="326">
        <f t="shared" si="33"/>
        <v>1.0000007895680385</v>
      </c>
      <c r="F88" s="327">
        <f t="shared" si="34"/>
        <v>1.2566363985333933E-3</v>
      </c>
      <c r="G88" s="326">
        <f t="shared" si="35"/>
        <v>1</v>
      </c>
      <c r="H88" s="327">
        <f t="shared" si="36"/>
        <v>0</v>
      </c>
      <c r="I88" s="325">
        <f t="shared" si="37"/>
        <v>1327.2662200167056</v>
      </c>
      <c r="J88" s="328">
        <f t="shared" si="38"/>
        <v>1.5700428983722277</v>
      </c>
      <c r="K88" s="336">
        <f t="shared" si="39"/>
        <v>1.0325233624883468</v>
      </c>
      <c r="L88" s="337">
        <f t="shared" si="40"/>
        <v>0.25165722227344905</v>
      </c>
      <c r="M88" s="325">
        <f t="shared" si="41"/>
        <v>1.0000188609238383</v>
      </c>
      <c r="N88" s="337">
        <f t="shared" si="42"/>
        <v>6.141763166670337E-3</v>
      </c>
      <c r="O88" s="343">
        <f t="shared" si="43"/>
        <v>1.0000168833756682</v>
      </c>
      <c r="P88" s="691">
        <f t="shared" si="44"/>
        <v>5.810875688090673E-3</v>
      </c>
      <c r="Q88" s="336">
        <f t="shared" si="60"/>
        <v>15.124347818144223</v>
      </c>
      <c r="R88" s="692">
        <f t="shared" si="45"/>
        <v>2.7121766439196274E-3</v>
      </c>
      <c r="S88" s="329">
        <f t="shared" si="46"/>
        <v>0.99999688088119387</v>
      </c>
      <c r="T88" s="330">
        <f t="shared" si="47"/>
        <v>7.9351396605693014E-3</v>
      </c>
      <c r="U88" s="331">
        <f t="shared" si="48"/>
        <v>41.828448317403392</v>
      </c>
      <c r="V88" s="332">
        <f t="shared" si="49"/>
        <v>-127.84327759898123</v>
      </c>
      <c r="W88" s="334">
        <f t="shared" si="50"/>
        <v>52.156722401018769</v>
      </c>
      <c r="Y88" s="307">
        <f t="shared" si="51"/>
        <v>1000000000</v>
      </c>
      <c r="Z88" s="307">
        <f t="shared" si="52"/>
        <v>1000000</v>
      </c>
      <c r="AB88" s="333">
        <f t="shared" si="53"/>
        <v>35.525897491301855</v>
      </c>
      <c r="AC88" s="334">
        <f t="shared" si="54"/>
        <v>-75.889832205897463</v>
      </c>
      <c r="AE88" s="333">
        <f t="shared" si="55"/>
        <v>63.87533739445302</v>
      </c>
      <c r="AF88" s="334">
        <f t="shared" si="56"/>
        <v>-52.130987770498869</v>
      </c>
      <c r="AH88">
        <f t="shared" si="57"/>
        <v>0</v>
      </c>
      <c r="AI88">
        <f t="shared" si="58"/>
        <v>0</v>
      </c>
    </row>
    <row r="89" spans="1:35" x14ac:dyDescent="0.2">
      <c r="A89" s="335">
        <v>1096.5</v>
      </c>
      <c r="B89" s="352">
        <f t="shared" si="59"/>
        <v>1.0965</v>
      </c>
      <c r="C89" s="325">
        <f t="shared" si="31"/>
        <v>1.7130037932057871</v>
      </c>
      <c r="D89" s="326">
        <f t="shared" si="32"/>
        <v>0.94743218618751079</v>
      </c>
      <c r="E89" s="326">
        <f t="shared" si="33"/>
        <v>1.0000009493072493</v>
      </c>
      <c r="F89" s="327">
        <f t="shared" si="34"/>
        <v>1.3779016642553354E-3</v>
      </c>
      <c r="G89" s="326">
        <f t="shared" si="35"/>
        <v>1</v>
      </c>
      <c r="H89" s="327">
        <f t="shared" si="36"/>
        <v>0</v>
      </c>
      <c r="I89" s="325">
        <f t="shared" si="37"/>
        <v>1455.3473407418023</v>
      </c>
      <c r="J89" s="328">
        <f t="shared" si="38"/>
        <v>1.5701092055485146</v>
      </c>
      <c r="K89" s="336">
        <f t="shared" si="39"/>
        <v>1.038979423770046</v>
      </c>
      <c r="L89" s="337">
        <f t="shared" si="40"/>
        <v>0.2747871724533073</v>
      </c>
      <c r="M89" s="325">
        <f t="shared" si="41"/>
        <v>1.0000226766765132</v>
      </c>
      <c r="N89" s="337">
        <f t="shared" si="42"/>
        <v>6.7344261812233392E-3</v>
      </c>
      <c r="O89" s="343">
        <f t="shared" si="43"/>
        <v>1.0000202990547198</v>
      </c>
      <c r="P89" s="691">
        <f t="shared" si="44"/>
        <v>6.3716106832546185E-3</v>
      </c>
      <c r="Q89" s="336">
        <f t="shared" si="60"/>
        <v>15.12435874962488</v>
      </c>
      <c r="R89" s="692">
        <f t="shared" si="45"/>
        <v>2.9739002782186788E-3</v>
      </c>
      <c r="S89" s="329">
        <f t="shared" si="46"/>
        <v>0.99999624998968506</v>
      </c>
      <c r="T89" s="330">
        <f t="shared" si="47"/>
        <v>8.7009046011171775E-3</v>
      </c>
      <c r="U89" s="331">
        <f t="shared" si="48"/>
        <v>40.571796979351326</v>
      </c>
      <c r="V89" s="332">
        <f t="shared" si="49"/>
        <v>-129.11110829064299</v>
      </c>
      <c r="W89" s="334">
        <f t="shared" si="50"/>
        <v>50.888891709357011</v>
      </c>
      <c r="Y89" s="307">
        <f t="shared" si="51"/>
        <v>1000000000</v>
      </c>
      <c r="Z89" s="307">
        <f t="shared" si="52"/>
        <v>1202312.25</v>
      </c>
      <c r="AB89" s="333">
        <f t="shared" si="53"/>
        <v>34.779833237578558</v>
      </c>
      <c r="AC89" s="334">
        <f t="shared" si="54"/>
        <v>-74.60233988953263</v>
      </c>
      <c r="AE89" s="333">
        <f t="shared" si="55"/>
        <v>63.36472692039473</v>
      </c>
      <c r="AF89" s="334">
        <f t="shared" si="56"/>
        <v>-54.703442867549057</v>
      </c>
      <c r="AH89">
        <f t="shared" si="57"/>
        <v>0</v>
      </c>
      <c r="AI89">
        <f t="shared" si="58"/>
        <v>0</v>
      </c>
    </row>
    <row r="90" spans="1:35" x14ac:dyDescent="0.2">
      <c r="A90" s="335">
        <v>1202.3</v>
      </c>
      <c r="B90" s="352">
        <f t="shared" si="59"/>
        <v>1.2022999999999999</v>
      </c>
      <c r="C90" s="325">
        <f t="shared" si="31"/>
        <v>1.8236457378823943</v>
      </c>
      <c r="D90" s="326">
        <f t="shared" si="32"/>
        <v>0.99040393408705418</v>
      </c>
      <c r="E90" s="326">
        <f t="shared" si="33"/>
        <v>1.0000011413403671</v>
      </c>
      <c r="F90" s="327">
        <f t="shared" si="34"/>
        <v>1.5108535876392514E-3</v>
      </c>
      <c r="G90" s="326">
        <f t="shared" si="35"/>
        <v>1</v>
      </c>
      <c r="H90" s="327">
        <f t="shared" si="36"/>
        <v>0</v>
      </c>
      <c r="I90" s="325">
        <f t="shared" si="37"/>
        <v>1595.7720367305601</v>
      </c>
      <c r="J90" s="328">
        <f t="shared" si="38"/>
        <v>1.5701696708299893</v>
      </c>
      <c r="K90" s="336">
        <f t="shared" si="39"/>
        <v>1.0466879754642391</v>
      </c>
      <c r="L90" s="337">
        <f t="shared" si="40"/>
        <v>0.29980342644610286</v>
      </c>
      <c r="M90" s="325">
        <f t="shared" si="41"/>
        <v>1.0000272638278545</v>
      </c>
      <c r="N90" s="337">
        <f t="shared" si="42"/>
        <v>7.384200490052833E-3</v>
      </c>
      <c r="O90" s="343">
        <f t="shared" si="43"/>
        <v>1.0000244052547229</v>
      </c>
      <c r="P90" s="691">
        <f t="shared" si="44"/>
        <v>6.9863808064263141E-3</v>
      </c>
      <c r="Q90" s="336">
        <f t="shared" si="60"/>
        <v>15.124371891075924</v>
      </c>
      <c r="R90" s="692">
        <f t="shared" si="45"/>
        <v>3.2608465698890201E-3</v>
      </c>
      <c r="S90" s="329">
        <f t="shared" si="46"/>
        <v>0.99999549161729484</v>
      </c>
      <c r="T90" s="330">
        <f t="shared" si="47"/>
        <v>9.540476276724108E-3</v>
      </c>
      <c r="U90" s="331">
        <f t="shared" si="48"/>
        <v>39.292272370498964</v>
      </c>
      <c r="V90" s="332">
        <f t="shared" si="49"/>
        <v>-130.20227945034097</v>
      </c>
      <c r="W90" s="334">
        <f t="shared" si="50"/>
        <v>49.797720549659033</v>
      </c>
      <c r="Y90" s="307">
        <f t="shared" si="51"/>
        <v>1000000000</v>
      </c>
      <c r="Z90" s="307">
        <f t="shared" si="52"/>
        <v>1445525.2899999998</v>
      </c>
      <c r="AB90" s="333">
        <f t="shared" si="53"/>
        <v>34.04391528195341</v>
      </c>
      <c r="AC90" s="334">
        <f t="shared" si="54"/>
        <v>-73.209707845894357</v>
      </c>
      <c r="AE90" s="333">
        <f t="shared" si="55"/>
        <v>62.821092149071006</v>
      </c>
      <c r="AF90" s="334">
        <f t="shared" si="56"/>
        <v>-57.206028992875638</v>
      </c>
      <c r="AH90">
        <f t="shared" si="57"/>
        <v>0</v>
      </c>
      <c r="AI90">
        <f t="shared" ref="AI90:AI153" si="61">IF(AH90&gt;0,W90,0)</f>
        <v>0</v>
      </c>
    </row>
    <row r="91" spans="1:35" x14ac:dyDescent="0.2">
      <c r="A91" s="335">
        <v>1318.3</v>
      </c>
      <c r="B91" s="352">
        <f t="shared" si="59"/>
        <v>1.3183</v>
      </c>
      <c r="C91" s="325">
        <f t="shared" si="31"/>
        <v>1.9483595619661958</v>
      </c>
      <c r="D91" s="326">
        <f t="shared" si="32"/>
        <v>1.0318263182857346</v>
      </c>
      <c r="E91" s="326">
        <f t="shared" si="33"/>
        <v>1.0000013722016512</v>
      </c>
      <c r="F91" s="327">
        <f t="shared" si="34"/>
        <v>1.6566231207174151E-3</v>
      </c>
      <c r="G91" s="326">
        <f t="shared" si="35"/>
        <v>1</v>
      </c>
      <c r="H91" s="327">
        <f t="shared" si="36"/>
        <v>0</v>
      </c>
      <c r="I91" s="325">
        <f t="shared" si="37"/>
        <v>1749.7348469832607</v>
      </c>
      <c r="J91" s="328">
        <f t="shared" si="38"/>
        <v>1.5702248115986586</v>
      </c>
      <c r="K91" s="336">
        <f t="shared" si="39"/>
        <v>1.0558806677673958</v>
      </c>
      <c r="L91" s="337">
        <f t="shared" si="40"/>
        <v>0.32679288273420815</v>
      </c>
      <c r="M91" s="325">
        <f t="shared" si="41"/>
        <v>1.0000327784522824</v>
      </c>
      <c r="N91" s="337">
        <f t="shared" si="42"/>
        <v>8.0966112604837145E-3</v>
      </c>
      <c r="O91" s="343">
        <f t="shared" si="43"/>
        <v>1.0000293416871948</v>
      </c>
      <c r="P91" s="691">
        <f t="shared" si="44"/>
        <v>7.6604137965430794E-3</v>
      </c>
      <c r="Q91" s="336">
        <f t="shared" si="60"/>
        <v>15.124387689652929</v>
      </c>
      <c r="R91" s="692">
        <f t="shared" si="45"/>
        <v>3.5754562784918922E-3</v>
      </c>
      <c r="S91" s="329">
        <f t="shared" si="46"/>
        <v>0.99999457999847996</v>
      </c>
      <c r="T91" s="330">
        <f t="shared" si="47"/>
        <v>1.0460999697698771E-2</v>
      </c>
      <c r="U91" s="331">
        <f t="shared" si="48"/>
        <v>37.993619830363329</v>
      </c>
      <c r="V91" s="332">
        <f t="shared" si="49"/>
        <v>-131.09699946125346</v>
      </c>
      <c r="W91" s="334">
        <f t="shared" si="50"/>
        <v>48.903000538746539</v>
      </c>
      <c r="Y91" s="307">
        <f t="shared" si="51"/>
        <v>1000000000</v>
      </c>
      <c r="Z91" s="307">
        <f t="shared" si="52"/>
        <v>1737914.89</v>
      </c>
      <c r="AB91" s="333">
        <f t="shared" si="53"/>
        <v>33.319791640749642</v>
      </c>
      <c r="AC91" s="334">
        <f t="shared" si="54"/>
        <v>-71.707303371265567</v>
      </c>
      <c r="AE91" s="333">
        <f t="shared" si="55"/>
        <v>62.246529447062954</v>
      </c>
      <c r="AF91" s="334">
        <f t="shared" si="56"/>
        <v>-59.623746915529885</v>
      </c>
      <c r="AH91">
        <f t="shared" si="57"/>
        <v>0</v>
      </c>
      <c r="AI91">
        <f t="shared" si="61"/>
        <v>0</v>
      </c>
    </row>
    <row r="92" spans="1:35" x14ac:dyDescent="0.2">
      <c r="A92" s="335">
        <v>1445.4</v>
      </c>
      <c r="B92" s="352">
        <f t="shared" si="59"/>
        <v>1.4454</v>
      </c>
      <c r="C92" s="325">
        <f t="shared" si="31"/>
        <v>2.0883610731958413</v>
      </c>
      <c r="D92" s="326">
        <f t="shared" si="32"/>
        <v>1.0714584137860019</v>
      </c>
      <c r="E92" s="326">
        <f t="shared" si="33"/>
        <v>1.0000016495499615</v>
      </c>
      <c r="F92" s="327">
        <f t="shared" si="34"/>
        <v>1.8163412090937291E-3</v>
      </c>
      <c r="G92" s="326">
        <f t="shared" si="35"/>
        <v>1</v>
      </c>
      <c r="H92" s="327">
        <f t="shared" si="36"/>
        <v>0</v>
      </c>
      <c r="I92" s="325">
        <f t="shared" si="37"/>
        <v>1918.4303105391612</v>
      </c>
      <c r="J92" s="328">
        <f t="shared" si="38"/>
        <v>1.5702750672840395</v>
      </c>
      <c r="K92" s="336">
        <f t="shared" si="39"/>
        <v>1.0668196959337273</v>
      </c>
      <c r="L92" s="337">
        <f t="shared" si="40"/>
        <v>0.35580745124703689</v>
      </c>
      <c r="M92" s="325">
        <f t="shared" si="41"/>
        <v>1.000039403482023</v>
      </c>
      <c r="N92" s="337">
        <f t="shared" si="42"/>
        <v>8.877182909505758E-3</v>
      </c>
      <c r="O92" s="343">
        <f t="shared" si="43"/>
        <v>1.0000352721060612</v>
      </c>
      <c r="P92" s="691">
        <f t="shared" si="44"/>
        <v>8.398936757048418E-3</v>
      </c>
      <c r="Q92" s="336">
        <f t="shared" si="60"/>
        <v>15.124406669469041</v>
      </c>
      <c r="R92" s="692">
        <f t="shared" si="45"/>
        <v>3.9201701017393667E-3</v>
      </c>
      <c r="S92" s="329">
        <f t="shared" si="46"/>
        <v>0.99999348494692453</v>
      </c>
      <c r="T92" s="330">
        <f t="shared" si="47"/>
        <v>1.14696209240258E-2</v>
      </c>
      <c r="U92" s="331">
        <f t="shared" si="48"/>
        <v>36.680933182163272</v>
      </c>
      <c r="V92" s="332">
        <f t="shared" si="49"/>
        <v>-131.77901681256606</v>
      </c>
      <c r="W92" s="334">
        <f t="shared" si="50"/>
        <v>48.220983187433944</v>
      </c>
      <c r="Y92" s="307">
        <f t="shared" si="51"/>
        <v>1000000000</v>
      </c>
      <c r="Z92" s="307">
        <f t="shared" si="52"/>
        <v>2089181.1600000001</v>
      </c>
      <c r="AB92" s="333">
        <f t="shared" si="53"/>
        <v>32.609782106071414</v>
      </c>
      <c r="AC92" s="334">
        <f t="shared" si="54"/>
        <v>-70.092493949007519</v>
      </c>
      <c r="AE92" s="333">
        <f t="shared" si="55"/>
        <v>61.643811724285001</v>
      </c>
      <c r="AF92" s="334">
        <f t="shared" si="56"/>
        <v>-61.943137290624897</v>
      </c>
      <c r="AH92">
        <f t="shared" si="57"/>
        <v>0</v>
      </c>
      <c r="AI92">
        <f t="shared" si="61"/>
        <v>0</v>
      </c>
    </row>
    <row r="93" spans="1:35" x14ac:dyDescent="0.2">
      <c r="A93" s="335">
        <v>1584.9</v>
      </c>
      <c r="B93" s="352">
        <f t="shared" si="59"/>
        <v>1.5849000000000002</v>
      </c>
      <c r="C93" s="325">
        <f t="shared" si="31"/>
        <v>2.2452997144664821</v>
      </c>
      <c r="D93" s="326">
        <f t="shared" si="32"/>
        <v>1.1092034554386025</v>
      </c>
      <c r="E93" s="326">
        <f t="shared" si="33"/>
        <v>1.0000019833210967</v>
      </c>
      <c r="F93" s="327">
        <f t="shared" si="34"/>
        <v>1.991641443017847E-3</v>
      </c>
      <c r="G93" s="326">
        <f t="shared" si="35"/>
        <v>1</v>
      </c>
      <c r="H93" s="327">
        <f t="shared" si="36"/>
        <v>0</v>
      </c>
      <c r="I93" s="325">
        <f t="shared" si="37"/>
        <v>2103.583872739704</v>
      </c>
      <c r="J93" s="328">
        <f t="shared" si="38"/>
        <v>1.5703209475858129</v>
      </c>
      <c r="K93" s="336">
        <f t="shared" si="39"/>
        <v>1.0798372137443706</v>
      </c>
      <c r="L93" s="337">
        <f t="shared" si="40"/>
        <v>0.38694687517860621</v>
      </c>
      <c r="M93" s="325">
        <f t="shared" si="41"/>
        <v>1.000047376230198</v>
      </c>
      <c r="N93" s="337">
        <f t="shared" si="42"/>
        <v>9.7338954022514051E-3</v>
      </c>
      <c r="O93" s="343">
        <f t="shared" si="43"/>
        <v>1.000042408945325</v>
      </c>
      <c r="P93" s="691">
        <f t="shared" si="44"/>
        <v>9.2095001616366492E-3</v>
      </c>
      <c r="Q93" s="336">
        <f t="shared" si="60"/>
        <v>15.124429510451739</v>
      </c>
      <c r="R93" s="692">
        <f t="shared" si="45"/>
        <v>4.298513512619213E-3</v>
      </c>
      <c r="S93" s="329">
        <f t="shared" si="46"/>
        <v>0.99999216731557472</v>
      </c>
      <c r="T93" s="330">
        <f t="shared" si="47"/>
        <v>1.2576661690317457E-2</v>
      </c>
      <c r="U93" s="331">
        <f t="shared" si="48"/>
        <v>35.356621713372014</v>
      </c>
      <c r="V93" s="332">
        <f t="shared" si="49"/>
        <v>-132.23782600597235</v>
      </c>
      <c r="W93" s="334">
        <f t="shared" si="50"/>
        <v>47.762173994027648</v>
      </c>
      <c r="Y93" s="307">
        <f t="shared" si="51"/>
        <v>1000000000</v>
      </c>
      <c r="Z93" s="307">
        <f t="shared" si="52"/>
        <v>2511908.0100000002</v>
      </c>
      <c r="AB93" s="333">
        <f t="shared" si="53"/>
        <v>31.914782057678437</v>
      </c>
      <c r="AC93" s="334">
        <f t="shared" si="54"/>
        <v>-68.360051137025167</v>
      </c>
      <c r="AE93" s="333">
        <f t="shared" si="55"/>
        <v>61.014451433976348</v>
      </c>
      <c r="AF93" s="334">
        <f t="shared" si="56"/>
        <v>-64.159153677502502</v>
      </c>
      <c r="AH93">
        <f t="shared" si="57"/>
        <v>0</v>
      </c>
      <c r="AI93">
        <f t="shared" si="61"/>
        <v>0</v>
      </c>
    </row>
    <row r="94" spans="1:35" x14ac:dyDescent="0.2">
      <c r="A94" s="335">
        <v>1737.8</v>
      </c>
      <c r="B94" s="352">
        <f t="shared" si="59"/>
        <v>1.7378</v>
      </c>
      <c r="C94" s="325">
        <f t="shared" si="31"/>
        <v>2.4204854917310055</v>
      </c>
      <c r="D94" s="326">
        <f t="shared" si="32"/>
        <v>1.1448966471370874</v>
      </c>
      <c r="E94" s="326">
        <f t="shared" si="33"/>
        <v>1.0000023844531807</v>
      </c>
      <c r="F94" s="327">
        <f t="shared" si="34"/>
        <v>2.1837804114535103E-3</v>
      </c>
      <c r="G94" s="326">
        <f t="shared" si="35"/>
        <v>1</v>
      </c>
      <c r="H94" s="327">
        <f t="shared" si="36"/>
        <v>0</v>
      </c>
      <c r="I94" s="325">
        <f t="shared" si="37"/>
        <v>2306.52279926758</v>
      </c>
      <c r="J94" s="328">
        <f t="shared" si="38"/>
        <v>1.5703627737289372</v>
      </c>
      <c r="K94" s="336">
        <f t="shared" si="39"/>
        <v>1.0952772207201673</v>
      </c>
      <c r="L94" s="337">
        <f t="shared" si="40"/>
        <v>0.42019143850192042</v>
      </c>
      <c r="M94" s="325">
        <f t="shared" si="41"/>
        <v>1.0000569579401133</v>
      </c>
      <c r="N94" s="337">
        <f t="shared" si="42"/>
        <v>1.0672884965084978E-2</v>
      </c>
      <c r="O94" s="343">
        <f t="shared" si="43"/>
        <v>1.0000509860613906</v>
      </c>
      <c r="P94" s="691">
        <f t="shared" si="44"/>
        <v>1.0097910196628722E-2</v>
      </c>
      <c r="Q94" s="336">
        <f t="shared" si="60"/>
        <v>15.124456961115285</v>
      </c>
      <c r="R94" s="692">
        <f t="shared" si="45"/>
        <v>4.7131982313905535E-3</v>
      </c>
      <c r="S94" s="329">
        <f t="shared" si="46"/>
        <v>0.99999058404300123</v>
      </c>
      <c r="T94" s="330">
        <f t="shared" si="47"/>
        <v>1.3790064881849255E-2</v>
      </c>
      <c r="U94" s="331">
        <f t="shared" si="48"/>
        <v>34.027408125620234</v>
      </c>
      <c r="V94" s="332">
        <f t="shared" si="49"/>
        <v>-132.46569034664068</v>
      </c>
      <c r="W94" s="334">
        <f t="shared" si="50"/>
        <v>47.534309653359315</v>
      </c>
      <c r="Y94" s="307">
        <f t="shared" si="51"/>
        <v>1000000000</v>
      </c>
      <c r="Z94" s="307">
        <f t="shared" si="52"/>
        <v>3019948.84</v>
      </c>
      <c r="AB94" s="333">
        <f t="shared" si="53"/>
        <v>31.238055756162385</v>
      </c>
      <c r="AC94" s="334">
        <f t="shared" si="54"/>
        <v>-66.511474565163084</v>
      </c>
      <c r="AE94" s="333">
        <f t="shared" si="55"/>
        <v>60.361905416110162</v>
      </c>
      <c r="AF94" s="334">
        <f t="shared" si="56"/>
        <v>-66.262737051331882</v>
      </c>
      <c r="AH94">
        <f t="shared" si="57"/>
        <v>0</v>
      </c>
      <c r="AI94">
        <f t="shared" si="61"/>
        <v>0</v>
      </c>
    </row>
    <row r="95" spans="1:35" x14ac:dyDescent="0.2">
      <c r="A95" s="335">
        <v>1905.5</v>
      </c>
      <c r="B95" s="352">
        <f t="shared" si="59"/>
        <v>1.9055</v>
      </c>
      <c r="C95" s="325">
        <f t="shared" si="31"/>
        <v>2.6156736734329451</v>
      </c>
      <c r="D95" s="326">
        <f t="shared" si="32"/>
        <v>1.1785006676865752</v>
      </c>
      <c r="E95" s="326">
        <f t="shared" si="33"/>
        <v>1.0000028668634982</v>
      </c>
      <c r="F95" s="327">
        <f t="shared" si="34"/>
        <v>2.3945173413275301E-3</v>
      </c>
      <c r="G95" s="326">
        <f t="shared" si="35"/>
        <v>1</v>
      </c>
      <c r="H95" s="327">
        <f t="shared" si="36"/>
        <v>0</v>
      </c>
      <c r="I95" s="325">
        <f t="shared" si="37"/>
        <v>2529.1052621112517</v>
      </c>
      <c r="J95" s="328">
        <f t="shared" si="38"/>
        <v>1.5704009300350079</v>
      </c>
      <c r="K95" s="336">
        <f t="shared" si="39"/>
        <v>1.1135622152495213</v>
      </c>
      <c r="L95" s="337">
        <f t="shared" si="40"/>
        <v>0.45555048250514862</v>
      </c>
      <c r="M95" s="325">
        <f t="shared" si="41"/>
        <v>1.0000684809999074</v>
      </c>
      <c r="N95" s="337">
        <f t="shared" si="42"/>
        <v>1.1702742592766543E-2</v>
      </c>
      <c r="O95" s="343">
        <f t="shared" si="43"/>
        <v>1.0000613009980246</v>
      </c>
      <c r="P95" s="691">
        <f t="shared" si="44"/>
        <v>1.1072295758167122E-2</v>
      </c>
      <c r="Q95" s="336">
        <f t="shared" si="60"/>
        <v>15.124489973839134</v>
      </c>
      <c r="R95" s="692">
        <f t="shared" si="45"/>
        <v>5.168020689295681E-3</v>
      </c>
      <c r="S95" s="329">
        <f t="shared" si="46"/>
        <v>0.99998868036952493</v>
      </c>
      <c r="T95" s="330">
        <f t="shared" si="47"/>
        <v>1.5120950149499778E-2</v>
      </c>
      <c r="U95" s="331">
        <f t="shared" si="48"/>
        <v>32.697403401515913</v>
      </c>
      <c r="V95" s="332">
        <f t="shared" si="49"/>
        <v>-132.46073859980874</v>
      </c>
      <c r="W95" s="334">
        <f t="shared" si="50"/>
        <v>47.539261400191265</v>
      </c>
      <c r="Y95" s="307">
        <f t="shared" si="51"/>
        <v>1000000000</v>
      </c>
      <c r="Z95" s="307">
        <f t="shared" si="52"/>
        <v>3630930.25</v>
      </c>
      <c r="AB95" s="333">
        <f t="shared" si="53"/>
        <v>30.581581224609025</v>
      </c>
      <c r="AC95" s="334">
        <f t="shared" si="54"/>
        <v>-64.546743264780886</v>
      </c>
      <c r="AE95" s="333">
        <f t="shared" si="55"/>
        <v>59.688304593186743</v>
      </c>
      <c r="AF95" s="334">
        <f t="shared" si="56"/>
        <v>-68.252285377945014</v>
      </c>
      <c r="AH95">
        <f t="shared" si="57"/>
        <v>0</v>
      </c>
      <c r="AI95">
        <f t="shared" si="61"/>
        <v>0</v>
      </c>
    </row>
    <row r="96" spans="1:35" x14ac:dyDescent="0.2">
      <c r="A96" s="335">
        <v>2089.3000000000002</v>
      </c>
      <c r="B96" s="352">
        <f t="shared" si="59"/>
        <v>2.0893000000000002</v>
      </c>
      <c r="C96" s="325">
        <f t="shared" si="31"/>
        <v>2.8325012302008039</v>
      </c>
      <c r="D96" s="326">
        <f t="shared" si="32"/>
        <v>1.2099727892453871</v>
      </c>
      <c r="E96" s="326">
        <f t="shared" si="33"/>
        <v>1.0000034465976813</v>
      </c>
      <c r="F96" s="327">
        <f t="shared" si="34"/>
        <v>2.6254857767965666E-3</v>
      </c>
      <c r="G96" s="326">
        <f t="shared" si="35"/>
        <v>1</v>
      </c>
      <c r="H96" s="327">
        <f t="shared" si="36"/>
        <v>0</v>
      </c>
      <c r="I96" s="325">
        <f t="shared" si="37"/>
        <v>2773.0567067183165</v>
      </c>
      <c r="J96" s="328">
        <f t="shared" si="38"/>
        <v>1.5704357138946083</v>
      </c>
      <c r="K96" s="336">
        <f t="shared" si="39"/>
        <v>1.1351465329422847</v>
      </c>
      <c r="L96" s="337">
        <f t="shared" si="40"/>
        <v>0.49294395538235852</v>
      </c>
      <c r="M96" s="325">
        <f t="shared" si="41"/>
        <v>1.0000823286110183</v>
      </c>
      <c r="N96" s="337">
        <f t="shared" si="42"/>
        <v>1.2831442871447213E-2</v>
      </c>
      <c r="O96" s="343">
        <f t="shared" si="43"/>
        <v>1.0000736967873063</v>
      </c>
      <c r="P96" s="691">
        <f t="shared" si="44"/>
        <v>1.214020276413354E-2</v>
      </c>
      <c r="Q96" s="336">
        <f t="shared" si="60"/>
        <v>15.124529646640532</v>
      </c>
      <c r="R96" s="692">
        <f t="shared" si="45"/>
        <v>5.6665059158626709E-3</v>
      </c>
      <c r="S96" s="329">
        <f t="shared" si="46"/>
        <v>0.99998639322475869</v>
      </c>
      <c r="T96" s="330">
        <f t="shared" si="47"/>
        <v>1.6579646753394541E-2</v>
      </c>
      <c r="U96" s="331">
        <f t="shared" si="48"/>
        <v>31.372573898804205</v>
      </c>
      <c r="V96" s="332">
        <f t="shared" si="49"/>
        <v>-132.22585106835351</v>
      </c>
      <c r="W96" s="334">
        <f t="shared" si="50"/>
        <v>47.774148931646494</v>
      </c>
      <c r="Y96" s="307">
        <f t="shared" si="51"/>
        <v>1000000000</v>
      </c>
      <c r="Z96" s="307">
        <f t="shared" si="52"/>
        <v>4365174.4900000012</v>
      </c>
      <c r="AB96" s="333">
        <f t="shared" si="53"/>
        <v>29.948372860746005</v>
      </c>
      <c r="AC96" s="334">
        <f t="shared" si="54"/>
        <v>-62.470917815861782</v>
      </c>
      <c r="AE96" s="333">
        <f t="shared" si="55"/>
        <v>58.996598576932051</v>
      </c>
      <c r="AF96" s="334">
        <f t="shared" si="56"/>
        <v>-70.125848760168594</v>
      </c>
      <c r="AH96">
        <f t="shared" si="57"/>
        <v>0</v>
      </c>
      <c r="AI96">
        <f t="shared" si="61"/>
        <v>0</v>
      </c>
    </row>
    <row r="97" spans="1:35" x14ac:dyDescent="0.2">
      <c r="A97" s="335">
        <v>2290.9</v>
      </c>
      <c r="B97" s="352">
        <f t="shared" si="59"/>
        <v>2.2909000000000002</v>
      </c>
      <c r="C97" s="325">
        <f t="shared" si="31"/>
        <v>3.0730744062131072</v>
      </c>
      <c r="D97" s="326">
        <f t="shared" si="32"/>
        <v>1.2393541778080892</v>
      </c>
      <c r="E97" s="326">
        <f t="shared" si="33"/>
        <v>1.0000041438220404</v>
      </c>
      <c r="F97" s="327">
        <f t="shared" si="34"/>
        <v>2.8788218878713725E-3</v>
      </c>
      <c r="G97" s="326">
        <f t="shared" si="35"/>
        <v>1</v>
      </c>
      <c r="H97" s="327">
        <f t="shared" si="36"/>
        <v>0</v>
      </c>
      <c r="I97" s="325">
        <f t="shared" si="37"/>
        <v>3040.6334848610659</v>
      </c>
      <c r="J97" s="328">
        <f t="shared" si="38"/>
        <v>1.5704674479533638</v>
      </c>
      <c r="K97" s="336">
        <f t="shared" si="39"/>
        <v>1.1605736140790164</v>
      </c>
      <c r="L97" s="337">
        <f t="shared" si="40"/>
        <v>0.53229837487604226</v>
      </c>
      <c r="M97" s="325">
        <f t="shared" si="41"/>
        <v>1.0000989823654385</v>
      </c>
      <c r="N97" s="337">
        <f t="shared" si="42"/>
        <v>1.4069413743118401E-2</v>
      </c>
      <c r="O97" s="343">
        <f t="shared" si="43"/>
        <v>1.0000886045399076</v>
      </c>
      <c r="P97" s="691">
        <f t="shared" si="44"/>
        <v>1.3311498645794839E-2</v>
      </c>
      <c r="Q97" s="336">
        <f t="shared" si="60"/>
        <v>15.124577359509901</v>
      </c>
      <c r="R97" s="692">
        <f t="shared" si="45"/>
        <v>6.2132635351094612E-3</v>
      </c>
      <c r="S97" s="329">
        <f t="shared" si="46"/>
        <v>0.99998364340860912</v>
      </c>
      <c r="T97" s="330">
        <f t="shared" si="47"/>
        <v>1.8179662695818156E-2</v>
      </c>
      <c r="U97" s="331">
        <f t="shared" si="48"/>
        <v>30.056810751984745</v>
      </c>
      <c r="V97" s="332">
        <f t="shared" si="49"/>
        <v>-131.76856288438358</v>
      </c>
      <c r="W97" s="334">
        <f t="shared" si="50"/>
        <v>48.231437115616416</v>
      </c>
      <c r="Y97" s="307">
        <f t="shared" si="51"/>
        <v>1000000000</v>
      </c>
      <c r="Z97" s="307">
        <f t="shared" si="52"/>
        <v>5248222.8100000005</v>
      </c>
      <c r="AB97" s="333">
        <f t="shared" si="53"/>
        <v>29.340537067393125</v>
      </c>
      <c r="AC97" s="334">
        <f t="shared" si="54"/>
        <v>-60.28882440493333</v>
      </c>
      <c r="AE97" s="333">
        <f t="shared" si="55"/>
        <v>58.288569147933416</v>
      </c>
      <c r="AF97" s="334">
        <f t="shared" si="56"/>
        <v>-71.886437393748821</v>
      </c>
      <c r="AH97">
        <f t="shared" si="57"/>
        <v>0</v>
      </c>
      <c r="AI97">
        <f t="shared" si="61"/>
        <v>0</v>
      </c>
    </row>
    <row r="98" spans="1:35" x14ac:dyDescent="0.2">
      <c r="A98" s="335">
        <v>2511.9</v>
      </c>
      <c r="B98" s="352">
        <f t="shared" si="59"/>
        <v>2.5119000000000002</v>
      </c>
      <c r="C98" s="325">
        <f t="shared" si="31"/>
        <v>3.3393842188034979</v>
      </c>
      <c r="D98" s="326">
        <f t="shared" si="32"/>
        <v>1.2666734619824136</v>
      </c>
      <c r="E98" s="326">
        <f t="shared" si="33"/>
        <v>1.0000049818809074</v>
      </c>
      <c r="F98" s="327">
        <f t="shared" si="34"/>
        <v>3.1565361473576306E-3</v>
      </c>
      <c r="G98" s="326">
        <f t="shared" si="35"/>
        <v>1</v>
      </c>
      <c r="H98" s="327">
        <f t="shared" si="36"/>
        <v>0</v>
      </c>
      <c r="I98" s="325">
        <f t="shared" si="37"/>
        <v>3333.9592217633344</v>
      </c>
      <c r="J98" s="328">
        <f t="shared" si="38"/>
        <v>1.5704963831097829</v>
      </c>
      <c r="K98" s="336">
        <f t="shared" si="39"/>
        <v>1.1904182737516815</v>
      </c>
      <c r="L98" s="337">
        <f t="shared" si="40"/>
        <v>0.57343777925421013</v>
      </c>
      <c r="M98" s="325">
        <f t="shared" si="41"/>
        <v>1.0001189997116662</v>
      </c>
      <c r="N98" s="337">
        <f t="shared" si="42"/>
        <v>1.5426465057699608E-2</v>
      </c>
      <c r="O98" s="343">
        <f t="shared" si="43"/>
        <v>1.0001065232753052</v>
      </c>
      <c r="P98" s="691">
        <f t="shared" si="44"/>
        <v>1.4595466430222533E-2</v>
      </c>
      <c r="Q98" s="336">
        <f t="shared" si="60"/>
        <v>15.124634709894536</v>
      </c>
      <c r="R98" s="692">
        <f t="shared" si="45"/>
        <v>6.812631630475274E-3</v>
      </c>
      <c r="S98" s="329">
        <f t="shared" si="46"/>
        <v>0.99998033937161246</v>
      </c>
      <c r="T98" s="330">
        <f t="shared" si="47"/>
        <v>1.9933717944171616E-2</v>
      </c>
      <c r="U98" s="331">
        <f t="shared" si="48"/>
        <v>28.755542927576595</v>
      </c>
      <c r="V98" s="332">
        <f t="shared" si="49"/>
        <v>-131.10150293377322</v>
      </c>
      <c r="W98" s="334">
        <f t="shared" si="50"/>
        <v>48.898497066226781</v>
      </c>
      <c r="Y98" s="307">
        <f t="shared" si="51"/>
        <v>1000000000</v>
      </c>
      <c r="Z98" s="307">
        <f t="shared" si="52"/>
        <v>6309641.6100000003</v>
      </c>
      <c r="AB98" s="333">
        <f t="shared" si="53"/>
        <v>28.760976871434629</v>
      </c>
      <c r="AC98" s="334">
        <f t="shared" si="54"/>
        <v>-58.011121335030175</v>
      </c>
      <c r="AE98" s="333">
        <f t="shared" si="55"/>
        <v>57.566738830184207</v>
      </c>
      <c r="AF98" s="334">
        <f t="shared" si="56"/>
        <v>-73.53630518592567</v>
      </c>
      <c r="AH98">
        <f t="shared" si="57"/>
        <v>0</v>
      </c>
      <c r="AI98">
        <f t="shared" si="61"/>
        <v>0</v>
      </c>
    </row>
    <row r="99" spans="1:35" x14ac:dyDescent="0.2">
      <c r="A99" s="335">
        <v>2754.2</v>
      </c>
      <c r="B99" s="352">
        <f t="shared" si="59"/>
        <v>2.7542</v>
      </c>
      <c r="C99" s="325">
        <f t="shared" si="31"/>
        <v>3.6337839090814938</v>
      </c>
      <c r="D99" s="326">
        <f t="shared" si="32"/>
        <v>1.2920035590116792</v>
      </c>
      <c r="E99" s="326">
        <f t="shared" si="33"/>
        <v>1.0000059893456696</v>
      </c>
      <c r="F99" s="327">
        <f t="shared" si="34"/>
        <v>3.4610159711740791E-3</v>
      </c>
      <c r="G99" s="326">
        <f t="shared" si="35"/>
        <v>1</v>
      </c>
      <c r="H99" s="327">
        <f t="shared" si="36"/>
        <v>0</v>
      </c>
      <c r="I99" s="325">
        <f t="shared" si="37"/>
        <v>3655.5557224017925</v>
      </c>
      <c r="J99" s="328">
        <f t="shared" si="38"/>
        <v>1.5705227705729674</v>
      </c>
      <c r="K99" s="336">
        <f t="shared" si="39"/>
        <v>1.2253340019801551</v>
      </c>
      <c r="L99" s="337">
        <f t="shared" si="40"/>
        <v>0.61615932446572586</v>
      </c>
      <c r="M99" s="325">
        <f t="shared" si="41"/>
        <v>1.0001430628723149</v>
      </c>
      <c r="N99" s="337">
        <f t="shared" si="42"/>
        <v>1.6914243617468756E-2</v>
      </c>
      <c r="O99" s="343">
        <f t="shared" si="43"/>
        <v>1.0001280637132675</v>
      </c>
      <c r="P99" s="691">
        <f t="shared" si="44"/>
        <v>1.6003127683794718E-2</v>
      </c>
      <c r="Q99" s="336">
        <f t="shared" si="60"/>
        <v>15.12470365290822</v>
      </c>
      <c r="R99" s="692">
        <f t="shared" si="45"/>
        <v>7.4697614784770376E-3</v>
      </c>
      <c r="S99" s="329">
        <f t="shared" si="46"/>
        <v>0.99997636922129374</v>
      </c>
      <c r="T99" s="330">
        <f t="shared" si="47"/>
        <v>2.1856920811066067E-2</v>
      </c>
      <c r="U99" s="331">
        <f t="shared" si="48"/>
        <v>27.472906028693242</v>
      </c>
      <c r="V99" s="332">
        <f t="shared" si="49"/>
        <v>-130.24154539156231</v>
      </c>
      <c r="W99" s="334">
        <f t="shared" si="50"/>
        <v>49.758454608437688</v>
      </c>
      <c r="Y99" s="307">
        <f t="shared" si="51"/>
        <v>1000000000</v>
      </c>
      <c r="Z99" s="307">
        <f t="shared" si="52"/>
        <v>7585617.6399999987</v>
      </c>
      <c r="AB99" s="333">
        <f t="shared" si="53"/>
        <v>28.212003394187963</v>
      </c>
      <c r="AC99" s="334">
        <f t="shared" si="54"/>
        <v>-55.650112420032507</v>
      </c>
      <c r="AE99" s="333">
        <f t="shared" si="55"/>
        <v>56.832927925648619</v>
      </c>
      <c r="AF99" s="334">
        <f t="shared" si="56"/>
        <v>-75.080358840692725</v>
      </c>
      <c r="AH99">
        <f t="shared" si="57"/>
        <v>0</v>
      </c>
      <c r="AI99">
        <f t="shared" si="61"/>
        <v>0</v>
      </c>
    </row>
    <row r="100" spans="1:35" x14ac:dyDescent="0.2">
      <c r="A100" s="335">
        <v>3020</v>
      </c>
      <c r="B100" s="352">
        <f t="shared" si="59"/>
        <v>3.02</v>
      </c>
      <c r="C100" s="325">
        <f t="shared" si="31"/>
        <v>3.9589990686051291</v>
      </c>
      <c r="D100" s="326">
        <f t="shared" si="32"/>
        <v>1.3154411367758831</v>
      </c>
      <c r="E100" s="326">
        <f t="shared" si="33"/>
        <v>1.0000072011532537</v>
      </c>
      <c r="F100" s="327">
        <f t="shared" si="34"/>
        <v>3.7950257021632516E-3</v>
      </c>
      <c r="G100" s="326">
        <f t="shared" si="35"/>
        <v>1</v>
      </c>
      <c r="H100" s="327">
        <f t="shared" si="36"/>
        <v>0</v>
      </c>
      <c r="I100" s="325">
        <f t="shared" si="37"/>
        <v>4008.3429715133057</v>
      </c>
      <c r="J100" s="328">
        <f t="shared" si="38"/>
        <v>1.5705468471427111</v>
      </c>
      <c r="K100" s="336">
        <f t="shared" si="39"/>
        <v>1.2660566448014567</v>
      </c>
      <c r="L100" s="337">
        <f t="shared" si="40"/>
        <v>0.6602253020916018</v>
      </c>
      <c r="M100" s="325">
        <f t="shared" si="41"/>
        <v>1.0001720059989636</v>
      </c>
      <c r="N100" s="337">
        <f t="shared" si="42"/>
        <v>1.8546231289875405E-2</v>
      </c>
      <c r="O100" s="343">
        <f t="shared" si="43"/>
        <v>1.0001539725855424</v>
      </c>
      <c r="P100" s="691">
        <f t="shared" si="44"/>
        <v>1.7547240913621379E-2</v>
      </c>
      <c r="Q100" s="336">
        <f t="shared" si="60"/>
        <v>15.124786579223432</v>
      </c>
      <c r="R100" s="692">
        <f t="shared" si="45"/>
        <v>8.1906173929791968E-3</v>
      </c>
      <c r="S100" s="329">
        <f t="shared" si="46"/>
        <v>0.99997159636675426</v>
      </c>
      <c r="T100" s="330">
        <f t="shared" si="47"/>
        <v>2.3966770595780555E-2</v>
      </c>
      <c r="U100" s="331">
        <f t="shared" si="48"/>
        <v>26.212101712814079</v>
      </c>
      <c r="V100" s="332">
        <f t="shared" si="49"/>
        <v>-129.20908960242562</v>
      </c>
      <c r="W100" s="334">
        <f t="shared" si="50"/>
        <v>50.790910397574379</v>
      </c>
      <c r="Y100" s="307">
        <f t="shared" si="51"/>
        <v>1000000000</v>
      </c>
      <c r="Z100" s="307">
        <f t="shared" si="52"/>
        <v>9120400</v>
      </c>
      <c r="AB100" s="333">
        <f t="shared" si="53"/>
        <v>27.695495750766845</v>
      </c>
      <c r="AC100" s="334">
        <f t="shared" si="54"/>
        <v>-53.220203370853071</v>
      </c>
      <c r="AE100" s="333">
        <f t="shared" si="55"/>
        <v>56.088453866519799</v>
      </c>
      <c r="AF100" s="334">
        <f t="shared" si="56"/>
        <v>-76.524981270410734</v>
      </c>
      <c r="AH100">
        <f t="shared" si="57"/>
        <v>0</v>
      </c>
      <c r="AI100">
        <f t="shared" si="61"/>
        <v>0</v>
      </c>
    </row>
    <row r="101" spans="1:35" x14ac:dyDescent="0.2">
      <c r="A101" s="335">
        <v>3311.3</v>
      </c>
      <c r="B101" s="352">
        <f t="shared" si="59"/>
        <v>3.3113000000000001</v>
      </c>
      <c r="C101" s="325">
        <f t="shared" si="31"/>
        <v>4.3175169223503582</v>
      </c>
      <c r="D101" s="326">
        <f t="shared" si="32"/>
        <v>1.3370592281965787</v>
      </c>
      <c r="E101" s="326">
        <f t="shared" si="33"/>
        <v>1.0000086573486873</v>
      </c>
      <c r="F101" s="327">
        <f t="shared" si="34"/>
        <v>4.1610782808478696E-3</v>
      </c>
      <c r="G101" s="326">
        <f t="shared" si="35"/>
        <v>1</v>
      </c>
      <c r="H101" s="327">
        <f t="shared" si="36"/>
        <v>0</v>
      </c>
      <c r="I101" s="325">
        <f t="shared" si="37"/>
        <v>4394.9755006937694</v>
      </c>
      <c r="J101" s="328">
        <f t="shared" si="38"/>
        <v>1.5705687942390336</v>
      </c>
      <c r="K101" s="336">
        <f t="shared" si="39"/>
        <v>1.3133226772690134</v>
      </c>
      <c r="L101" s="337">
        <f t="shared" si="40"/>
        <v>0.70528397163115164</v>
      </c>
      <c r="M101" s="325">
        <f t="shared" si="41"/>
        <v>1.0002067850868768</v>
      </c>
      <c r="N101" s="337">
        <f t="shared" si="42"/>
        <v>2.0334672840737218E-2</v>
      </c>
      <c r="O101" s="343">
        <f t="shared" si="43"/>
        <v>1.0001851057096953</v>
      </c>
      <c r="P101" s="691">
        <f t="shared" si="44"/>
        <v>1.9239395040826026E-2</v>
      </c>
      <c r="Q101" s="336">
        <f t="shared" si="60"/>
        <v>15.124886228999545</v>
      </c>
      <c r="R101" s="692">
        <f t="shared" si="45"/>
        <v>8.9806205306605831E-3</v>
      </c>
      <c r="S101" s="329">
        <f t="shared" si="46"/>
        <v>0.99996586465353077</v>
      </c>
      <c r="T101" s="330">
        <f t="shared" si="47"/>
        <v>2.627919181458337E-2</v>
      </c>
      <c r="U101" s="331">
        <f t="shared" si="48"/>
        <v>24.977636736502781</v>
      </c>
      <c r="V101" s="332">
        <f t="shared" si="49"/>
        <v>-128.02960029855501</v>
      </c>
      <c r="W101" s="334">
        <f t="shared" si="50"/>
        <v>51.97039970144499</v>
      </c>
      <c r="Y101" s="307">
        <f t="shared" si="51"/>
        <v>1000000000</v>
      </c>
      <c r="Z101" s="307">
        <f t="shared" si="52"/>
        <v>10964707.690000001</v>
      </c>
      <c r="AB101" s="333">
        <f t="shared" si="53"/>
        <v>27.21372817072465</v>
      </c>
      <c r="AC101" s="334">
        <f t="shared" si="54"/>
        <v>-50.742259401692777</v>
      </c>
      <c r="AE101" s="333">
        <f t="shared" si="55"/>
        <v>55.335543324073129</v>
      </c>
      <c r="AF101" s="334">
        <f t="shared" si="56"/>
        <v>-77.875125379942716</v>
      </c>
      <c r="AH101">
        <f t="shared" si="57"/>
        <v>0</v>
      </c>
      <c r="AI101">
        <f t="shared" si="61"/>
        <v>0</v>
      </c>
    </row>
    <row r="102" spans="1:35" x14ac:dyDescent="0.2">
      <c r="A102" s="335">
        <v>3630.8</v>
      </c>
      <c r="B102" s="352">
        <f t="shared" si="59"/>
        <v>3.6308000000000002</v>
      </c>
      <c r="C102" s="325">
        <f t="shared" si="31"/>
        <v>4.7126914347018527</v>
      </c>
      <c r="D102" s="326">
        <f t="shared" si="32"/>
        <v>1.3569778374362429</v>
      </c>
      <c r="E102" s="326">
        <f t="shared" si="33"/>
        <v>1.0000104085953438</v>
      </c>
      <c r="F102" s="327">
        <f t="shared" si="34"/>
        <v>4.5625661775222709E-3</v>
      </c>
      <c r="G102" s="326">
        <f t="shared" si="35"/>
        <v>1</v>
      </c>
      <c r="H102" s="327">
        <f t="shared" si="36"/>
        <v>0</v>
      </c>
      <c r="I102" s="325">
        <f t="shared" si="37"/>
        <v>4819.0369276178035</v>
      </c>
      <c r="J102" s="328">
        <f t="shared" si="38"/>
        <v>1.5705888164516066</v>
      </c>
      <c r="K102" s="336">
        <f t="shared" si="39"/>
        <v>1.3680044902364787</v>
      </c>
      <c r="L102" s="337">
        <f t="shared" si="40"/>
        <v>0.7510221456329601</v>
      </c>
      <c r="M102" s="325">
        <f t="shared" si="41"/>
        <v>1.0002486095050707</v>
      </c>
      <c r="N102" s="337">
        <f t="shared" si="42"/>
        <v>2.2296098780885676E-2</v>
      </c>
      <c r="O102" s="343">
        <f t="shared" si="43"/>
        <v>1.0002225457378444</v>
      </c>
      <c r="P102" s="691">
        <f t="shared" si="44"/>
        <v>2.1095235173355899E-2</v>
      </c>
      <c r="Q102" s="336">
        <f t="shared" si="60"/>
        <v>15.125006068924824</v>
      </c>
      <c r="R102" s="692">
        <f t="shared" si="45"/>
        <v>9.8470894588063487E-3</v>
      </c>
      <c r="S102" s="329">
        <f t="shared" si="46"/>
        <v>0.99995897693238867</v>
      </c>
      <c r="T102" s="330">
        <f t="shared" si="47"/>
        <v>2.8815682461409847E-2</v>
      </c>
      <c r="U102" s="331">
        <f t="shared" si="48"/>
        <v>23.771151431462968</v>
      </c>
      <c r="V102" s="332">
        <f t="shared" si="49"/>
        <v>-126.72941667625823</v>
      </c>
      <c r="W102" s="334">
        <f t="shared" si="50"/>
        <v>53.270583323741775</v>
      </c>
      <c r="Y102" s="307">
        <f t="shared" si="51"/>
        <v>1000000000</v>
      </c>
      <c r="Z102" s="307">
        <f t="shared" si="52"/>
        <v>13182708.640000001</v>
      </c>
      <c r="AB102" s="333">
        <f t="shared" si="53"/>
        <v>26.767610646875482</v>
      </c>
      <c r="AC102" s="334">
        <f t="shared" si="54"/>
        <v>-48.235183682364344</v>
      </c>
      <c r="AE102" s="333">
        <f t="shared" si="55"/>
        <v>54.574919230362255</v>
      </c>
      <c r="AF102" s="334">
        <f t="shared" si="56"/>
        <v>-79.138704271422156</v>
      </c>
      <c r="AH102">
        <f t="shared" si="57"/>
        <v>0</v>
      </c>
      <c r="AI102">
        <f t="shared" si="61"/>
        <v>0</v>
      </c>
    </row>
    <row r="103" spans="1:35" x14ac:dyDescent="0.2">
      <c r="A103" s="335">
        <v>3981.1</v>
      </c>
      <c r="B103" s="352">
        <f t="shared" si="59"/>
        <v>3.9811000000000001</v>
      </c>
      <c r="C103" s="325">
        <f t="shared" si="31"/>
        <v>5.1477635276151137</v>
      </c>
      <c r="D103" s="326">
        <f t="shared" si="32"/>
        <v>1.3752942033958515</v>
      </c>
      <c r="E103" s="326">
        <f t="shared" si="33"/>
        <v>1.0000125139146128</v>
      </c>
      <c r="F103" s="327">
        <f t="shared" si="34"/>
        <v>5.0027560635419379E-3</v>
      </c>
      <c r="G103" s="326">
        <f t="shared" si="35"/>
        <v>1</v>
      </c>
      <c r="H103" s="327">
        <f t="shared" si="36"/>
        <v>0</v>
      </c>
      <c r="I103" s="325">
        <f t="shared" si="37"/>
        <v>5283.9781433971648</v>
      </c>
      <c r="J103" s="328">
        <f t="shared" si="38"/>
        <v>1.5706070754432007</v>
      </c>
      <c r="K103" s="336">
        <f t="shared" si="39"/>
        <v>1.4309788674290997</v>
      </c>
      <c r="L103" s="337">
        <f t="shared" si="40"/>
        <v>0.79704655477334263</v>
      </c>
      <c r="M103" s="325">
        <f t="shared" si="41"/>
        <v>1.000298887899097</v>
      </c>
      <c r="N103" s="337">
        <f t="shared" si="42"/>
        <v>2.4446409679102304E-2</v>
      </c>
      <c r="O103" s="343">
        <f t="shared" si="43"/>
        <v>1.0002675537415853</v>
      </c>
      <c r="P103" s="691">
        <f t="shared" si="44"/>
        <v>2.312981197638236E-2</v>
      </c>
      <c r="Q103" s="336">
        <f t="shared" si="60"/>
        <v>15.125150137488916</v>
      </c>
      <c r="R103" s="692">
        <f t="shared" si="45"/>
        <v>1.079707022562631E-2</v>
      </c>
      <c r="S103" s="329">
        <f t="shared" si="46"/>
        <v>0.99995070434844258</v>
      </c>
      <c r="T103" s="330">
        <f t="shared" si="47"/>
        <v>3.1596969086645915E-2</v>
      </c>
      <c r="U103" s="331">
        <f t="shared" si="48"/>
        <v>22.595020198582301</v>
      </c>
      <c r="V103" s="332">
        <f t="shared" si="49"/>
        <v>-125.33810483134685</v>
      </c>
      <c r="W103" s="334">
        <f t="shared" si="50"/>
        <v>54.661895168653146</v>
      </c>
      <c r="Y103" s="307">
        <f t="shared" si="51"/>
        <v>1000000000</v>
      </c>
      <c r="Z103" s="307">
        <f t="shared" si="52"/>
        <v>15849157.209999999</v>
      </c>
      <c r="AB103" s="333">
        <f t="shared" si="53"/>
        <v>26.358072834219975</v>
      </c>
      <c r="AC103" s="334">
        <f t="shared" si="54"/>
        <v>-45.722429183431167</v>
      </c>
      <c r="AE103" s="333">
        <f t="shared" si="55"/>
        <v>53.808017705718058</v>
      </c>
      <c r="AF103" s="334">
        <f t="shared" si="56"/>
        <v>-80.322289700866207</v>
      </c>
      <c r="AH103">
        <f t="shared" si="57"/>
        <v>0</v>
      </c>
      <c r="AI103">
        <f t="shared" si="61"/>
        <v>0</v>
      </c>
    </row>
    <row r="104" spans="1:35" x14ac:dyDescent="0.2">
      <c r="A104" s="335">
        <v>4365.2</v>
      </c>
      <c r="B104" s="352">
        <f t="shared" si="59"/>
        <v>4.3651999999999997</v>
      </c>
      <c r="C104" s="325">
        <f t="shared" si="31"/>
        <v>5.6264780034544977</v>
      </c>
      <c r="D104" s="326">
        <f t="shared" si="32"/>
        <v>1.3921159877138365</v>
      </c>
      <c r="E104" s="326">
        <f t="shared" si="33"/>
        <v>1.0000150450888714</v>
      </c>
      <c r="F104" s="327">
        <f t="shared" si="34"/>
        <v>5.4854170752813292E-3</v>
      </c>
      <c r="G104" s="326">
        <f t="shared" si="35"/>
        <v>1</v>
      </c>
      <c r="H104" s="327">
        <f t="shared" si="36"/>
        <v>0</v>
      </c>
      <c r="I104" s="325">
        <f t="shared" si="37"/>
        <v>5793.7809454834023</v>
      </c>
      <c r="J104" s="328">
        <f t="shared" si="38"/>
        <v>1.5706237279316717</v>
      </c>
      <c r="K104" s="336">
        <f t="shared" si="39"/>
        <v>1.5032029870876007</v>
      </c>
      <c r="L104" s="337">
        <f t="shared" si="40"/>
        <v>0.84297287307328306</v>
      </c>
      <c r="M104" s="325">
        <f t="shared" si="41"/>
        <v>1.0003593331866125</v>
      </c>
      <c r="N104" s="337">
        <f t="shared" si="42"/>
        <v>2.6803940729423041E-2</v>
      </c>
      <c r="O104" s="343">
        <f t="shared" si="43"/>
        <v>1.000321663216595</v>
      </c>
      <c r="P104" s="691">
        <f t="shared" si="44"/>
        <v>2.5360481760722194E-2</v>
      </c>
      <c r="Q104" s="336">
        <f t="shared" si="60"/>
        <v>15.125323346213257</v>
      </c>
      <c r="R104" s="692">
        <f t="shared" si="45"/>
        <v>1.183869192691967E-2</v>
      </c>
      <c r="S104" s="329">
        <f t="shared" si="46"/>
        <v>0.99994076957840194</v>
      </c>
      <c r="T104" s="330">
        <f t="shared" si="47"/>
        <v>3.46469832097894E-2</v>
      </c>
      <c r="U104" s="331">
        <f t="shared" si="48"/>
        <v>21.450280305552898</v>
      </c>
      <c r="V104" s="332">
        <f t="shared" si="49"/>
        <v>-123.88553962539466</v>
      </c>
      <c r="W104" s="334">
        <f t="shared" si="50"/>
        <v>56.114460374605343</v>
      </c>
      <c r="Y104" s="307">
        <f t="shared" si="51"/>
        <v>1000000000</v>
      </c>
      <c r="Z104" s="307">
        <f t="shared" si="52"/>
        <v>19054971.039999999</v>
      </c>
      <c r="AB104" s="333">
        <f t="shared" si="53"/>
        <v>25.985215012295349</v>
      </c>
      <c r="AC104" s="334">
        <f t="shared" si="54"/>
        <v>-43.227075669980977</v>
      </c>
      <c r="AE104" s="333">
        <f t="shared" si="55"/>
        <v>53.03576525176404</v>
      </c>
      <c r="AF104" s="334">
        <f t="shared" si="56"/>
        <v>-81.433205445238727</v>
      </c>
      <c r="AH104">
        <f t="shared" si="57"/>
        <v>0</v>
      </c>
      <c r="AI104">
        <f t="shared" si="61"/>
        <v>0</v>
      </c>
    </row>
    <row r="105" spans="1:35" x14ac:dyDescent="0.2">
      <c r="A105" s="335">
        <v>4786.3</v>
      </c>
      <c r="B105" s="352">
        <f t="shared" si="59"/>
        <v>4.7862999999999998</v>
      </c>
      <c r="C105" s="325">
        <f t="shared" si="31"/>
        <v>6.1528374739741736</v>
      </c>
      <c r="D105" s="326">
        <f t="shared" si="32"/>
        <v>1.4075455245473807</v>
      </c>
      <c r="E105" s="326">
        <f t="shared" si="33"/>
        <v>1.000018087795371</v>
      </c>
      <c r="F105" s="327">
        <f t="shared" si="34"/>
        <v>6.0145694334542907E-3</v>
      </c>
      <c r="G105" s="326">
        <f t="shared" si="35"/>
        <v>1</v>
      </c>
      <c r="H105" s="327">
        <f t="shared" si="36"/>
        <v>0</v>
      </c>
      <c r="I105" s="325">
        <f t="shared" si="37"/>
        <v>6352.6925845054275</v>
      </c>
      <c r="J105" s="328">
        <f t="shared" si="38"/>
        <v>1.5706389132272121</v>
      </c>
      <c r="K105" s="336">
        <f t="shared" si="39"/>
        <v>1.5856752151028515</v>
      </c>
      <c r="L105" s="337">
        <f t="shared" si="40"/>
        <v>0.88841077998553064</v>
      </c>
      <c r="M105" s="325">
        <f t="shared" si="41"/>
        <v>1.0004319894038174</v>
      </c>
      <c r="N105" s="337">
        <f t="shared" si="42"/>
        <v>2.9388227192253515E-2</v>
      </c>
      <c r="O105" s="343">
        <f t="shared" si="43"/>
        <v>1.0003867041376604</v>
      </c>
      <c r="P105" s="691">
        <f t="shared" si="44"/>
        <v>2.7805739048864662E-2</v>
      </c>
      <c r="Q105" s="336">
        <f t="shared" si="60"/>
        <v>15.125531557141068</v>
      </c>
      <c r="R105" s="692">
        <f t="shared" si="45"/>
        <v>1.2980623757310409E-2</v>
      </c>
      <c r="S105" s="329">
        <f t="shared" si="46"/>
        <v>0.99992884318596853</v>
      </c>
      <c r="T105" s="330">
        <f t="shared" si="47"/>
        <v>3.799128298871484E-2</v>
      </c>
      <c r="U105" s="331">
        <f t="shared" si="48"/>
        <v>20.337465093258025</v>
      </c>
      <c r="V105" s="332">
        <f t="shared" si="49"/>
        <v>-122.40174644669605</v>
      </c>
      <c r="W105" s="334">
        <f t="shared" si="50"/>
        <v>57.598253553303948</v>
      </c>
      <c r="Y105" s="307">
        <f t="shared" si="51"/>
        <v>1000000000</v>
      </c>
      <c r="Z105" s="307">
        <f t="shared" si="52"/>
        <v>22908667.690000001</v>
      </c>
      <c r="AB105" s="333">
        <f t="shared" si="53"/>
        <v>25.648600963885812</v>
      </c>
      <c r="AC105" s="334">
        <f t="shared" si="54"/>
        <v>-40.772614131914352</v>
      </c>
      <c r="AE105" s="333">
        <f t="shared" si="55"/>
        <v>52.259118916317021</v>
      </c>
      <c r="AF105" s="334">
        <f t="shared" si="56"/>
        <v>-82.478548852753192</v>
      </c>
      <c r="AH105">
        <f t="shared" si="57"/>
        <v>0</v>
      </c>
      <c r="AI105">
        <f t="shared" si="61"/>
        <v>0</v>
      </c>
    </row>
    <row r="106" spans="1:35" x14ac:dyDescent="0.2">
      <c r="A106" s="335">
        <v>5248.1</v>
      </c>
      <c r="B106" s="352">
        <f t="shared" si="59"/>
        <v>5.2481</v>
      </c>
      <c r="C106" s="325">
        <f t="shared" si="31"/>
        <v>6.7314781404999389</v>
      </c>
      <c r="D106" s="326">
        <f t="shared" si="32"/>
        <v>1.4216886374576505</v>
      </c>
      <c r="E106" s="326">
        <f t="shared" si="33"/>
        <v>1.0000217464921615</v>
      </c>
      <c r="F106" s="327">
        <f t="shared" si="34"/>
        <v>6.594861344588282E-3</v>
      </c>
      <c r="G106" s="326">
        <f t="shared" si="35"/>
        <v>1</v>
      </c>
      <c r="H106" s="327">
        <f t="shared" si="36"/>
        <v>0</v>
      </c>
      <c r="I106" s="325">
        <f t="shared" si="37"/>
        <v>6965.6239440168065</v>
      </c>
      <c r="J106" s="328">
        <f t="shared" si="38"/>
        <v>1.5706527646371529</v>
      </c>
      <c r="K106" s="336">
        <f t="shared" si="39"/>
        <v>1.6794899738245439</v>
      </c>
      <c r="L106" s="337">
        <f t="shared" si="40"/>
        <v>0.9330094336989857</v>
      </c>
      <c r="M106" s="325">
        <f t="shared" si="41"/>
        <v>1.0005193480436738</v>
      </c>
      <c r="N106" s="337">
        <f t="shared" si="42"/>
        <v>3.2221836526876907E-2</v>
      </c>
      <c r="O106" s="343">
        <f t="shared" si="43"/>
        <v>1.0004649071356144</v>
      </c>
      <c r="P106" s="691">
        <f t="shared" si="44"/>
        <v>3.0486951028391877E-2</v>
      </c>
      <c r="Q106" s="336">
        <f t="shared" si="60"/>
        <v>15.125781917032262</v>
      </c>
      <c r="R106" s="692">
        <f t="shared" si="45"/>
        <v>1.4232887803218991E-2</v>
      </c>
      <c r="S106" s="329">
        <f t="shared" si="46"/>
        <v>0.99991452562836081</v>
      </c>
      <c r="T106" s="330">
        <f t="shared" si="47"/>
        <v>4.1659448330183667E-2</v>
      </c>
      <c r="U106" s="331">
        <f t="shared" si="48"/>
        <v>19.25591795141727</v>
      </c>
      <c r="V106" s="332">
        <f t="shared" si="49"/>
        <v>-120.91496940666737</v>
      </c>
      <c r="W106" s="334">
        <f t="shared" si="50"/>
        <v>59.085030593332633</v>
      </c>
      <c r="Y106" s="307">
        <f t="shared" si="51"/>
        <v>1000000000</v>
      </c>
      <c r="Z106" s="307">
        <f t="shared" si="52"/>
        <v>27542553.610000003</v>
      </c>
      <c r="AB106" s="333">
        <f t="shared" si="53"/>
        <v>25.347062396301538</v>
      </c>
      <c r="AC106" s="334">
        <f t="shared" si="54"/>
        <v>-38.380446982427188</v>
      </c>
      <c r="AE106" s="333">
        <f t="shared" si="55"/>
        <v>51.478575137418616</v>
      </c>
      <c r="AF106" s="334">
        <f t="shared" si="56"/>
        <v>-83.465811648045531</v>
      </c>
      <c r="AH106">
        <f t="shared" si="57"/>
        <v>0</v>
      </c>
      <c r="AI106">
        <f t="shared" si="61"/>
        <v>0</v>
      </c>
    </row>
    <row r="107" spans="1:35" x14ac:dyDescent="0.2">
      <c r="A107" s="335">
        <v>5370.3</v>
      </c>
      <c r="B107" s="352">
        <f t="shared" si="59"/>
        <v>5.3703000000000003</v>
      </c>
      <c r="C107" s="325">
        <f t="shared" si="31"/>
        <v>6.8847974741004636</v>
      </c>
      <c r="D107" s="326">
        <f t="shared" si="32"/>
        <v>1.4250331504775815</v>
      </c>
      <c r="E107" s="326">
        <f t="shared" si="33"/>
        <v>1.0000227709883616</v>
      </c>
      <c r="F107" s="327">
        <f t="shared" si="34"/>
        <v>6.7484155580010054E-3</v>
      </c>
      <c r="G107" s="326">
        <f t="shared" si="35"/>
        <v>1</v>
      </c>
      <c r="H107" s="327">
        <f t="shared" si="36"/>
        <v>0</v>
      </c>
      <c r="I107" s="325">
        <f t="shared" si="37"/>
        <v>7127.8158284350066</v>
      </c>
      <c r="J107" s="328">
        <f t="shared" si="38"/>
        <v>1.5706560313625579</v>
      </c>
      <c r="K107" s="336">
        <f t="shared" si="39"/>
        <v>1.7048347955409717</v>
      </c>
      <c r="L107" s="337">
        <f t="shared" si="40"/>
        <v>0.94398269442797011</v>
      </c>
      <c r="M107" s="325">
        <f t="shared" si="41"/>
        <v>1.0005438086120371</v>
      </c>
      <c r="N107" s="337">
        <f t="shared" si="42"/>
        <v>3.2971572194984464E-2</v>
      </c>
      <c r="O107" s="343">
        <f t="shared" si="43"/>
        <v>1.000486804236792</v>
      </c>
      <c r="P107" s="691">
        <f t="shared" si="44"/>
        <v>3.1196372764211971E-2</v>
      </c>
      <c r="Q107" s="336">
        <f t="shared" si="60"/>
        <v>15.125852021404867</v>
      </c>
      <c r="R107" s="692">
        <f t="shared" si="45"/>
        <v>1.456425081000535E-2</v>
      </c>
      <c r="S107" s="329">
        <f t="shared" si="46"/>
        <v>0.99991052103492184</v>
      </c>
      <c r="T107" s="330">
        <f t="shared" si="47"/>
        <v>4.2630224814818034E-2</v>
      </c>
      <c r="U107" s="331">
        <f t="shared" si="48"/>
        <v>18.990453340271731</v>
      </c>
      <c r="V107" s="332">
        <f t="shared" si="49"/>
        <v>-120.54618043614198</v>
      </c>
      <c r="W107" s="334">
        <f t="shared" si="50"/>
        <v>59.453819563858019</v>
      </c>
      <c r="Y107" s="307">
        <f t="shared" si="51"/>
        <v>1000000000</v>
      </c>
      <c r="Z107" s="307">
        <f t="shared" si="52"/>
        <v>28840122.090000004</v>
      </c>
      <c r="AB107" s="333">
        <f t="shared" si="53"/>
        <v>25.277018843415618</v>
      </c>
      <c r="AC107" s="334">
        <f t="shared" si="54"/>
        <v>-37.794869313602128</v>
      </c>
      <c r="AE107" s="333">
        <f t="shared" si="55"/>
        <v>51.283004230740119</v>
      </c>
      <c r="AF107" s="334">
        <f t="shared" si="56"/>
        <v>-83.704261515951686</v>
      </c>
      <c r="AH107">
        <f t="shared" si="57"/>
        <v>0</v>
      </c>
      <c r="AI107">
        <f t="shared" si="61"/>
        <v>0</v>
      </c>
    </row>
    <row r="108" spans="1:35" x14ac:dyDescent="0.2">
      <c r="A108" s="335">
        <v>5432.85</v>
      </c>
      <c r="B108" s="352">
        <f t="shared" si="59"/>
        <v>5.4328500000000002</v>
      </c>
      <c r="C108" s="325">
        <f t="shared" si="31"/>
        <v>6.9633052030829061</v>
      </c>
      <c r="D108" s="326">
        <f t="shared" si="32"/>
        <v>1.4266880948357525</v>
      </c>
      <c r="E108" s="326">
        <f t="shared" si="33"/>
        <v>1.0000233045166442</v>
      </c>
      <c r="F108" s="327">
        <f t="shared" si="34"/>
        <v>6.8270145846533814E-3</v>
      </c>
      <c r="G108" s="326">
        <f t="shared" si="35"/>
        <v>1</v>
      </c>
      <c r="H108" s="327">
        <f t="shared" si="36"/>
        <v>0</v>
      </c>
      <c r="I108" s="325">
        <f t="shared" si="37"/>
        <v>7210.8363061259452</v>
      </c>
      <c r="J108" s="328">
        <f t="shared" si="38"/>
        <v>1.5706576466251143</v>
      </c>
      <c r="K108" s="336">
        <f t="shared" si="39"/>
        <v>1.7178856000195781</v>
      </c>
      <c r="L108" s="337">
        <f t="shared" si="40"/>
        <v>0.94947390944509857</v>
      </c>
      <c r="M108" s="325">
        <f t="shared" si="41"/>
        <v>1.0005565467486948</v>
      </c>
      <c r="N108" s="337">
        <f t="shared" si="42"/>
        <v>3.3355321943748739E-2</v>
      </c>
      <c r="O108" s="343">
        <f t="shared" si="43"/>
        <v>1.0004982074391298</v>
      </c>
      <c r="P108" s="691">
        <f t="shared" si="44"/>
        <v>3.1559489375389216E-2</v>
      </c>
      <c r="Q108" s="336">
        <f t="shared" si="60"/>
        <v>15.125888529654437</v>
      </c>
      <c r="R108" s="692">
        <f t="shared" si="45"/>
        <v>1.4733863018450638E-2</v>
      </c>
      <c r="S108" s="329">
        <f t="shared" si="46"/>
        <v>0.99990843634769899</v>
      </c>
      <c r="T108" s="330">
        <f t="shared" si="47"/>
        <v>4.312715210195027E-2</v>
      </c>
      <c r="U108" s="331">
        <f t="shared" si="48"/>
        <v>18.85761373850211</v>
      </c>
      <c r="V108" s="332">
        <f t="shared" si="49"/>
        <v>-120.36133956500616</v>
      </c>
      <c r="W108" s="334">
        <f t="shared" si="50"/>
        <v>59.638660434993838</v>
      </c>
      <c r="Y108" s="307">
        <f t="shared" si="51"/>
        <v>1000000000</v>
      </c>
      <c r="Z108" s="307">
        <f t="shared" si="52"/>
        <v>29515859.122500002</v>
      </c>
      <c r="AB108" s="333">
        <f t="shared" si="53"/>
        <v>25.242563692983161</v>
      </c>
      <c r="AC108" s="334">
        <f t="shared" si="54"/>
        <v>-37.502325657108216</v>
      </c>
      <c r="AE108" s="333">
        <f t="shared" si="55"/>
        <v>51.184541745724211</v>
      </c>
      <c r="AF108" s="334">
        <f t="shared" si="56"/>
        <v>-83.823051286916169</v>
      </c>
      <c r="AH108">
        <f t="shared" si="57"/>
        <v>0</v>
      </c>
      <c r="AI108">
        <f t="shared" si="61"/>
        <v>0</v>
      </c>
    </row>
    <row r="109" spans="1:35" x14ac:dyDescent="0.2">
      <c r="A109" s="335">
        <v>5495.4</v>
      </c>
      <c r="B109" s="352">
        <f t="shared" si="59"/>
        <v>5.4954000000000001</v>
      </c>
      <c r="C109" s="325">
        <f t="shared" si="31"/>
        <v>7.0418315781750849</v>
      </c>
      <c r="D109" s="326">
        <f t="shared" si="32"/>
        <v>1.4283061336060696</v>
      </c>
      <c r="E109" s="326">
        <f t="shared" si="33"/>
        <v>1.0000238442228713</v>
      </c>
      <c r="F109" s="327">
        <f t="shared" si="34"/>
        <v>6.9056135269525802E-3</v>
      </c>
      <c r="G109" s="326">
        <f t="shared" si="35"/>
        <v>1</v>
      </c>
      <c r="H109" s="327">
        <f t="shared" si="36"/>
        <v>0</v>
      </c>
      <c r="I109" s="325">
        <f t="shared" si="37"/>
        <v>7293.8567838352674</v>
      </c>
      <c r="J109" s="328">
        <f t="shared" si="38"/>
        <v>1.5706592251170368</v>
      </c>
      <c r="K109" s="336">
        <f t="shared" si="39"/>
        <v>1.7309874226633644</v>
      </c>
      <c r="L109" s="337">
        <f t="shared" si="40"/>
        <v>0.95488215961348066</v>
      </c>
      <c r="M109" s="325">
        <f t="shared" si="41"/>
        <v>1.000569432227417</v>
      </c>
      <c r="N109" s="337">
        <f t="shared" si="42"/>
        <v>3.3739061865052634E-2</v>
      </c>
      <c r="O109" s="343">
        <f t="shared" si="43"/>
        <v>1.0005097425578142</v>
      </c>
      <c r="P109" s="691">
        <f t="shared" si="44"/>
        <v>3.1922597661524332E-2</v>
      </c>
      <c r="Q109" s="336">
        <f t="shared" si="60"/>
        <v>15.125925460578355</v>
      </c>
      <c r="R109" s="692">
        <f t="shared" si="45"/>
        <v>1.4903474415544548E-2</v>
      </c>
      <c r="S109" s="329">
        <f t="shared" si="46"/>
        <v>0.99990632807176671</v>
      </c>
      <c r="T109" s="330">
        <f t="shared" si="47"/>
        <v>4.3624093147520089E-2</v>
      </c>
      <c r="U109" s="331">
        <f t="shared" si="48"/>
        <v>18.726761321326045</v>
      </c>
      <c r="V109" s="332">
        <f t="shared" si="49"/>
        <v>-120.17913624889206</v>
      </c>
      <c r="W109" s="334">
        <f t="shared" si="50"/>
        <v>59.820863751107936</v>
      </c>
      <c r="Y109" s="307">
        <f t="shared" si="51"/>
        <v>1000000000</v>
      </c>
      <c r="Z109" s="307">
        <f t="shared" si="52"/>
        <v>30199421.159999996</v>
      </c>
      <c r="AB109" s="333">
        <f t="shared" si="53"/>
        <v>25.209013396724387</v>
      </c>
      <c r="AC109" s="334">
        <f t="shared" si="54"/>
        <v>-37.214532866426701</v>
      </c>
      <c r="AE109" s="333">
        <f t="shared" si="55"/>
        <v>51.087160689694706</v>
      </c>
      <c r="AF109" s="334">
        <f t="shared" si="56"/>
        <v>-83.939727316587224</v>
      </c>
      <c r="AH109">
        <f t="shared" si="57"/>
        <v>0</v>
      </c>
      <c r="AI109">
        <f t="shared" si="61"/>
        <v>0</v>
      </c>
    </row>
    <row r="110" spans="1:35" x14ac:dyDescent="0.2">
      <c r="A110" s="335">
        <v>5559.4</v>
      </c>
      <c r="B110" s="352">
        <f t="shared" si="59"/>
        <v>5.5593999999999992</v>
      </c>
      <c r="C110" s="325">
        <f t="shared" si="31"/>
        <v>7.1221969650727415</v>
      </c>
      <c r="D110" s="326">
        <f t="shared" si="32"/>
        <v>1.4299247466450609</v>
      </c>
      <c r="E110" s="326">
        <f t="shared" si="33"/>
        <v>1.0000244028346883</v>
      </c>
      <c r="F110" s="327">
        <f t="shared" si="34"/>
        <v>6.9860344187610808E-3</v>
      </c>
      <c r="G110" s="326">
        <f t="shared" si="35"/>
        <v>1</v>
      </c>
      <c r="H110" s="327">
        <f t="shared" si="36"/>
        <v>0</v>
      </c>
      <c r="I110" s="325">
        <f t="shared" si="37"/>
        <v>7378.801797017466</v>
      </c>
      <c r="J110" s="328">
        <f t="shared" si="38"/>
        <v>1.5706608034361496</v>
      </c>
      <c r="K110" s="336">
        <f t="shared" si="39"/>
        <v>1.7444445714713082</v>
      </c>
      <c r="L110" s="337">
        <f t="shared" si="40"/>
        <v>0.96033153253587034</v>
      </c>
      <c r="M110" s="325">
        <f t="shared" si="41"/>
        <v>1.0005827689094036</v>
      </c>
      <c r="N110" s="337">
        <f t="shared" si="42"/>
        <v>3.4131687146705975E-2</v>
      </c>
      <c r="O110" s="343">
        <f t="shared" si="43"/>
        <v>1.0005216816113822</v>
      </c>
      <c r="P110" s="691">
        <f t="shared" si="44"/>
        <v>3.2294114609667503E-2</v>
      </c>
      <c r="Q110" s="336">
        <f t="shared" si="60"/>
        <v>15.125963685096808</v>
      </c>
      <c r="R110" s="692">
        <f t="shared" si="45"/>
        <v>1.507701680206305E-2</v>
      </c>
      <c r="S110" s="329">
        <f t="shared" si="46"/>
        <v>0.99990414652753967</v>
      </c>
      <c r="T110" s="330">
        <f t="shared" si="47"/>
        <v>4.4132568414800698E-2</v>
      </c>
      <c r="U110" s="331">
        <f t="shared" si="48"/>
        <v>18.594877102754271</v>
      </c>
      <c r="V110" s="332">
        <f t="shared" si="49"/>
        <v>-119.99541867991276</v>
      </c>
      <c r="W110" s="334">
        <f t="shared" si="50"/>
        <v>60.00458132008724</v>
      </c>
      <c r="Y110" s="307">
        <f t="shared" si="51"/>
        <v>1000000000</v>
      </c>
      <c r="Z110" s="307">
        <f t="shared" si="52"/>
        <v>30906928.359999996</v>
      </c>
      <c r="AB110" s="333">
        <f t="shared" si="53"/>
        <v>25.175590603273335</v>
      </c>
      <c r="AC110" s="334">
        <f t="shared" si="54"/>
        <v>-36.924892999242694</v>
      </c>
      <c r="AE110" s="333">
        <f t="shared" si="55"/>
        <v>50.988617566689413</v>
      </c>
      <c r="AF110" s="334">
        <f t="shared" si="56"/>
        <v>-84.056992721636917</v>
      </c>
      <c r="AH110">
        <f t="shared" si="57"/>
        <v>0</v>
      </c>
      <c r="AI110">
        <f t="shared" si="61"/>
        <v>0</v>
      </c>
    </row>
    <row r="111" spans="1:35" x14ac:dyDescent="0.2">
      <c r="A111" s="335">
        <v>5623.4</v>
      </c>
      <c r="B111" s="352">
        <f t="shared" si="59"/>
        <v>5.6233999999999993</v>
      </c>
      <c r="C111" s="325">
        <f t="shared" si="31"/>
        <v>7.2025805950440471</v>
      </c>
      <c r="D111" s="326">
        <f t="shared" si="32"/>
        <v>1.4315072350380378</v>
      </c>
      <c r="E111" s="326">
        <f t="shared" si="33"/>
        <v>1.0000249679141757</v>
      </c>
      <c r="F111" s="327">
        <f t="shared" si="34"/>
        <v>7.0664552202035812E-3</v>
      </c>
      <c r="G111" s="326">
        <f t="shared" si="35"/>
        <v>1</v>
      </c>
      <c r="H111" s="327">
        <f t="shared" si="36"/>
        <v>0</v>
      </c>
      <c r="I111" s="325">
        <f t="shared" si="37"/>
        <v>7463.746810217629</v>
      </c>
      <c r="J111" s="328">
        <f t="shared" si="38"/>
        <v>1.5706623458295157</v>
      </c>
      <c r="K111" s="336">
        <f t="shared" si="39"/>
        <v>1.7579527287353924</v>
      </c>
      <c r="L111" s="337">
        <f t="shared" si="40"/>
        <v>0.96569731650412893</v>
      </c>
      <c r="M111" s="325">
        <f t="shared" si="41"/>
        <v>1.0005962598317129</v>
      </c>
      <c r="N111" s="337">
        <f t="shared" si="42"/>
        <v>3.4524301901439861E-2</v>
      </c>
      <c r="O111" s="343">
        <f t="shared" si="43"/>
        <v>1.0005337587584913</v>
      </c>
      <c r="P111" s="691">
        <f t="shared" si="44"/>
        <v>3.2665622640144568E-2</v>
      </c>
      <c r="Q111" s="336">
        <f t="shared" si="60"/>
        <v>15.126002352106564</v>
      </c>
      <c r="R111" s="692">
        <f t="shared" si="45"/>
        <v>1.5250558319409259E-2</v>
      </c>
      <c r="S111" s="329">
        <f t="shared" si="46"/>
        <v>0.99990194032890534</v>
      </c>
      <c r="T111" s="330">
        <f t="shared" si="47"/>
        <v>4.4641058420353603E-2</v>
      </c>
      <c r="U111" s="331">
        <f t="shared" si="48"/>
        <v>18.464963060400851</v>
      </c>
      <c r="V111" s="332">
        <f t="shared" si="49"/>
        <v>-119.81441926469057</v>
      </c>
      <c r="W111" s="334">
        <f t="shared" si="50"/>
        <v>60.185580735309429</v>
      </c>
      <c r="Y111" s="307">
        <f t="shared" si="51"/>
        <v>1000000000</v>
      </c>
      <c r="Z111" s="307">
        <f t="shared" si="52"/>
        <v>31622627.559999995</v>
      </c>
      <c r="AB111" s="333">
        <f t="shared" si="53"/>
        <v>25.143052779983186</v>
      </c>
      <c r="AC111" s="334">
        <f t="shared" si="54"/>
        <v>-36.640039764808073</v>
      </c>
      <c r="AE111" s="333">
        <f t="shared" si="55"/>
        <v>50.891158706191732</v>
      </c>
      <c r="AF111" s="334">
        <f t="shared" si="56"/>
        <v>-84.17218918654963</v>
      </c>
      <c r="AH111">
        <f t="shared" si="57"/>
        <v>0</v>
      </c>
      <c r="AI111">
        <f t="shared" si="61"/>
        <v>0</v>
      </c>
    </row>
    <row r="112" spans="1:35" x14ac:dyDescent="0.2">
      <c r="A112" s="335">
        <v>5688.9</v>
      </c>
      <c r="B112" s="352">
        <f t="shared" si="59"/>
        <v>5.6888999999999994</v>
      </c>
      <c r="C112" s="325">
        <f t="shared" si="31"/>
        <v>7.2848664756020849</v>
      </c>
      <c r="D112" s="326">
        <f t="shared" si="32"/>
        <v>1.4330906481738934</v>
      </c>
      <c r="E112" s="326">
        <f t="shared" si="33"/>
        <v>1.0000255529345281</v>
      </c>
      <c r="F112" s="327">
        <f t="shared" si="34"/>
        <v>7.1487607895267856E-3</v>
      </c>
      <c r="G112" s="326">
        <f t="shared" si="35"/>
        <v>1</v>
      </c>
      <c r="H112" s="327">
        <f t="shared" si="36"/>
        <v>0</v>
      </c>
      <c r="I112" s="325">
        <f t="shared" si="37"/>
        <v>7550.6827221826361</v>
      </c>
      <c r="J112" s="328">
        <f t="shared" si="38"/>
        <v>1.5706638884393576</v>
      </c>
      <c r="K112" s="336">
        <f t="shared" si="39"/>
        <v>1.7718290817260911</v>
      </c>
      <c r="L112" s="337">
        <f t="shared" si="40"/>
        <v>0.97110398684632115</v>
      </c>
      <c r="M112" s="325">
        <f t="shared" si="41"/>
        <v>1.0006102266462003</v>
      </c>
      <c r="N112" s="337">
        <f t="shared" si="42"/>
        <v>3.4926107538729122E-2</v>
      </c>
      <c r="O112" s="343">
        <f t="shared" si="43"/>
        <v>1.0005462619448378</v>
      </c>
      <c r="P112" s="691">
        <f t="shared" si="44"/>
        <v>3.3045828549785099E-2</v>
      </c>
      <c r="Q112" s="336">
        <f t="shared" si="60"/>
        <v>15.126042383539991</v>
      </c>
      <c r="R112" s="692">
        <f t="shared" si="45"/>
        <v>1.5428166305668393E-2</v>
      </c>
      <c r="S112" s="329">
        <f t="shared" si="46"/>
        <v>0.99989965691636395</v>
      </c>
      <c r="T112" s="330">
        <f t="shared" si="47"/>
        <v>4.5161481597408279E-2</v>
      </c>
      <c r="U112" s="331">
        <f t="shared" si="48"/>
        <v>18.333989099903654</v>
      </c>
      <c r="V112" s="332">
        <f t="shared" si="49"/>
        <v>-119.63196719870612</v>
      </c>
      <c r="W112" s="334">
        <f t="shared" si="50"/>
        <v>60.368032801293879</v>
      </c>
      <c r="Y112" s="307">
        <f t="shared" si="51"/>
        <v>1000000000</v>
      </c>
      <c r="Z112" s="307">
        <f t="shared" si="52"/>
        <v>32363583.209999997</v>
      </c>
      <c r="AB112" s="333">
        <f t="shared" si="53"/>
        <v>25.110637734842598</v>
      </c>
      <c r="AC112" s="334">
        <f t="shared" si="54"/>
        <v>-36.353370524888952</v>
      </c>
      <c r="AE112" s="333">
        <f t="shared" si="55"/>
        <v>50.792514235597928</v>
      </c>
      <c r="AF112" s="334">
        <f t="shared" si="56"/>
        <v>-84.288014366445452</v>
      </c>
      <c r="AH112">
        <f t="shared" si="57"/>
        <v>0</v>
      </c>
      <c r="AI112">
        <f t="shared" si="61"/>
        <v>0</v>
      </c>
    </row>
    <row r="113" spans="1:35" x14ac:dyDescent="0.2">
      <c r="A113" s="335">
        <v>5754.4</v>
      </c>
      <c r="B113" s="352">
        <f t="shared" si="59"/>
        <v>5.7543999999999995</v>
      </c>
      <c r="C113" s="325">
        <f t="shared" si="31"/>
        <v>7.3671702127260348</v>
      </c>
      <c r="D113" s="326">
        <f t="shared" si="32"/>
        <v>1.4346386863196654</v>
      </c>
      <c r="E113" s="326">
        <f t="shared" si="33"/>
        <v>1.0000261447292524</v>
      </c>
      <c r="F113" s="327">
        <f t="shared" si="34"/>
        <v>7.2310662619940866E-3</v>
      </c>
      <c r="G113" s="326">
        <f t="shared" si="35"/>
        <v>1</v>
      </c>
      <c r="H113" s="327">
        <f t="shared" si="36"/>
        <v>0</v>
      </c>
      <c r="I113" s="325">
        <f t="shared" si="37"/>
        <v>7637.6186341652028</v>
      </c>
      <c r="J113" s="328">
        <f t="shared" si="38"/>
        <v>1.5706653959313963</v>
      </c>
      <c r="K113" s="336">
        <f t="shared" si="39"/>
        <v>1.7857564231562835</v>
      </c>
      <c r="L113" s="337">
        <f t="shared" si="40"/>
        <v>0.97642647614408939</v>
      </c>
      <c r="M113" s="325">
        <f t="shared" si="41"/>
        <v>1.0006243550024527</v>
      </c>
      <c r="N113" s="337">
        <f t="shared" si="42"/>
        <v>3.5327901894263603E-2</v>
      </c>
      <c r="O113" s="343">
        <f t="shared" si="43"/>
        <v>1.0005589097630567</v>
      </c>
      <c r="P113" s="691">
        <f t="shared" si="44"/>
        <v>3.3426024902206232E-2</v>
      </c>
      <c r="Q113" s="336">
        <f t="shared" si="60"/>
        <v>15.126082878442341</v>
      </c>
      <c r="R113" s="692">
        <f t="shared" si="45"/>
        <v>1.5605773360348145E-2</v>
      </c>
      <c r="S113" s="329">
        <f t="shared" si="46"/>
        <v>0.99989734772474925</v>
      </c>
      <c r="T113" s="330">
        <f t="shared" si="47"/>
        <v>4.5681920570211157E-2</v>
      </c>
      <c r="U113" s="331">
        <f t="shared" si="48"/>
        <v>18.204968997124489</v>
      </c>
      <c r="V113" s="332">
        <f t="shared" si="49"/>
        <v>-119.45231025994637</v>
      </c>
      <c r="W113" s="334">
        <f t="shared" si="50"/>
        <v>60.547689740053627</v>
      </c>
      <c r="Y113" s="307">
        <f t="shared" si="51"/>
        <v>1000000000</v>
      </c>
      <c r="Z113" s="307">
        <f t="shared" si="52"/>
        <v>33113119.359999996</v>
      </c>
      <c r="AB113" s="333">
        <f t="shared" si="53"/>
        <v>25.079088049469927</v>
      </c>
      <c r="AC113" s="334">
        <f t="shared" si="54"/>
        <v>-36.071521845036997</v>
      </c>
      <c r="AE113" s="333">
        <f t="shared" si="55"/>
        <v>50.694957274833918</v>
      </c>
      <c r="AF113" s="334">
        <f t="shared" si="56"/>
        <v>-84.401813619286017</v>
      </c>
      <c r="AH113">
        <f t="shared" si="57"/>
        <v>0</v>
      </c>
      <c r="AI113">
        <f t="shared" si="61"/>
        <v>0</v>
      </c>
    </row>
    <row r="114" spans="1:35" x14ac:dyDescent="0.2">
      <c r="A114" s="335">
        <v>5821.4</v>
      </c>
      <c r="B114" s="352">
        <f t="shared" si="59"/>
        <v>5.8213999999999997</v>
      </c>
      <c r="C114" s="325">
        <f t="shared" si="31"/>
        <v>7.4513766260436398</v>
      </c>
      <c r="D114" s="326">
        <f t="shared" si="32"/>
        <v>1.4361867907077897</v>
      </c>
      <c r="E114" s="326">
        <f t="shared" si="33"/>
        <v>1.0000267570853707</v>
      </c>
      <c r="F114" s="327">
        <f t="shared" si="34"/>
        <v>7.3152564912387519E-3</v>
      </c>
      <c r="G114" s="326">
        <f t="shared" si="35"/>
        <v>1</v>
      </c>
      <c r="H114" s="327">
        <f t="shared" si="36"/>
        <v>0</v>
      </c>
      <c r="I114" s="325">
        <f t="shared" si="37"/>
        <v>7726.5454449130093</v>
      </c>
      <c r="J114" s="328">
        <f t="shared" si="38"/>
        <v>1.5706669028485909</v>
      </c>
      <c r="K114" s="336">
        <f t="shared" si="39"/>
        <v>1.8000542307995859</v>
      </c>
      <c r="L114" s="337">
        <f t="shared" si="40"/>
        <v>0.98178548610185179</v>
      </c>
      <c r="M114" s="325">
        <f t="shared" si="41"/>
        <v>1.0006389740349839</v>
      </c>
      <c r="N114" s="337">
        <f t="shared" si="42"/>
        <v>3.5738885840254683E-2</v>
      </c>
      <c r="O114" s="343">
        <f t="shared" si="43"/>
        <v>1.000571996858318</v>
      </c>
      <c r="P114" s="691">
        <f t="shared" si="44"/>
        <v>3.3814918039090411E-2</v>
      </c>
      <c r="Q114" s="336">
        <f t="shared" si="60"/>
        <v>15.126124780216129</v>
      </c>
      <c r="R114" s="692">
        <f t="shared" si="45"/>
        <v>1.5787446777162168E-2</v>
      </c>
      <c r="S114" s="329">
        <f t="shared" si="46"/>
        <v>0.99989495900341074</v>
      </c>
      <c r="T114" s="330">
        <f t="shared" si="47"/>
        <v>4.6214294524282711E-2</v>
      </c>
      <c r="U114" s="331">
        <f t="shared" si="48"/>
        <v>18.074960978701384</v>
      </c>
      <c r="V114" s="332">
        <f t="shared" si="49"/>
        <v>-119.27140166051188</v>
      </c>
      <c r="W114" s="334">
        <f t="shared" si="50"/>
        <v>60.728598339488116</v>
      </c>
      <c r="Y114" s="307">
        <f t="shared" si="51"/>
        <v>1000000000</v>
      </c>
      <c r="Z114" s="307">
        <f t="shared" si="52"/>
        <v>33888697.959999993</v>
      </c>
      <c r="AB114" s="333">
        <f t="shared" si="53"/>
        <v>25.04768063730776</v>
      </c>
      <c r="AC114" s="334">
        <f t="shared" si="54"/>
        <v>-35.788107177313037</v>
      </c>
      <c r="AE114" s="333">
        <f t="shared" si="55"/>
        <v>50.596267121078789</v>
      </c>
      <c r="AF114" s="334">
        <f t="shared" si="56"/>
        <v>-84.516192502980942</v>
      </c>
      <c r="AH114">
        <f t="shared" si="57"/>
        <v>0</v>
      </c>
      <c r="AI114">
        <f t="shared" si="61"/>
        <v>0</v>
      </c>
    </row>
    <row r="115" spans="1:35" x14ac:dyDescent="0.2">
      <c r="A115" s="335">
        <v>5888.4</v>
      </c>
      <c r="B115" s="352">
        <f t="shared" si="59"/>
        <v>5.8883999999999999</v>
      </c>
      <c r="C115" s="325">
        <f t="shared" si="31"/>
        <v>7.5356004983969305</v>
      </c>
      <c r="D115" s="326">
        <f t="shared" si="32"/>
        <v>1.4377002929609191</v>
      </c>
      <c r="E115" s="326">
        <f t="shared" si="33"/>
        <v>1.0000273765296648</v>
      </c>
      <c r="F115" s="327">
        <f t="shared" si="34"/>
        <v>7.3994466167806973E-3</v>
      </c>
      <c r="G115" s="326">
        <f t="shared" si="35"/>
        <v>1</v>
      </c>
      <c r="H115" s="327">
        <f t="shared" si="36"/>
        <v>0</v>
      </c>
      <c r="I115" s="325">
        <f t="shared" si="37"/>
        <v>7815.4722556779625</v>
      </c>
      <c r="J115" s="328">
        <f t="shared" si="38"/>
        <v>1.5706683754734647</v>
      </c>
      <c r="K115" s="336">
        <f t="shared" si="39"/>
        <v>1.814402918577608</v>
      </c>
      <c r="L115" s="337">
        <f t="shared" si="40"/>
        <v>0.98705988514565624</v>
      </c>
      <c r="M115" s="325">
        <f t="shared" si="41"/>
        <v>1.0006537620782914</v>
      </c>
      <c r="N115" s="337">
        <f t="shared" si="42"/>
        <v>3.6149857708305116E-2</v>
      </c>
      <c r="O115" s="343">
        <f t="shared" si="43"/>
        <v>1.000585235273987</v>
      </c>
      <c r="P115" s="691">
        <f t="shared" si="44"/>
        <v>3.4203800944151562E-2</v>
      </c>
      <c r="Q115" s="336">
        <f t="shared" si="60"/>
        <v>15.126167166921567</v>
      </c>
      <c r="R115" s="692">
        <f t="shared" si="45"/>
        <v>1.5969119196559686E-2</v>
      </c>
      <c r="S115" s="329">
        <f t="shared" si="46"/>
        <v>0.99989254335756661</v>
      </c>
      <c r="T115" s="330">
        <f t="shared" si="47"/>
        <v>4.6746685389598225E-2</v>
      </c>
      <c r="U115" s="331">
        <f t="shared" si="48"/>
        <v>17.94688821915425</v>
      </c>
      <c r="V115" s="332">
        <f t="shared" si="49"/>
        <v>-119.09335720021068</v>
      </c>
      <c r="W115" s="334">
        <f t="shared" si="50"/>
        <v>60.906642799789324</v>
      </c>
      <c r="Y115" s="307">
        <f t="shared" si="51"/>
        <v>1000000000</v>
      </c>
      <c r="Z115" s="307">
        <f t="shared" si="52"/>
        <v>34673254.559999995</v>
      </c>
      <c r="AB115" s="333">
        <f t="shared" si="53"/>
        <v>25.017117952553182</v>
      </c>
      <c r="AC115" s="334">
        <f t="shared" si="54"/>
        <v>-35.509537701044856</v>
      </c>
      <c r="AE115" s="333">
        <f t="shared" si="55"/>
        <v>50.498666465089663</v>
      </c>
      <c r="AF115" s="334">
        <f t="shared" si="56"/>
        <v>-84.628589805260887</v>
      </c>
      <c r="AH115">
        <f t="shared" si="57"/>
        <v>0</v>
      </c>
      <c r="AI115">
        <f t="shared" si="61"/>
        <v>0</v>
      </c>
    </row>
    <row r="116" spans="1:35" x14ac:dyDescent="0.2">
      <c r="A116" s="335">
        <v>5957</v>
      </c>
      <c r="B116" s="352">
        <f t="shared" si="59"/>
        <v>5.9569999999999999</v>
      </c>
      <c r="C116" s="325">
        <f t="shared" si="31"/>
        <v>7.6218531720618286</v>
      </c>
      <c r="D116" s="326">
        <f t="shared" si="32"/>
        <v>1.4392152779232115</v>
      </c>
      <c r="E116" s="326">
        <f t="shared" si="33"/>
        <v>1.0000280181107459</v>
      </c>
      <c r="F116" s="327">
        <f t="shared" si="34"/>
        <v>7.4856471440901242E-3</v>
      </c>
      <c r="G116" s="326">
        <f t="shared" si="35"/>
        <v>1</v>
      </c>
      <c r="H116" s="327">
        <f t="shared" si="36"/>
        <v>0</v>
      </c>
      <c r="I116" s="325">
        <f t="shared" si="37"/>
        <v>7906.522691791778</v>
      </c>
      <c r="J116" s="328">
        <f t="shared" si="38"/>
        <v>1.5706698489434254</v>
      </c>
      <c r="K116" s="336">
        <f t="shared" si="39"/>
        <v>1.8291457282826893</v>
      </c>
      <c r="L116" s="337">
        <f t="shared" si="40"/>
        <v>0.99237435086480641</v>
      </c>
      <c r="M116" s="325">
        <f t="shared" si="41"/>
        <v>1.0006690783741619</v>
      </c>
      <c r="N116" s="337">
        <f t="shared" si="42"/>
        <v>3.6570631171474403E-2</v>
      </c>
      <c r="O116" s="343">
        <f t="shared" si="43"/>
        <v>1.0005989466086407</v>
      </c>
      <c r="P116" s="691">
        <f t="shared" si="44"/>
        <v>3.4601959881489203E-2</v>
      </c>
      <c r="Q116" s="336">
        <f t="shared" si="60"/>
        <v>15.126211068283196</v>
      </c>
      <c r="R116" s="692">
        <f t="shared" si="45"/>
        <v>1.615512901638742E-2</v>
      </c>
      <c r="S116" s="329">
        <f t="shared" si="46"/>
        <v>0.99989004215423838</v>
      </c>
      <c r="T116" s="330">
        <f t="shared" si="47"/>
        <v>4.7291807791081511E-2</v>
      </c>
      <c r="U116" s="331">
        <f t="shared" si="48"/>
        <v>17.817707652751601</v>
      </c>
      <c r="V116" s="332">
        <f t="shared" si="49"/>
        <v>-118.91399499293293</v>
      </c>
      <c r="W116" s="334">
        <f t="shared" si="50"/>
        <v>61.086005007067072</v>
      </c>
      <c r="Y116" s="307">
        <f t="shared" si="51"/>
        <v>1000000000</v>
      </c>
      <c r="Z116" s="307">
        <f t="shared" si="52"/>
        <v>35485849</v>
      </c>
      <c r="AB116" s="333">
        <f t="shared" si="53"/>
        <v>24.98667051207892</v>
      </c>
      <c r="AC116" s="334">
        <f t="shared" si="54"/>
        <v>-35.229234211830999</v>
      </c>
      <c r="AE116" s="333">
        <f t="shared" si="55"/>
        <v>50.399839523910316</v>
      </c>
      <c r="AF116" s="334">
        <f t="shared" si="56"/>
        <v>-84.74168633627167</v>
      </c>
      <c r="AH116">
        <f t="shared" si="57"/>
        <v>0</v>
      </c>
      <c r="AI116">
        <f t="shared" si="61"/>
        <v>0</v>
      </c>
    </row>
    <row r="117" spans="1:35" x14ac:dyDescent="0.2">
      <c r="A117" s="335">
        <v>6025.6</v>
      </c>
      <c r="B117" s="352">
        <f t="shared" si="59"/>
        <v>6.0256000000000007</v>
      </c>
      <c r="C117" s="325">
        <f t="shared" si="31"/>
        <v>7.7081229477248341</v>
      </c>
      <c r="D117" s="326">
        <f t="shared" si="32"/>
        <v>1.4406963546160769</v>
      </c>
      <c r="E117" s="326">
        <f t="shared" si="33"/>
        <v>1.0000286671225569</v>
      </c>
      <c r="F117" s="327">
        <f t="shared" si="34"/>
        <v>7.5718475601529514E-3</v>
      </c>
      <c r="G117" s="326">
        <f t="shared" si="35"/>
        <v>1</v>
      </c>
      <c r="H117" s="327">
        <f t="shared" si="36"/>
        <v>0</v>
      </c>
      <c r="I117" s="325">
        <f t="shared" si="37"/>
        <v>7997.5731279223683</v>
      </c>
      <c r="J117" s="328">
        <f t="shared" si="38"/>
        <v>1.5706712888631877</v>
      </c>
      <c r="K117" s="336">
        <f t="shared" si="39"/>
        <v>1.8439393726087199</v>
      </c>
      <c r="L117" s="337">
        <f t="shared" si="40"/>
        <v>0.99760368801777688</v>
      </c>
      <c r="M117" s="325">
        <f t="shared" si="41"/>
        <v>1.0006845718333583</v>
      </c>
      <c r="N117" s="337">
        <f t="shared" si="42"/>
        <v>3.6991391679584255E-2</v>
      </c>
      <c r="O117" s="343">
        <f t="shared" si="43"/>
        <v>1.000612816564423</v>
      </c>
      <c r="P117" s="691">
        <f t="shared" si="44"/>
        <v>3.5000107843814632E-2</v>
      </c>
      <c r="Q117" s="336">
        <f t="shared" si="60"/>
        <v>15.126255478005245</v>
      </c>
      <c r="R117" s="692">
        <f t="shared" si="45"/>
        <v>1.634113776626037E-2</v>
      </c>
      <c r="S117" s="329">
        <f t="shared" si="46"/>
        <v>0.9998875127786887</v>
      </c>
      <c r="T117" s="330">
        <f t="shared" si="47"/>
        <v>4.7836948332765111E-2</v>
      </c>
      <c r="U117" s="331">
        <f t="shared" si="48"/>
        <v>17.690447224874688</v>
      </c>
      <c r="V117" s="332">
        <f t="shared" si="49"/>
        <v>-118.73756644118177</v>
      </c>
      <c r="W117" s="334">
        <f t="shared" si="50"/>
        <v>61.26243355881823</v>
      </c>
      <c r="Y117" s="307">
        <f t="shared" si="51"/>
        <v>1000000000</v>
      </c>
      <c r="Z117" s="307">
        <f t="shared" si="52"/>
        <v>36307855.360000007</v>
      </c>
      <c r="AB117" s="333">
        <f t="shared" si="53"/>
        <v>24.957048675652977</v>
      </c>
      <c r="AC117" s="334">
        <f t="shared" si="54"/>
        <v>-34.953805565625807</v>
      </c>
      <c r="AE117" s="333">
        <f t="shared" si="55"/>
        <v>50.302106033758093</v>
      </c>
      <c r="AF117" s="334">
        <f t="shared" si="56"/>
        <v>-84.852841112282334</v>
      </c>
      <c r="AH117">
        <f t="shared" si="57"/>
        <v>0</v>
      </c>
      <c r="AI117">
        <f t="shared" si="61"/>
        <v>0</v>
      </c>
    </row>
    <row r="118" spans="1:35" x14ac:dyDescent="0.2">
      <c r="A118" s="335">
        <v>6095.8</v>
      </c>
      <c r="B118" s="352">
        <f t="shared" si="59"/>
        <v>6.0958000000000006</v>
      </c>
      <c r="C118" s="325">
        <f t="shared" si="31"/>
        <v>7.7964219591031512</v>
      </c>
      <c r="D118" s="326">
        <f t="shared" si="32"/>
        <v>1.4421780392822394</v>
      </c>
      <c r="E118" s="326">
        <f t="shared" si="33"/>
        <v>1.0000293389643722</v>
      </c>
      <c r="F118" s="327">
        <f t="shared" si="34"/>
        <v>7.6600583650415473E-3</v>
      </c>
      <c r="G118" s="326">
        <f t="shared" si="35"/>
        <v>1</v>
      </c>
      <c r="H118" s="327">
        <f t="shared" si="36"/>
        <v>0</v>
      </c>
      <c r="I118" s="325">
        <f t="shared" si="37"/>
        <v>8090.7471894022265</v>
      </c>
      <c r="J118" s="328">
        <f t="shared" si="38"/>
        <v>1.5706727288157314</v>
      </c>
      <c r="K118" s="336">
        <f t="shared" si="39"/>
        <v>1.8591294190241436</v>
      </c>
      <c r="L118" s="337">
        <f t="shared" si="40"/>
        <v>1.0028686877155162</v>
      </c>
      <c r="M118" s="325">
        <f t="shared" si="41"/>
        <v>1.0007006100570963</v>
      </c>
      <c r="N118" s="337">
        <f t="shared" si="42"/>
        <v>3.7421952277235937E-2</v>
      </c>
      <c r="O118" s="343">
        <f t="shared" si="43"/>
        <v>1.0006271742245345</v>
      </c>
      <c r="P118" s="691">
        <f t="shared" si="44"/>
        <v>3.540753056280966E-2</v>
      </c>
      <c r="Q118" s="336">
        <f t="shared" si="60"/>
        <v>15.126301449801788</v>
      </c>
      <c r="R118" s="692">
        <f t="shared" si="45"/>
        <v>1.6531483792111386E-2</v>
      </c>
      <c r="S118" s="329">
        <f t="shared" si="46"/>
        <v>0.99988489527223134</v>
      </c>
      <c r="T118" s="330">
        <f t="shared" si="47"/>
        <v>4.8394822519642729E-2</v>
      </c>
      <c r="U118" s="331">
        <f t="shared" si="48"/>
        <v>17.562152253558658</v>
      </c>
      <c r="V118" s="332">
        <f t="shared" si="49"/>
        <v>-118.56002241660669</v>
      </c>
      <c r="W118" s="334">
        <f t="shared" si="50"/>
        <v>61.439977583393315</v>
      </c>
      <c r="Y118" s="307">
        <f t="shared" si="51"/>
        <v>1000000000</v>
      </c>
      <c r="Z118" s="307">
        <f t="shared" si="52"/>
        <v>37158777.640000001</v>
      </c>
      <c r="AB118" s="333">
        <f t="shared" si="53"/>
        <v>24.927560953744617</v>
      </c>
      <c r="AC118" s="334">
        <f t="shared" si="54"/>
        <v>-34.676895111764786</v>
      </c>
      <c r="AE118" s="333">
        <f t="shared" si="55"/>
        <v>50.203200550732483</v>
      </c>
      <c r="AF118" s="334">
        <f t="shared" si="56"/>
        <v>-84.964645119930267</v>
      </c>
      <c r="AH118">
        <f t="shared" si="57"/>
        <v>0</v>
      </c>
      <c r="AI118">
        <f t="shared" si="61"/>
        <v>0</v>
      </c>
    </row>
    <row r="119" spans="1:35" x14ac:dyDescent="0.2">
      <c r="A119" s="335">
        <v>6166</v>
      </c>
      <c r="B119" s="352">
        <f t="shared" si="59"/>
        <v>6.1660000000000004</v>
      </c>
      <c r="C119" s="325">
        <f t="shared" si="31"/>
        <v>7.8847377032835047</v>
      </c>
      <c r="D119" s="326">
        <f t="shared" si="32"/>
        <v>1.4436265348214969</v>
      </c>
      <c r="E119" s="326">
        <f t="shared" si="33"/>
        <v>1.0000300185875517</v>
      </c>
      <c r="F119" s="327">
        <f t="shared" si="34"/>
        <v>7.748269050719906E-3</v>
      </c>
      <c r="G119" s="326">
        <f t="shared" si="35"/>
        <v>1</v>
      </c>
      <c r="H119" s="327">
        <f t="shared" si="36"/>
        <v>0</v>
      </c>
      <c r="I119" s="325">
        <f t="shared" si="37"/>
        <v>8183.9212508984774</v>
      </c>
      <c r="J119" s="328">
        <f t="shared" si="38"/>
        <v>1.5706741359805143</v>
      </c>
      <c r="K119" s="336">
        <f t="shared" si="39"/>
        <v>1.8743701647987019</v>
      </c>
      <c r="L119" s="337">
        <f t="shared" si="40"/>
        <v>1.0080482082697668</v>
      </c>
      <c r="M119" s="325">
        <f t="shared" si="41"/>
        <v>1.000716833787177</v>
      </c>
      <c r="N119" s="337">
        <f t="shared" si="42"/>
        <v>3.7852498994110848E-2</v>
      </c>
      <c r="O119" s="343">
        <f t="shared" si="43"/>
        <v>1.0006416979772421</v>
      </c>
      <c r="P119" s="691">
        <f t="shared" si="44"/>
        <v>3.5814941522406281E-2</v>
      </c>
      <c r="Q119" s="336">
        <f t="shared" si="60"/>
        <v>15.126347953939369</v>
      </c>
      <c r="R119" s="692">
        <f t="shared" si="45"/>
        <v>1.6721828671435762E-2</v>
      </c>
      <c r="S119" s="329">
        <f t="shared" si="46"/>
        <v>0.99988224832284933</v>
      </c>
      <c r="T119" s="330">
        <f t="shared" si="47"/>
        <v>4.8952716143884765E-2</v>
      </c>
      <c r="U119" s="331">
        <f t="shared" si="48"/>
        <v>17.435759987620479</v>
      </c>
      <c r="V119" s="332">
        <f t="shared" si="49"/>
        <v>-118.38547344396764</v>
      </c>
      <c r="W119" s="334">
        <f t="shared" si="50"/>
        <v>61.614526556032359</v>
      </c>
      <c r="Y119" s="307">
        <f t="shared" si="51"/>
        <v>1000000000</v>
      </c>
      <c r="Z119" s="307">
        <f t="shared" si="52"/>
        <v>38019556</v>
      </c>
      <c r="AB119" s="333">
        <f t="shared" si="53"/>
        <v>24.898878712419368</v>
      </c>
      <c r="AC119" s="334">
        <f t="shared" si="54"/>
        <v>-34.404879578157434</v>
      </c>
      <c r="AE119" s="333">
        <f t="shared" si="55"/>
        <v>50.105391158154973</v>
      </c>
      <c r="AF119" s="334">
        <f t="shared" si="56"/>
        <v>-85.074548651187825</v>
      </c>
      <c r="AH119">
        <f t="shared" si="57"/>
        <v>0</v>
      </c>
      <c r="AI119">
        <f t="shared" si="61"/>
        <v>0</v>
      </c>
    </row>
    <row r="120" spans="1:35" x14ac:dyDescent="0.2">
      <c r="A120" s="335">
        <v>6237.8</v>
      </c>
      <c r="B120" s="352">
        <f t="shared" si="59"/>
        <v>6.2378</v>
      </c>
      <c r="C120" s="325">
        <f t="shared" si="31"/>
        <v>7.9750830717140406</v>
      </c>
      <c r="D120" s="326">
        <f t="shared" si="32"/>
        <v>1.4450748551107309</v>
      </c>
      <c r="E120" s="326">
        <f t="shared" si="33"/>
        <v>1.0000307217501159</v>
      </c>
      <c r="F120" s="327">
        <f t="shared" si="34"/>
        <v>7.8384901116094041E-3</v>
      </c>
      <c r="G120" s="326">
        <f t="shared" si="35"/>
        <v>1</v>
      </c>
      <c r="H120" s="327">
        <f t="shared" si="36"/>
        <v>0</v>
      </c>
      <c r="I120" s="325">
        <f t="shared" si="37"/>
        <v>8279.2189377443592</v>
      </c>
      <c r="J120" s="328">
        <f t="shared" si="38"/>
        <v>1.5706755424540124</v>
      </c>
      <c r="K120" s="336">
        <f t="shared" si="39"/>
        <v>1.8900094454289802</v>
      </c>
      <c r="L120" s="337">
        <f t="shared" si="40"/>
        <v>1.0132592261735396</v>
      </c>
      <c r="M120" s="325">
        <f t="shared" si="41"/>
        <v>1.000733619176102</v>
      </c>
      <c r="N120" s="337">
        <f t="shared" si="42"/>
        <v>3.8292844216964751E-2</v>
      </c>
      <c r="O120" s="343">
        <f t="shared" si="43"/>
        <v>1.00065672456223</v>
      </c>
      <c r="P120" s="691">
        <f t="shared" si="44"/>
        <v>3.6231625896964166E-2</v>
      </c>
      <c r="Q120" s="336">
        <f t="shared" si="60"/>
        <v>15.126396068674199</v>
      </c>
      <c r="R120" s="692">
        <f t="shared" si="45"/>
        <v>1.6916510695818825E-2</v>
      </c>
      <c r="S120" s="329">
        <f t="shared" si="46"/>
        <v>0.99987951061849356</v>
      </c>
      <c r="T120" s="330">
        <f t="shared" si="47"/>
        <v>4.9523345631756588E-2</v>
      </c>
      <c r="U120" s="331">
        <f t="shared" si="48"/>
        <v>17.308401416740889</v>
      </c>
      <c r="V120" s="332">
        <f t="shared" si="49"/>
        <v>-118.21000283626543</v>
      </c>
      <c r="W120" s="334">
        <f t="shared" si="50"/>
        <v>61.789997163734569</v>
      </c>
      <c r="Y120" s="307">
        <f t="shared" si="51"/>
        <v>1000000000</v>
      </c>
      <c r="Z120" s="307">
        <f t="shared" si="52"/>
        <v>38910148.840000004</v>
      </c>
      <c r="AB120" s="333">
        <f t="shared" si="53"/>
        <v>24.870346746703838</v>
      </c>
      <c r="AC120" s="334">
        <f t="shared" si="54"/>
        <v>-34.131620752785615</v>
      </c>
      <c r="AE120" s="333">
        <f t="shared" si="55"/>
        <v>50.006461746932004</v>
      </c>
      <c r="AF120" s="334">
        <f t="shared" si="56"/>
        <v>-85.185056666578973</v>
      </c>
      <c r="AH120">
        <f t="shared" si="57"/>
        <v>0</v>
      </c>
      <c r="AI120">
        <f t="shared" si="61"/>
        <v>0</v>
      </c>
    </row>
    <row r="121" spans="1:35" x14ac:dyDescent="0.2">
      <c r="A121" s="335">
        <v>6309.6</v>
      </c>
      <c r="B121" s="352">
        <f t="shared" si="59"/>
        <v>6.3096000000000005</v>
      </c>
      <c r="C121" s="325">
        <f t="shared" si="31"/>
        <v>8.0654447941349154</v>
      </c>
      <c r="D121" s="326">
        <f t="shared" si="32"/>
        <v>1.4464907256182524</v>
      </c>
      <c r="E121" s="326">
        <f t="shared" si="33"/>
        <v>1.0000314330527587</v>
      </c>
      <c r="F121" s="327">
        <f t="shared" si="34"/>
        <v>7.9287110448883619E-3</v>
      </c>
      <c r="G121" s="326">
        <f t="shared" si="35"/>
        <v>1</v>
      </c>
      <c r="H121" s="327">
        <f t="shared" si="36"/>
        <v>0</v>
      </c>
      <c r="I121" s="325">
        <f t="shared" si="37"/>
        <v>8374.5166246062436</v>
      </c>
      <c r="J121" s="328">
        <f t="shared" si="38"/>
        <v>1.5706769169176222</v>
      </c>
      <c r="K121" s="336">
        <f t="shared" si="39"/>
        <v>1.9056992055406268</v>
      </c>
      <c r="L121" s="337">
        <f t="shared" si="40"/>
        <v>1.0183845759754211</v>
      </c>
      <c r="M121" s="325">
        <f t="shared" si="41"/>
        <v>1.0007505986046625</v>
      </c>
      <c r="N121" s="337">
        <f t="shared" si="42"/>
        <v>3.8733174582793288E-2</v>
      </c>
      <c r="O121" s="343">
        <f t="shared" si="43"/>
        <v>1.0006719248818745</v>
      </c>
      <c r="P121" s="691">
        <f t="shared" si="44"/>
        <v>3.6648297684899744E-2</v>
      </c>
      <c r="Q121" s="336">
        <f t="shared" si="60"/>
        <v>15.12644474028242</v>
      </c>
      <c r="R121" s="692">
        <f t="shared" si="45"/>
        <v>1.7111191492907681E-2</v>
      </c>
      <c r="S121" s="329">
        <f t="shared" si="46"/>
        <v>0.99987674217816358</v>
      </c>
      <c r="T121" s="330">
        <f t="shared" si="47"/>
        <v>5.0093995925090999E-2</v>
      </c>
      <c r="U121" s="331">
        <f t="shared" si="48"/>
        <v>17.182926049642248</v>
      </c>
      <c r="V121" s="332">
        <f t="shared" si="49"/>
        <v>-118.03758057864768</v>
      </c>
      <c r="W121" s="334">
        <f t="shared" si="50"/>
        <v>61.962419421352323</v>
      </c>
      <c r="Y121" s="307">
        <f t="shared" si="51"/>
        <v>1000000000</v>
      </c>
      <c r="Z121" s="307">
        <f t="shared" si="52"/>
        <v>39811052.160000004</v>
      </c>
      <c r="AB121" s="333">
        <f t="shared" si="53"/>
        <v>24.842599307145928</v>
      </c>
      <c r="AC121" s="334">
        <f t="shared" si="54"/>
        <v>-33.863267662820313</v>
      </c>
      <c r="AE121" s="333">
        <f t="shared" si="55"/>
        <v>49.908629826943461</v>
      </c>
      <c r="AF121" s="334">
        <f t="shared" si="56"/>
        <v>-85.293706645806509</v>
      </c>
      <c r="AH121">
        <f t="shared" si="57"/>
        <v>0</v>
      </c>
      <c r="AI121">
        <f t="shared" si="61"/>
        <v>0</v>
      </c>
    </row>
    <row r="122" spans="1:35" x14ac:dyDescent="0.2">
      <c r="A122" s="335">
        <v>6383.05</v>
      </c>
      <c r="B122" s="352">
        <f t="shared" si="59"/>
        <v>6.3830499999999999</v>
      </c>
      <c r="C122" s="325">
        <f t="shared" si="31"/>
        <v>8.1578994296630274</v>
      </c>
      <c r="D122" s="326">
        <f t="shared" si="32"/>
        <v>1.4479066751034406</v>
      </c>
      <c r="E122" s="326">
        <f t="shared" si="33"/>
        <v>1.000032169124297</v>
      </c>
      <c r="F122" s="327">
        <f t="shared" si="34"/>
        <v>8.0210051668759864E-3</v>
      </c>
      <c r="G122" s="326">
        <f t="shared" si="35"/>
        <v>1</v>
      </c>
      <c r="H122" s="327">
        <f t="shared" si="36"/>
        <v>0</v>
      </c>
      <c r="I122" s="325">
        <f t="shared" si="37"/>
        <v>8472.0043001097838</v>
      </c>
      <c r="J122" s="328">
        <f t="shared" si="38"/>
        <v>1.5706782909716253</v>
      </c>
      <c r="K122" s="336">
        <f t="shared" si="39"/>
        <v>1.9218004679571845</v>
      </c>
      <c r="L122" s="337">
        <f t="shared" si="40"/>
        <v>1.0235409756205982</v>
      </c>
      <c r="M122" s="325">
        <f t="shared" si="41"/>
        <v>1.0007681689982704</v>
      </c>
      <c r="N122" s="337">
        <f t="shared" si="42"/>
        <v>3.9183608410882524E-2</v>
      </c>
      <c r="O122" s="343">
        <f t="shared" si="43"/>
        <v>1.0006876542735266</v>
      </c>
      <c r="P122" s="691">
        <f t="shared" si="44"/>
        <v>3.7074531625370263E-2</v>
      </c>
      <c r="Q122" s="336">
        <f t="shared" si="60"/>
        <v>15.126495106599279</v>
      </c>
      <c r="R122" s="692">
        <f t="shared" si="45"/>
        <v>1.7310344867688402E-2</v>
      </c>
      <c r="S122" s="329">
        <f t="shared" si="46"/>
        <v>0.99987387834863273</v>
      </c>
      <c r="T122" s="330">
        <f t="shared" si="47"/>
        <v>5.0677781825199053E-2</v>
      </c>
      <c r="U122" s="331">
        <f t="shared" si="48"/>
        <v>17.056462416934281</v>
      </c>
      <c r="V122" s="332">
        <f t="shared" si="49"/>
        <v>-117.86430490212614</v>
      </c>
      <c r="W122" s="334">
        <f t="shared" si="50"/>
        <v>62.135695097873864</v>
      </c>
      <c r="Y122" s="307">
        <f t="shared" si="51"/>
        <v>1000000000</v>
      </c>
      <c r="Z122" s="307">
        <f t="shared" si="52"/>
        <v>40743327.302500002</v>
      </c>
      <c r="AB122" s="333">
        <f t="shared" si="53"/>
        <v>24.814997276174324</v>
      </c>
      <c r="AC122" s="334">
        <f t="shared" si="54"/>
        <v>-33.593714410155535</v>
      </c>
      <c r="AE122" s="333">
        <f t="shared" si="55"/>
        <v>49.809660615499624</v>
      </c>
      <c r="AF122" s="334">
        <f t="shared" si="56"/>
        <v>-85.402994979988065</v>
      </c>
      <c r="AH122">
        <f t="shared" si="57"/>
        <v>0</v>
      </c>
      <c r="AI122">
        <f t="shared" si="61"/>
        <v>0</v>
      </c>
    </row>
    <row r="123" spans="1:35" x14ac:dyDescent="0.2">
      <c r="A123" s="335">
        <v>6456.5</v>
      </c>
      <c r="B123" s="352">
        <f t="shared" si="59"/>
        <v>6.4565000000000001</v>
      </c>
      <c r="C123" s="325">
        <f t="shared" si="31"/>
        <v>8.2503700544785712</v>
      </c>
      <c r="D123" s="326">
        <f t="shared" si="32"/>
        <v>1.4492908872247767</v>
      </c>
      <c r="E123" s="326">
        <f t="shared" si="33"/>
        <v>1.0000329137143018</v>
      </c>
      <c r="F123" s="327">
        <f t="shared" si="34"/>
        <v>8.113299152211751E-3</v>
      </c>
      <c r="G123" s="326">
        <f t="shared" si="35"/>
        <v>1</v>
      </c>
      <c r="H123" s="327">
        <f t="shared" si="36"/>
        <v>0</v>
      </c>
      <c r="I123" s="325">
        <f t="shared" si="37"/>
        <v>8569.4919756289546</v>
      </c>
      <c r="J123" s="328">
        <f t="shared" si="38"/>
        <v>1.5706796337627877</v>
      </c>
      <c r="K123" s="336">
        <f t="shared" si="39"/>
        <v>1.9379519782191514</v>
      </c>
      <c r="L123" s="337">
        <f t="shared" si="40"/>
        <v>1.0286115580603714</v>
      </c>
      <c r="M123" s="325">
        <f t="shared" si="41"/>
        <v>1.0007859424312127</v>
      </c>
      <c r="N123" s="337">
        <f t="shared" si="42"/>
        <v>3.9634026331418021E-2</v>
      </c>
      <c r="O123" s="343">
        <f t="shared" si="43"/>
        <v>1.000703565459746</v>
      </c>
      <c r="P123" s="691">
        <f t="shared" si="44"/>
        <v>3.7500752089033612E-2</v>
      </c>
      <c r="Q123" s="336">
        <f t="shared" si="60"/>
        <v>15.126546055666639</v>
      </c>
      <c r="R123" s="692">
        <f t="shared" si="45"/>
        <v>1.750949692824684E-2</v>
      </c>
      <c r="S123" s="329">
        <f t="shared" si="46"/>
        <v>0.99987098242475336</v>
      </c>
      <c r="T123" s="330">
        <f t="shared" si="47"/>
        <v>5.1261590003082384E-2</v>
      </c>
      <c r="U123" s="331">
        <f t="shared" si="48"/>
        <v>16.931863155439981</v>
      </c>
      <c r="V123" s="332">
        <f t="shared" si="49"/>
        <v>-117.69412705073809</v>
      </c>
      <c r="W123" s="334">
        <f t="shared" si="50"/>
        <v>62.305872949261911</v>
      </c>
      <c r="Y123" s="307">
        <f t="shared" si="51"/>
        <v>1000000000</v>
      </c>
      <c r="Z123" s="307">
        <f t="shared" si="52"/>
        <v>41686392.25</v>
      </c>
      <c r="AB123" s="333">
        <f t="shared" si="53"/>
        <v>24.788159167318607</v>
      </c>
      <c r="AC123" s="334">
        <f t="shared" si="54"/>
        <v>-33.32907541851111</v>
      </c>
      <c r="AE123" s="333">
        <f t="shared" si="55"/>
        <v>49.711790611889903</v>
      </c>
      <c r="AF123" s="334">
        <f t="shared" si="56"/>
        <v>-85.510466181418053</v>
      </c>
      <c r="AH123">
        <f t="shared" si="57"/>
        <v>0</v>
      </c>
      <c r="AI123">
        <f t="shared" si="61"/>
        <v>0</v>
      </c>
    </row>
    <row r="124" spans="1:35" x14ac:dyDescent="0.2">
      <c r="A124" s="335">
        <v>6531.7</v>
      </c>
      <c r="B124" s="352">
        <f t="shared" si="59"/>
        <v>6.5316999999999998</v>
      </c>
      <c r="C124" s="325">
        <f t="shared" si="31"/>
        <v>8.3450598698128324</v>
      </c>
      <c r="D124" s="326">
        <f t="shared" si="32"/>
        <v>1.4506762948669054</v>
      </c>
      <c r="E124" s="326">
        <f t="shared" si="33"/>
        <v>1.0000336848700107</v>
      </c>
      <c r="F124" s="327">
        <f t="shared" si="34"/>
        <v>8.2077919660719853E-3</v>
      </c>
      <c r="G124" s="326">
        <f t="shared" si="35"/>
        <v>1</v>
      </c>
      <c r="H124" s="327">
        <f t="shared" si="36"/>
        <v>0</v>
      </c>
      <c r="I124" s="325">
        <f t="shared" si="37"/>
        <v>8669.302366373553</v>
      </c>
      <c r="J124" s="328">
        <f t="shared" si="38"/>
        <v>1.5706809772592643</v>
      </c>
      <c r="K124" s="336">
        <f t="shared" si="39"/>
        <v>1.9545390670990455</v>
      </c>
      <c r="L124" s="337">
        <f t="shared" si="40"/>
        <v>1.0337159951161077</v>
      </c>
      <c r="M124" s="325">
        <f t="shared" si="41"/>
        <v>1.0008043496712085</v>
      </c>
      <c r="N124" s="337">
        <f t="shared" si="42"/>
        <v>4.0095159117984273E-2</v>
      </c>
      <c r="O124" s="343">
        <f t="shared" si="43"/>
        <v>1.0007200440758146</v>
      </c>
      <c r="P124" s="691">
        <f t="shared" si="44"/>
        <v>3.7937113443838315E-2</v>
      </c>
      <c r="Q124" s="336">
        <f t="shared" si="60"/>
        <v>15.12659882236926</v>
      </c>
      <c r="R124" s="692">
        <f t="shared" si="45"/>
        <v>1.7713392555048568E-2</v>
      </c>
      <c r="S124" s="329">
        <f t="shared" si="46"/>
        <v>0.99986798429078705</v>
      </c>
      <c r="T124" s="330">
        <f t="shared" si="47"/>
        <v>5.1859331184964989E-2</v>
      </c>
      <c r="U124" s="331">
        <f t="shared" si="48"/>
        <v>16.806173711118721</v>
      </c>
      <c r="V124" s="332">
        <f t="shared" si="49"/>
        <v>-117.52305500283968</v>
      </c>
      <c r="W124" s="334">
        <f t="shared" si="50"/>
        <v>62.476944997160317</v>
      </c>
      <c r="Y124" s="307">
        <f t="shared" si="51"/>
        <v>1000000000</v>
      </c>
      <c r="Z124" s="307">
        <f t="shared" si="52"/>
        <v>42663104.890000001</v>
      </c>
      <c r="AB124" s="333">
        <f t="shared" si="53"/>
        <v>24.76144481687777</v>
      </c>
      <c r="AC124" s="334">
        <f t="shared" si="54"/>
        <v>-33.063110657266577</v>
      </c>
      <c r="AE124" s="333">
        <f t="shared" si="55"/>
        <v>49.612702787757364</v>
      </c>
      <c r="AF124" s="334">
        <f t="shared" si="56"/>
        <v>-85.618678199875362</v>
      </c>
      <c r="AH124">
        <f t="shared" si="57"/>
        <v>0</v>
      </c>
      <c r="AI124">
        <f t="shared" si="61"/>
        <v>0</v>
      </c>
    </row>
    <row r="125" spans="1:35" x14ac:dyDescent="0.2">
      <c r="A125" s="335">
        <v>6606.9</v>
      </c>
      <c r="B125" s="352">
        <f t="shared" si="59"/>
        <v>6.6068999999999996</v>
      </c>
      <c r="C125" s="325">
        <f t="shared" si="31"/>
        <v>8.4397653428484265</v>
      </c>
      <c r="D125" s="326">
        <f t="shared" si="32"/>
        <v>1.4520306128007905</v>
      </c>
      <c r="E125" s="326">
        <f t="shared" si="33"/>
        <v>1.0000344649548984</v>
      </c>
      <c r="F125" s="327">
        <f t="shared" si="34"/>
        <v>8.3022846333561818E-3</v>
      </c>
      <c r="G125" s="326">
        <f t="shared" si="35"/>
        <v>1</v>
      </c>
      <c r="H125" s="327">
        <f t="shared" si="36"/>
        <v>0</v>
      </c>
      <c r="I125" s="325">
        <f t="shared" si="37"/>
        <v>8769.1127571334418</v>
      </c>
      <c r="J125" s="328">
        <f t="shared" si="38"/>
        <v>1.5706822901722801</v>
      </c>
      <c r="K125" s="336">
        <f t="shared" si="39"/>
        <v>1.9711762242036464</v>
      </c>
      <c r="L125" s="337">
        <f t="shared" si="40"/>
        <v>1.0387343959736757</v>
      </c>
      <c r="M125" s="325">
        <f t="shared" si="41"/>
        <v>1.0008229697178364</v>
      </c>
      <c r="N125" s="337">
        <f t="shared" si="42"/>
        <v>4.0556274844093694E-2</v>
      </c>
      <c r="O125" s="343">
        <f t="shared" si="43"/>
        <v>1.0007367132339233</v>
      </c>
      <c r="P125" s="691">
        <f t="shared" si="44"/>
        <v>3.8373460344882732E-2</v>
      </c>
      <c r="Q125" s="336">
        <f t="shared" si="60"/>
        <v>15.126652199909548</v>
      </c>
      <c r="R125" s="692">
        <f t="shared" si="45"/>
        <v>1.79172867722143E-2</v>
      </c>
      <c r="S125" s="329">
        <f t="shared" si="46"/>
        <v>0.999864952592319</v>
      </c>
      <c r="T125" s="330">
        <f t="shared" si="47"/>
        <v>5.245709626052774E-2</v>
      </c>
      <c r="U125" s="331">
        <f t="shared" si="48"/>
        <v>16.682332807772791</v>
      </c>
      <c r="V125" s="332">
        <f t="shared" si="49"/>
        <v>-117.35513055189968</v>
      </c>
      <c r="W125" s="334">
        <f t="shared" si="50"/>
        <v>62.644869448100323</v>
      </c>
      <c r="Y125" s="307">
        <f t="shared" si="51"/>
        <v>1000000000</v>
      </c>
      <c r="Z125" s="307">
        <f t="shared" si="52"/>
        <v>43651127.609999992</v>
      </c>
      <c r="AB125" s="333">
        <f t="shared" si="53"/>
        <v>24.735475070443705</v>
      </c>
      <c r="AC125" s="334">
        <f t="shared" si="54"/>
        <v>-32.802072677272676</v>
      </c>
      <c r="AE125" s="333">
        <f t="shared" si="55"/>
        <v>49.514717599783708</v>
      </c>
      <c r="AF125" s="334">
        <f t="shared" si="56"/>
        <v>-85.725110286667217</v>
      </c>
      <c r="AH125">
        <f t="shared" si="57"/>
        <v>0</v>
      </c>
      <c r="AI125">
        <f t="shared" si="61"/>
        <v>0</v>
      </c>
    </row>
    <row r="126" spans="1:35" x14ac:dyDescent="0.2">
      <c r="A126" s="335">
        <v>6683.85</v>
      </c>
      <c r="B126" s="352">
        <f t="shared" si="59"/>
        <v>6.6838500000000005</v>
      </c>
      <c r="C126" s="325">
        <f t="shared" si="31"/>
        <v>8.5366903980120679</v>
      </c>
      <c r="D126" s="326">
        <f t="shared" si="32"/>
        <v>1.4533853384043631</v>
      </c>
      <c r="E126" s="326">
        <f t="shared" si="33"/>
        <v>1.0000352724366224</v>
      </c>
      <c r="F126" s="327">
        <f t="shared" si="34"/>
        <v>8.3989761121448028E-3</v>
      </c>
      <c r="G126" s="326">
        <f t="shared" si="35"/>
        <v>1</v>
      </c>
      <c r="H126" s="327">
        <f t="shared" si="36"/>
        <v>0</v>
      </c>
      <c r="I126" s="325">
        <f t="shared" si="37"/>
        <v>8871.2458631191257</v>
      </c>
      <c r="J126" s="328">
        <f t="shared" si="38"/>
        <v>1.5706836030560276</v>
      </c>
      <c r="K126" s="336">
        <f t="shared" si="39"/>
        <v>1.9882510675003466</v>
      </c>
      <c r="L126" s="337">
        <f t="shared" si="40"/>
        <v>1.0437825114995065</v>
      </c>
      <c r="M126" s="325">
        <f t="shared" si="41"/>
        <v>1.0008422433570059</v>
      </c>
      <c r="N126" s="337">
        <f t="shared" si="42"/>
        <v>4.1028103457638479E-2</v>
      </c>
      <c r="O126" s="343">
        <f t="shared" si="43"/>
        <v>1.0007539675395563</v>
      </c>
      <c r="P126" s="691">
        <f t="shared" si="44"/>
        <v>3.8819946460561812E-2</v>
      </c>
      <c r="Q126" s="336">
        <f t="shared" si="60"/>
        <v>15.126707451932127</v>
      </c>
      <c r="R126" s="692">
        <f t="shared" si="45"/>
        <v>1.8125924391970746E-2</v>
      </c>
      <c r="S126" s="329">
        <f t="shared" si="46"/>
        <v>0.99986181563869669</v>
      </c>
      <c r="T126" s="330">
        <f t="shared" si="47"/>
        <v>5.3068797112522839E-2</v>
      </c>
      <c r="U126" s="331">
        <f t="shared" si="48"/>
        <v>16.557470865793515</v>
      </c>
      <c r="V126" s="332">
        <f t="shared" si="49"/>
        <v>-117.18650405648729</v>
      </c>
      <c r="W126" s="334">
        <f t="shared" si="50"/>
        <v>62.813495943512706</v>
      </c>
      <c r="Y126" s="307">
        <f t="shared" si="51"/>
        <v>1000000000</v>
      </c>
      <c r="Z126" s="307">
        <f t="shared" si="52"/>
        <v>44673850.822500005</v>
      </c>
      <c r="AB126" s="333">
        <f t="shared" si="53"/>
        <v>24.709644018518347</v>
      </c>
      <c r="AC126" s="334">
        <f t="shared" si="54"/>
        <v>-32.539945973755927</v>
      </c>
      <c r="AE126" s="333">
        <f t="shared" si="55"/>
        <v>49.415568678615045</v>
      </c>
      <c r="AF126" s="334">
        <f t="shared" si="56"/>
        <v>-85.83223820976707</v>
      </c>
      <c r="AH126">
        <f t="shared" si="57"/>
        <v>0</v>
      </c>
      <c r="AI126">
        <f t="shared" si="61"/>
        <v>0</v>
      </c>
    </row>
    <row r="127" spans="1:35" x14ac:dyDescent="0.2">
      <c r="A127" s="335">
        <v>6760.8</v>
      </c>
      <c r="B127" s="352">
        <f t="shared" si="59"/>
        <v>6.7608000000000006</v>
      </c>
      <c r="C127" s="325">
        <f t="shared" si="31"/>
        <v>8.6336307686139317</v>
      </c>
      <c r="D127" s="326">
        <f t="shared" si="32"/>
        <v>1.454709644058523</v>
      </c>
      <c r="E127" s="326">
        <f t="shared" si="33"/>
        <v>1.000036089267903</v>
      </c>
      <c r="F127" s="327">
        <f t="shared" si="34"/>
        <v>8.4956674338818611E-3</v>
      </c>
      <c r="G127" s="326">
        <f t="shared" si="35"/>
        <v>1</v>
      </c>
      <c r="H127" s="327">
        <f t="shared" si="36"/>
        <v>0</v>
      </c>
      <c r="I127" s="325">
        <f t="shared" si="37"/>
        <v>8973.3789691197544</v>
      </c>
      <c r="J127" s="328">
        <f t="shared" si="38"/>
        <v>1.5706848860538434</v>
      </c>
      <c r="K127" s="336">
        <f t="shared" si="39"/>
        <v>2.0053757147674238</v>
      </c>
      <c r="L127" s="337">
        <f t="shared" si="40"/>
        <v>1.0487445362208832</v>
      </c>
      <c r="M127" s="325">
        <f t="shared" si="41"/>
        <v>1.0008617397973081</v>
      </c>
      <c r="N127" s="337">
        <f t="shared" si="42"/>
        <v>4.149991379409914E-2</v>
      </c>
      <c r="O127" s="343">
        <f t="shared" si="43"/>
        <v>1.000771421338442</v>
      </c>
      <c r="P127" s="691">
        <f t="shared" si="44"/>
        <v>3.9266417091498355E-2</v>
      </c>
      <c r="Q127" s="336">
        <f t="shared" si="60"/>
        <v>15.12676334353935</v>
      </c>
      <c r="R127" s="692">
        <f t="shared" si="45"/>
        <v>1.8334560501380867E-2</v>
      </c>
      <c r="S127" s="329">
        <f t="shared" si="46"/>
        <v>0.99985864362511412</v>
      </c>
      <c r="T127" s="330">
        <f t="shared" si="47"/>
        <v>5.3680523563599446E-2</v>
      </c>
      <c r="U127" s="331">
        <f t="shared" si="48"/>
        <v>16.43443956610286</v>
      </c>
      <c r="V127" s="332">
        <f t="shared" si="49"/>
        <v>-117.02106678296842</v>
      </c>
      <c r="W127" s="334">
        <f t="shared" si="50"/>
        <v>62.978933217031582</v>
      </c>
      <c r="Y127" s="307">
        <f t="shared" si="51"/>
        <v>1000000000</v>
      </c>
      <c r="Z127" s="307">
        <f t="shared" si="52"/>
        <v>45708416.640000001</v>
      </c>
      <c r="AB127" s="333">
        <f t="shared" si="53"/>
        <v>24.684537482636234</v>
      </c>
      <c r="AC127" s="334">
        <f t="shared" si="54"/>
        <v>-32.282749150457391</v>
      </c>
      <c r="AE127" s="333">
        <f t="shared" si="55"/>
        <v>49.317524521970824</v>
      </c>
      <c r="AF127" s="334">
        <f t="shared" si="56"/>
        <v>-85.937624673868299</v>
      </c>
      <c r="AH127">
        <f t="shared" si="57"/>
        <v>0</v>
      </c>
      <c r="AI127">
        <f t="shared" si="61"/>
        <v>0</v>
      </c>
    </row>
    <row r="128" spans="1:35" x14ac:dyDescent="0.2">
      <c r="A128" s="335">
        <v>6839.55</v>
      </c>
      <c r="B128" s="352">
        <f t="shared" si="59"/>
        <v>6.83955</v>
      </c>
      <c r="C128" s="325">
        <f t="shared" si="31"/>
        <v>8.7328540750486923</v>
      </c>
      <c r="D128" s="326">
        <f t="shared" si="32"/>
        <v>1.4560344842645292</v>
      </c>
      <c r="E128" s="326">
        <f t="shared" si="33"/>
        <v>1.0000369348864933</v>
      </c>
      <c r="F128" s="327">
        <f t="shared" si="34"/>
        <v>8.5946203764315048E-3</v>
      </c>
      <c r="G128" s="326">
        <f t="shared" si="35"/>
        <v>1</v>
      </c>
      <c r="H128" s="327">
        <f t="shared" si="36"/>
        <v>0</v>
      </c>
      <c r="I128" s="325">
        <f t="shared" si="37"/>
        <v>9077.9011536382623</v>
      </c>
      <c r="J128" s="328">
        <f t="shared" si="38"/>
        <v>1.5706861691730964</v>
      </c>
      <c r="K128" s="336">
        <f t="shared" si="39"/>
        <v>2.0229511839261711</v>
      </c>
      <c r="L128" s="337">
        <f t="shared" si="40"/>
        <v>1.0537355262727308</v>
      </c>
      <c r="M128" s="325">
        <f t="shared" si="41"/>
        <v>1.0008819229607786</v>
      </c>
      <c r="N128" s="337">
        <f t="shared" si="42"/>
        <v>4.1982741488215583E-2</v>
      </c>
      <c r="O128" s="343">
        <f t="shared" si="43"/>
        <v>1.000789489950028</v>
      </c>
      <c r="P128" s="691">
        <f t="shared" si="44"/>
        <v>3.9723315262704437E-2</v>
      </c>
      <c r="Q128" s="336">
        <f t="shared" si="60"/>
        <v>15.126821204746394</v>
      </c>
      <c r="R128" s="692">
        <f t="shared" si="45"/>
        <v>1.8548075405745112E-2</v>
      </c>
      <c r="S128" s="329">
        <f t="shared" si="46"/>
        <v>0.99985536115823836</v>
      </c>
      <c r="T128" s="330">
        <f t="shared" si="47"/>
        <v>5.4306586215858453E-2</v>
      </c>
      <c r="U128" s="331">
        <f t="shared" si="48"/>
        <v>16.310373460507492</v>
      </c>
      <c r="V128" s="332">
        <f t="shared" si="49"/>
        <v>-116.85500570368475</v>
      </c>
      <c r="W128" s="334">
        <f t="shared" si="50"/>
        <v>63.144994296315247</v>
      </c>
      <c r="Y128" s="307">
        <f t="shared" si="51"/>
        <v>1000000000</v>
      </c>
      <c r="Z128" s="307">
        <f t="shared" si="52"/>
        <v>46779444.202500001</v>
      </c>
      <c r="AB128" s="333">
        <f t="shared" si="53"/>
        <v>24.659566557968766</v>
      </c>
      <c r="AC128" s="334">
        <f t="shared" si="54"/>
        <v>-32.024523991022399</v>
      </c>
      <c r="AE128" s="333">
        <f t="shared" si="55"/>
        <v>49.218305745699674</v>
      </c>
      <c r="AF128" s="334">
        <f t="shared" si="56"/>
        <v>-86.043733588029653</v>
      </c>
      <c r="AH128">
        <f t="shared" si="57"/>
        <v>0</v>
      </c>
      <c r="AI128">
        <f t="shared" si="61"/>
        <v>0</v>
      </c>
    </row>
    <row r="129" spans="1:35" x14ac:dyDescent="0.2">
      <c r="A129" s="335">
        <v>6918.3</v>
      </c>
      <c r="B129" s="352">
        <f t="shared" si="59"/>
        <v>6.9183000000000003</v>
      </c>
      <c r="C129" s="325">
        <f t="shared" si="31"/>
        <v>8.832092364987048</v>
      </c>
      <c r="D129" s="326">
        <f t="shared" si="32"/>
        <v>1.4573295546221186</v>
      </c>
      <c r="E129" s="326">
        <f t="shared" si="33"/>
        <v>1.0000377902971134</v>
      </c>
      <c r="F129" s="327">
        <f t="shared" si="34"/>
        <v>8.6935731506656618E-3</v>
      </c>
      <c r="G129" s="326">
        <f t="shared" si="35"/>
        <v>1</v>
      </c>
      <c r="H129" s="327">
        <f t="shared" si="36"/>
        <v>0</v>
      </c>
      <c r="I129" s="325">
        <f t="shared" si="37"/>
        <v>9182.4233381713802</v>
      </c>
      <c r="J129" s="328">
        <f t="shared" si="38"/>
        <v>1.5706874230812311</v>
      </c>
      <c r="K129" s="336">
        <f t="shared" si="39"/>
        <v>2.0405761759906995</v>
      </c>
      <c r="L129" s="337">
        <f t="shared" si="40"/>
        <v>1.0586404197724826</v>
      </c>
      <c r="M129" s="325">
        <f t="shared" si="41"/>
        <v>1.0009023394429857</v>
      </c>
      <c r="N129" s="337">
        <f t="shared" si="42"/>
        <v>4.2465549597369472E-2</v>
      </c>
      <c r="O129" s="343">
        <f t="shared" si="43"/>
        <v>1.0008077674747944</v>
      </c>
      <c r="P129" s="691">
        <f t="shared" si="44"/>
        <v>4.0180196840829498E-2</v>
      </c>
      <c r="Q129" s="336">
        <f t="shared" si="60"/>
        <v>15.12687973579504</v>
      </c>
      <c r="R129" s="692">
        <f t="shared" si="45"/>
        <v>1.8761588691477097E-2</v>
      </c>
      <c r="S129" s="329">
        <f t="shared" si="46"/>
        <v>0.99985204206509759</v>
      </c>
      <c r="T129" s="330">
        <f t="shared" si="47"/>
        <v>5.4932676300685178E-2</v>
      </c>
      <c r="U129" s="331">
        <f t="shared" si="48"/>
        <v>16.188120534391736</v>
      </c>
      <c r="V129" s="332">
        <f t="shared" si="49"/>
        <v>-116.69217155037668</v>
      </c>
      <c r="W129" s="334">
        <f t="shared" si="50"/>
        <v>63.307828449623315</v>
      </c>
      <c r="Y129" s="307">
        <f t="shared" si="51"/>
        <v>1000000000</v>
      </c>
      <c r="Z129" s="307">
        <f t="shared" si="52"/>
        <v>47862874.890000001</v>
      </c>
      <c r="AB129" s="333">
        <f t="shared" si="53"/>
        <v>24.635300327479047</v>
      </c>
      <c r="AC129" s="334">
        <f t="shared" si="54"/>
        <v>-31.771229004849246</v>
      </c>
      <c r="AE129" s="333">
        <f t="shared" si="55"/>
        <v>49.120194028926754</v>
      </c>
      <c r="AF129" s="334">
        <f t="shared" si="56"/>
        <v>-86.148138396932154</v>
      </c>
      <c r="AH129">
        <f t="shared" si="57"/>
        <v>0</v>
      </c>
      <c r="AI129">
        <f t="shared" si="61"/>
        <v>0</v>
      </c>
    </row>
    <row r="130" spans="1:35" x14ac:dyDescent="0.2">
      <c r="A130" s="335">
        <v>6998.9</v>
      </c>
      <c r="B130" s="352">
        <f t="shared" si="59"/>
        <v>6.9988999999999999</v>
      </c>
      <c r="C130" s="325">
        <f t="shared" si="31"/>
        <v>8.9336769616538945</v>
      </c>
      <c r="D130" s="326">
        <f t="shared" si="32"/>
        <v>1.4586252526604437</v>
      </c>
      <c r="E130" s="326">
        <f t="shared" si="33"/>
        <v>1.0000386759428523</v>
      </c>
      <c r="F130" s="327">
        <f t="shared" si="34"/>
        <v>8.7948503534398936E-3</v>
      </c>
      <c r="G130" s="326">
        <f t="shared" si="35"/>
        <v>1</v>
      </c>
      <c r="H130" s="327">
        <f t="shared" si="36"/>
        <v>0</v>
      </c>
      <c r="I130" s="325">
        <f t="shared" si="37"/>
        <v>9289.400964514487</v>
      </c>
      <c r="J130" s="328">
        <f t="shared" si="38"/>
        <v>1.5706886772267759</v>
      </c>
      <c r="K130" s="336">
        <f t="shared" si="39"/>
        <v>2.0586651696925862</v>
      </c>
      <c r="L130" s="337">
        <f t="shared" si="40"/>
        <v>1.0635734498951701</v>
      </c>
      <c r="M130" s="325">
        <f t="shared" si="41"/>
        <v>1.0009234771404136</v>
      </c>
      <c r="N130" s="337">
        <f t="shared" si="42"/>
        <v>4.2959679351125171E-2</v>
      </c>
      <c r="O130" s="343">
        <f t="shared" si="43"/>
        <v>1.0008266906969172</v>
      </c>
      <c r="P130" s="691">
        <f t="shared" si="44"/>
        <v>4.0647794129522206E-2</v>
      </c>
      <c r="Q130" s="336">
        <f t="shared" si="60"/>
        <v>15.126940335481066</v>
      </c>
      <c r="R130" s="692">
        <f t="shared" si="45"/>
        <v>1.8980116149334144E-2</v>
      </c>
      <c r="S130" s="329">
        <f t="shared" si="46"/>
        <v>0.99984860712260237</v>
      </c>
      <c r="T130" s="330">
        <f t="shared" si="47"/>
        <v>5.5573503268516636E-2</v>
      </c>
      <c r="U130" s="331">
        <f t="shared" si="48"/>
        <v>16.064821365141928</v>
      </c>
      <c r="V130" s="332">
        <f t="shared" si="49"/>
        <v>-116.52879445400134</v>
      </c>
      <c r="W130" s="334">
        <f t="shared" si="50"/>
        <v>63.471205545998657</v>
      </c>
      <c r="Y130" s="307">
        <f t="shared" si="51"/>
        <v>1000000000</v>
      </c>
      <c r="Z130" s="307">
        <f t="shared" si="52"/>
        <v>48984601.209999993</v>
      </c>
      <c r="AB130" s="333">
        <f t="shared" si="53"/>
        <v>24.611167037261168</v>
      </c>
      <c r="AC130" s="334">
        <f t="shared" si="54"/>
        <v>-31.516970604986469</v>
      </c>
      <c r="AE130" s="333">
        <f t="shared" si="55"/>
        <v>49.02089871550146</v>
      </c>
      <c r="AF130" s="334">
        <f t="shared" si="56"/>
        <v>-86.253290350546777</v>
      </c>
      <c r="AH130">
        <f t="shared" si="57"/>
        <v>0</v>
      </c>
      <c r="AI130">
        <f t="shared" si="61"/>
        <v>0</v>
      </c>
    </row>
    <row r="131" spans="1:35" x14ac:dyDescent="0.2">
      <c r="A131" s="335">
        <v>7079.5</v>
      </c>
      <c r="B131" s="352">
        <f t="shared" si="59"/>
        <v>7.0795000000000003</v>
      </c>
      <c r="C131" s="325">
        <f t="shared" si="31"/>
        <v>9.0352762192097806</v>
      </c>
      <c r="D131" s="326">
        <f t="shared" si="32"/>
        <v>1.4598918132316518</v>
      </c>
      <c r="E131" s="326">
        <f t="shared" si="33"/>
        <v>1.0000395718460415</v>
      </c>
      <c r="F131" s="327">
        <f t="shared" si="34"/>
        <v>8.8961273757909767E-3</v>
      </c>
      <c r="G131" s="326">
        <f t="shared" si="35"/>
        <v>1</v>
      </c>
      <c r="H131" s="327">
        <f t="shared" si="36"/>
        <v>0</v>
      </c>
      <c r="I131" s="325">
        <f t="shared" si="37"/>
        <v>9396.3785908718728</v>
      </c>
      <c r="J131" s="328">
        <f t="shared" si="38"/>
        <v>1.5706899028154648</v>
      </c>
      <c r="K131" s="336">
        <f t="shared" si="39"/>
        <v>2.0768033871727876</v>
      </c>
      <c r="L131" s="337">
        <f t="shared" si="40"/>
        <v>1.0684204288600774</v>
      </c>
      <c r="M131" s="325">
        <f t="shared" si="41"/>
        <v>1.0009448592171788</v>
      </c>
      <c r="N131" s="337">
        <f t="shared" si="42"/>
        <v>4.3453788114426635E-2</v>
      </c>
      <c r="O131" s="343">
        <f t="shared" si="43"/>
        <v>1.0008458327387155</v>
      </c>
      <c r="P131" s="691">
        <f t="shared" si="44"/>
        <v>4.1115373634041871E-2</v>
      </c>
      <c r="Q131" s="336">
        <f t="shared" si="60"/>
        <v>15.127001636833725</v>
      </c>
      <c r="R131" s="692">
        <f t="shared" si="45"/>
        <v>1.919864187216622E-2</v>
      </c>
      <c r="S131" s="329">
        <f t="shared" si="46"/>
        <v>0.9998451339149288</v>
      </c>
      <c r="T131" s="330">
        <f t="shared" si="47"/>
        <v>5.621435963944043E-2</v>
      </c>
      <c r="U131" s="331">
        <f t="shared" si="48"/>
        <v>15.943318286884594</v>
      </c>
      <c r="V131" s="332">
        <f t="shared" si="49"/>
        <v>-116.36867804760843</v>
      </c>
      <c r="W131" s="334">
        <f t="shared" si="50"/>
        <v>63.631321952391573</v>
      </c>
      <c r="Y131" s="307">
        <f t="shared" si="51"/>
        <v>1000000000</v>
      </c>
      <c r="Z131" s="307">
        <f t="shared" si="52"/>
        <v>50119320.25</v>
      </c>
      <c r="AB131" s="333">
        <f t="shared" si="53"/>
        <v>24.587718867601676</v>
      </c>
      <c r="AC131" s="334">
        <f t="shared" si="54"/>
        <v>-31.267639734440593</v>
      </c>
      <c r="AE131" s="333">
        <f t="shared" si="55"/>
        <v>48.922712879333929</v>
      </c>
      <c r="AF131" s="334">
        <f t="shared" si="56"/>
        <v>-86.356774545278554</v>
      </c>
      <c r="AH131">
        <f t="shared" si="57"/>
        <v>0</v>
      </c>
      <c r="AI131">
        <f t="shared" si="61"/>
        <v>0</v>
      </c>
    </row>
    <row r="132" spans="1:35" x14ac:dyDescent="0.2">
      <c r="A132" s="335">
        <v>7161.95</v>
      </c>
      <c r="B132" s="352">
        <f t="shared" si="59"/>
        <v>7.16195</v>
      </c>
      <c r="C132" s="325">
        <f t="shared" si="31"/>
        <v>9.1392221293825813</v>
      </c>
      <c r="D132" s="326">
        <f t="shared" si="32"/>
        <v>1.461158305648258</v>
      </c>
      <c r="E132" s="326">
        <f t="shared" si="33"/>
        <v>1.0000404989260456</v>
      </c>
      <c r="F132" s="327">
        <f t="shared" si="34"/>
        <v>8.9997288059607827E-3</v>
      </c>
      <c r="G132" s="326">
        <f t="shared" si="35"/>
        <v>1</v>
      </c>
      <c r="H132" s="327">
        <f t="shared" si="36"/>
        <v>0</v>
      </c>
      <c r="I132" s="325">
        <f t="shared" si="37"/>
        <v>9505.811659039573</v>
      </c>
      <c r="J132" s="328">
        <f t="shared" si="38"/>
        <v>1.5706911279925519</v>
      </c>
      <c r="K132" s="336">
        <f t="shared" si="39"/>
        <v>2.0954075272319397</v>
      </c>
      <c r="L132" s="337">
        <f t="shared" si="40"/>
        <v>1.0732917188870006</v>
      </c>
      <c r="M132" s="325">
        <f t="shared" si="41"/>
        <v>1.0009669849148073</v>
      </c>
      <c r="N132" s="337">
        <f t="shared" si="42"/>
        <v>4.3959216115027913E-2</v>
      </c>
      <c r="O132" s="343">
        <f t="shared" si="43"/>
        <v>1.0008656405430258</v>
      </c>
      <c r="P132" s="691">
        <f t="shared" si="44"/>
        <v>4.159366680922455E-2</v>
      </c>
      <c r="Q132" s="336">
        <f t="shared" si="60"/>
        <v>15.127065071227808</v>
      </c>
      <c r="R132" s="692">
        <f t="shared" si="45"/>
        <v>1.9422181567901778E-2</v>
      </c>
      <c r="S132" s="329">
        <f t="shared" si="46"/>
        <v>0.99984154144933612</v>
      </c>
      <c r="T132" s="330">
        <f t="shared" si="47"/>
        <v>5.6869956267382907E-2</v>
      </c>
      <c r="U132" s="331">
        <f t="shared" si="48"/>
        <v>15.820833400351045</v>
      </c>
      <c r="V132" s="332">
        <f t="shared" si="49"/>
        <v>-116.20819814306876</v>
      </c>
      <c r="W132" s="334">
        <f t="shared" si="50"/>
        <v>63.791801856931244</v>
      </c>
      <c r="Y132" s="307">
        <f t="shared" si="51"/>
        <v>1000000000</v>
      </c>
      <c r="Z132" s="307">
        <f t="shared" si="52"/>
        <v>51293527.802499995</v>
      </c>
      <c r="AB132" s="333">
        <f t="shared" si="53"/>
        <v>24.564415222898436</v>
      </c>
      <c r="AC132" s="334">
        <f t="shared" si="54"/>
        <v>-31.01756446358641</v>
      </c>
      <c r="AE132" s="333">
        <f t="shared" si="55"/>
        <v>48.82339616001083</v>
      </c>
      <c r="AF132" s="334">
        <f t="shared" si="56"/>
        <v>-86.460966210798333</v>
      </c>
      <c r="AH132">
        <f t="shared" si="57"/>
        <v>0</v>
      </c>
      <c r="AI132">
        <f t="shared" si="61"/>
        <v>0</v>
      </c>
    </row>
    <row r="133" spans="1:35" x14ac:dyDescent="0.2">
      <c r="A133" s="335">
        <v>7244.4</v>
      </c>
      <c r="B133" s="352">
        <f t="shared" si="59"/>
        <v>7.2443999999999997</v>
      </c>
      <c r="C133" s="325">
        <f t="shared" si="31"/>
        <v>9.2431823691733186</v>
      </c>
      <c r="D133" s="326">
        <f t="shared" si="32"/>
        <v>1.4623963109391267</v>
      </c>
      <c r="E133" s="326">
        <f t="shared" si="33"/>
        <v>1.0000414367397208</v>
      </c>
      <c r="F133" s="327">
        <f t="shared" si="34"/>
        <v>9.1033300429329434E-3</v>
      </c>
      <c r="G133" s="326">
        <f t="shared" si="35"/>
        <v>1</v>
      </c>
      <c r="H133" s="327">
        <f t="shared" si="36"/>
        <v>0</v>
      </c>
      <c r="I133" s="325">
        <f t="shared" si="37"/>
        <v>9615.2447272212157</v>
      </c>
      <c r="J133" s="328">
        <f t="shared" si="38"/>
        <v>1.5706923252816567</v>
      </c>
      <c r="K133" s="336">
        <f t="shared" si="39"/>
        <v>2.1140605143704549</v>
      </c>
      <c r="L133" s="337">
        <f t="shared" si="40"/>
        <v>1.0780771591150373</v>
      </c>
      <c r="M133" s="325">
        <f t="shared" si="41"/>
        <v>1.0009893663055809</v>
      </c>
      <c r="N133" s="337">
        <f t="shared" si="42"/>
        <v>4.4464621642732502E-2</v>
      </c>
      <c r="O133" s="343">
        <f t="shared" si="43"/>
        <v>1.0008856773006323</v>
      </c>
      <c r="P133" s="691">
        <f t="shared" si="44"/>
        <v>4.2071940943887498E-2</v>
      </c>
      <c r="Q133" s="336">
        <f t="shared" si="60"/>
        <v>15.127129239850536</v>
      </c>
      <c r="R133" s="692">
        <f t="shared" si="45"/>
        <v>1.9645719405815172E-2</v>
      </c>
      <c r="S133" s="329">
        <f t="shared" si="46"/>
        <v>0.9998379090537457</v>
      </c>
      <c r="T133" s="330">
        <f t="shared" si="47"/>
        <v>5.7525584377081086E-2</v>
      </c>
      <c r="U133" s="331">
        <f t="shared" si="48"/>
        <v>15.70012571098067</v>
      </c>
      <c r="V133" s="332">
        <f t="shared" si="49"/>
        <v>-116.05100479147727</v>
      </c>
      <c r="W133" s="334">
        <f t="shared" si="50"/>
        <v>63.948995208522732</v>
      </c>
      <c r="Y133" s="307">
        <f t="shared" si="51"/>
        <v>1000000000</v>
      </c>
      <c r="Z133" s="307">
        <f t="shared" si="52"/>
        <v>52481331.359999992</v>
      </c>
      <c r="AB133" s="333">
        <f t="shared" si="53"/>
        <v>24.541776568845698</v>
      </c>
      <c r="AC133" s="334">
        <f t="shared" si="54"/>
        <v>-30.772405138420257</v>
      </c>
      <c r="AE133" s="333">
        <f t="shared" si="55"/>
        <v>48.725190085135004</v>
      </c>
      <c r="AF133" s="334">
        <f t="shared" si="56"/>
        <v>-86.56352749908217</v>
      </c>
      <c r="AH133">
        <f t="shared" si="57"/>
        <v>0</v>
      </c>
      <c r="AI133">
        <f t="shared" si="61"/>
        <v>0</v>
      </c>
    </row>
    <row r="134" spans="1:35" x14ac:dyDescent="0.2">
      <c r="A134" s="335">
        <v>7328.75</v>
      </c>
      <c r="B134" s="352">
        <f t="shared" si="59"/>
        <v>7.3287500000000003</v>
      </c>
      <c r="C134" s="325">
        <f t="shared" si="31"/>
        <v>9.3495526270128853</v>
      </c>
      <c r="D134" s="326">
        <f t="shared" si="32"/>
        <v>1.4636343528022935</v>
      </c>
      <c r="E134" s="326">
        <f t="shared" si="33"/>
        <v>1.0000424072721408</v>
      </c>
      <c r="F134" s="327">
        <f t="shared" si="34"/>
        <v>9.2093184924593348E-3</v>
      </c>
      <c r="G134" s="326">
        <f t="shared" si="35"/>
        <v>1</v>
      </c>
      <c r="H134" s="327">
        <f t="shared" si="36"/>
        <v>0</v>
      </c>
      <c r="I134" s="325">
        <f t="shared" si="37"/>
        <v>9727.1996005052806</v>
      </c>
      <c r="J134" s="328">
        <f t="shared" si="38"/>
        <v>1.5706935222835439</v>
      </c>
      <c r="K134" s="336">
        <f t="shared" si="39"/>
        <v>2.1331925582649629</v>
      </c>
      <c r="L134" s="337">
        <f t="shared" si="40"/>
        <v>1.0828861591376671</v>
      </c>
      <c r="M134" s="325">
        <f t="shared" si="41"/>
        <v>1.001012528040693</v>
      </c>
      <c r="N134" s="337">
        <f t="shared" si="42"/>
        <v>4.4981650348168395E-2</v>
      </c>
      <c r="O134" s="343">
        <f t="shared" si="43"/>
        <v>1.0009064127045164</v>
      </c>
      <c r="P134" s="691">
        <f t="shared" si="44"/>
        <v>4.2561216625781419E-2</v>
      </c>
      <c r="Q134" s="336">
        <f t="shared" si="60"/>
        <v>15.127195646985792</v>
      </c>
      <c r="R134" s="692">
        <f t="shared" si="45"/>
        <v>1.987440656505083E-2</v>
      </c>
      <c r="S134" s="329">
        <f t="shared" si="46"/>
        <v>0.99983415169146606</v>
      </c>
      <c r="T134" s="330">
        <f t="shared" si="47"/>
        <v>5.8196353911883929E-2</v>
      </c>
      <c r="U134" s="331">
        <f t="shared" si="48"/>
        <v>15.578424642638398</v>
      </c>
      <c r="V134" s="332">
        <f t="shared" si="49"/>
        <v>-115.89352505580436</v>
      </c>
      <c r="W134" s="334">
        <f t="shared" si="50"/>
        <v>64.106474944195639</v>
      </c>
      <c r="Y134" s="307">
        <f t="shared" si="51"/>
        <v>1000000000</v>
      </c>
      <c r="Z134" s="307">
        <f t="shared" si="52"/>
        <v>53710576.5625</v>
      </c>
      <c r="AB134" s="333">
        <f t="shared" si="53"/>
        <v>24.51927879008182</v>
      </c>
      <c r="AC134" s="334">
        <f t="shared" si="54"/>
        <v>-30.526561879029135</v>
      </c>
      <c r="AE134" s="333">
        <f t="shared" si="55"/>
        <v>48.62584498178434</v>
      </c>
      <c r="AF134" s="334">
        <f t="shared" si="56"/>
        <v>-86.666821645355327</v>
      </c>
      <c r="AH134">
        <f t="shared" si="57"/>
        <v>0</v>
      </c>
      <c r="AI134">
        <f t="shared" si="61"/>
        <v>0</v>
      </c>
    </row>
    <row r="135" spans="1:35" x14ac:dyDescent="0.2">
      <c r="A135" s="335">
        <v>7413.1</v>
      </c>
      <c r="B135" s="352">
        <f t="shared" si="59"/>
        <v>7.4131</v>
      </c>
      <c r="C135" s="325">
        <f t="shared" si="31"/>
        <v>9.4559368929356875</v>
      </c>
      <c r="D135" s="326">
        <f t="shared" si="32"/>
        <v>1.4648445392408687</v>
      </c>
      <c r="E135" s="326">
        <f t="shared" si="33"/>
        <v>1.0000433890385667</v>
      </c>
      <c r="F135" s="327">
        <f t="shared" si="34"/>
        <v>9.3153067350735738E-3</v>
      </c>
      <c r="G135" s="326">
        <f t="shared" si="35"/>
        <v>1</v>
      </c>
      <c r="H135" s="327">
        <f t="shared" si="36"/>
        <v>0</v>
      </c>
      <c r="I135" s="325">
        <f t="shared" si="37"/>
        <v>9839.1544738029625</v>
      </c>
      <c r="J135" s="328">
        <f t="shared" si="38"/>
        <v>1.5706946920452458</v>
      </c>
      <c r="K135" s="336">
        <f t="shared" si="39"/>
        <v>2.152373057710578</v>
      </c>
      <c r="L135" s="337">
        <f t="shared" si="40"/>
        <v>1.0876095576407285</v>
      </c>
      <c r="M135" s="325">
        <f t="shared" si="41"/>
        <v>1.0010359573527305</v>
      </c>
      <c r="N135" s="337">
        <f t="shared" si="42"/>
        <v>4.5498654989622619E-2</v>
      </c>
      <c r="O135" s="343">
        <f t="shared" si="43"/>
        <v>1.0009273877061191</v>
      </c>
      <c r="P135" s="691">
        <f t="shared" si="44"/>
        <v>4.3050471918695099E-2</v>
      </c>
      <c r="Q135" s="336">
        <f t="shared" si="60"/>
        <v>15.12726282255924</v>
      </c>
      <c r="R135" s="692">
        <f t="shared" si="45"/>
        <v>2.0103091734636772E-2</v>
      </c>
      <c r="S135" s="329">
        <f t="shared" si="46"/>
        <v>0.9998303526603074</v>
      </c>
      <c r="T135" s="330">
        <f t="shared" si="47"/>
        <v>5.8867157159687371E-2</v>
      </c>
      <c r="U135" s="331">
        <f t="shared" si="48"/>
        <v>15.458482348461899</v>
      </c>
      <c r="V135" s="332">
        <f t="shared" si="49"/>
        <v>-115.73935398582039</v>
      </c>
      <c r="W135" s="334">
        <f t="shared" si="50"/>
        <v>64.260646014179613</v>
      </c>
      <c r="Y135" s="307">
        <f t="shared" si="51"/>
        <v>1000000000</v>
      </c>
      <c r="Z135" s="307">
        <f t="shared" si="52"/>
        <v>54954051.610000007</v>
      </c>
      <c r="AB135" s="333">
        <f t="shared" si="53"/>
        <v>24.497426209635982</v>
      </c>
      <c r="AC135" s="334">
        <f t="shared" si="54"/>
        <v>-30.285620285922544</v>
      </c>
      <c r="AE135" s="333">
        <f t="shared" si="55"/>
        <v>48.527611819878288</v>
      </c>
      <c r="AF135" s="334">
        <f t="shared" si="56"/>
        <v>-86.768521736828859</v>
      </c>
      <c r="AH135">
        <f t="shared" si="57"/>
        <v>0</v>
      </c>
      <c r="AI135">
        <f t="shared" si="61"/>
        <v>0</v>
      </c>
    </row>
    <row r="136" spans="1:35" x14ac:dyDescent="0.2">
      <c r="A136" s="335">
        <v>7499.45</v>
      </c>
      <c r="B136" s="352">
        <f t="shared" si="59"/>
        <v>7.4994499999999995</v>
      </c>
      <c r="C136" s="325">
        <f t="shared" si="31"/>
        <v>9.5648576296092056</v>
      </c>
      <c r="D136" s="326">
        <f t="shared" si="32"/>
        <v>1.4660555328674816</v>
      </c>
      <c r="E136" s="326">
        <f t="shared" si="33"/>
        <v>1.0000444057200695</v>
      </c>
      <c r="F136" s="327">
        <f t="shared" si="34"/>
        <v>9.423807819381921E-3</v>
      </c>
      <c r="G136" s="326">
        <f t="shared" si="35"/>
        <v>1</v>
      </c>
      <c r="H136" s="327">
        <f t="shared" si="36"/>
        <v>0</v>
      </c>
      <c r="I136" s="325">
        <f t="shared" si="37"/>
        <v>9953.763878787011</v>
      </c>
      <c r="J136" s="328">
        <f t="shared" si="38"/>
        <v>1.5706958622858065</v>
      </c>
      <c r="K136" s="336">
        <f t="shared" si="39"/>
        <v>2.1720571931141763</v>
      </c>
      <c r="L136" s="337">
        <f t="shared" si="40"/>
        <v>1.092358431822726</v>
      </c>
      <c r="M136" s="325">
        <f t="shared" si="41"/>
        <v>1.0010602193400298</v>
      </c>
      <c r="N136" s="337">
        <f t="shared" si="42"/>
        <v>4.6027892974688588E-2</v>
      </c>
      <c r="O136" s="343">
        <f t="shared" si="43"/>
        <v>1.0009491082112008</v>
      </c>
      <c r="P136" s="691">
        <f t="shared" si="44"/>
        <v>4.355130644825983E-2</v>
      </c>
      <c r="Q136" s="336">
        <f t="shared" si="60"/>
        <v>15.12733238688838</v>
      </c>
      <c r="R136" s="692">
        <f t="shared" si="45"/>
        <v>2.0337197111485149E-2</v>
      </c>
      <c r="S136" s="329">
        <f t="shared" si="46"/>
        <v>0.99982642045463443</v>
      </c>
      <c r="T136" s="330">
        <f t="shared" si="47"/>
        <v>5.9553900966135755E-2</v>
      </c>
      <c r="U136" s="331">
        <f t="shared" si="48"/>
        <v>15.337467551242428</v>
      </c>
      <c r="V136" s="332">
        <f t="shared" si="49"/>
        <v>-115.58488692693535</v>
      </c>
      <c r="W136" s="334">
        <f t="shared" si="50"/>
        <v>64.415113073064646</v>
      </c>
      <c r="Y136" s="307">
        <f t="shared" si="51"/>
        <v>1000000000</v>
      </c>
      <c r="Z136" s="307">
        <f t="shared" si="52"/>
        <v>56241750.302499995</v>
      </c>
      <c r="AB136" s="333">
        <f t="shared" si="53"/>
        <v>24.475698777314662</v>
      </c>
      <c r="AC136" s="334">
        <f t="shared" si="54"/>
        <v>-30.043919990326703</v>
      </c>
      <c r="AE136" s="333">
        <f t="shared" si="55"/>
        <v>48.428175912812534</v>
      </c>
      <c r="AF136" s="334">
        <f t="shared" si="56"/>
        <v>-86.871037428280943</v>
      </c>
      <c r="AH136">
        <f t="shared" si="57"/>
        <v>0</v>
      </c>
      <c r="AI136">
        <f t="shared" si="61"/>
        <v>0</v>
      </c>
    </row>
    <row r="137" spans="1:35" x14ac:dyDescent="0.2">
      <c r="A137" s="335">
        <v>7585.8</v>
      </c>
      <c r="B137" s="352">
        <f t="shared" si="59"/>
        <v>7.5857999999999999</v>
      </c>
      <c r="C137" s="325">
        <f t="shared" si="31"/>
        <v>9.673792077319515</v>
      </c>
      <c r="D137" s="326">
        <f t="shared" si="32"/>
        <v>1.4672392547311348</v>
      </c>
      <c r="E137" s="326">
        <f t="shared" si="33"/>
        <v>1.0000454341745562</v>
      </c>
      <c r="F137" s="327">
        <f t="shared" si="34"/>
        <v>9.5323086818008759E-3</v>
      </c>
      <c r="G137" s="326">
        <f t="shared" si="35"/>
        <v>1</v>
      </c>
      <c r="H137" s="327">
        <f t="shared" si="36"/>
        <v>0</v>
      </c>
      <c r="I137" s="325">
        <f t="shared" si="37"/>
        <v>10068.373283784382</v>
      </c>
      <c r="J137" s="328">
        <f t="shared" si="38"/>
        <v>1.5706970058844121</v>
      </c>
      <c r="K137" s="336">
        <f t="shared" si="39"/>
        <v>2.1917894318599291</v>
      </c>
      <c r="L137" s="337">
        <f t="shared" si="40"/>
        <v>1.0970219032884705</v>
      </c>
      <c r="M137" s="325">
        <f t="shared" si="41"/>
        <v>1.0010847617034968</v>
      </c>
      <c r="N137" s="337">
        <f t="shared" si="42"/>
        <v>4.655710515862397E-2</v>
      </c>
      <c r="O137" s="343">
        <f t="shared" si="43"/>
        <v>1.0009710797786449</v>
      </c>
      <c r="P137" s="691">
        <f t="shared" si="44"/>
        <v>4.4052119116553184E-2</v>
      </c>
      <c r="Q137" s="336">
        <f t="shared" si="60"/>
        <v>15.127402756506367</v>
      </c>
      <c r="R137" s="692">
        <f t="shared" si="45"/>
        <v>2.0571300354724015E-2</v>
      </c>
      <c r="S137" s="329">
        <f t="shared" si="46"/>
        <v>0.99982244471525417</v>
      </c>
      <c r="T137" s="330">
        <f t="shared" si="47"/>
        <v>6.0240680921898992E-2</v>
      </c>
      <c r="U137" s="331">
        <f t="shared" si="48"/>
        <v>15.218195513536596</v>
      </c>
      <c r="V137" s="332">
        <f t="shared" si="49"/>
        <v>-115.43375073579783</v>
      </c>
      <c r="W137" s="334">
        <f t="shared" si="50"/>
        <v>64.56624926420217</v>
      </c>
      <c r="Y137" s="307">
        <f t="shared" si="51"/>
        <v>1000000000</v>
      </c>
      <c r="Z137" s="307">
        <f t="shared" si="52"/>
        <v>57544361.640000001</v>
      </c>
      <c r="AB137" s="333">
        <f t="shared" si="53"/>
        <v>24.454597786318857</v>
      </c>
      <c r="AC137" s="334">
        <f t="shared" si="54"/>
        <v>-29.807109905169213</v>
      </c>
      <c r="AE137" s="333">
        <f t="shared" si="55"/>
        <v>48.329854611639391</v>
      </c>
      <c r="AF137" s="334">
        <f t="shared" si="56"/>
        <v>-86.971992646730271</v>
      </c>
      <c r="AH137">
        <f t="shared" si="57"/>
        <v>0</v>
      </c>
      <c r="AI137">
        <f t="shared" si="61"/>
        <v>0</v>
      </c>
    </row>
    <row r="138" spans="1:35" x14ac:dyDescent="0.2">
      <c r="A138" s="335">
        <v>7674.15</v>
      </c>
      <c r="B138" s="352">
        <f t="shared" si="59"/>
        <v>7.67415</v>
      </c>
      <c r="C138" s="325">
        <f t="shared" si="31"/>
        <v>9.785263329348048</v>
      </c>
      <c r="D138" s="326">
        <f t="shared" si="32"/>
        <v>1.4684231134415064</v>
      </c>
      <c r="E138" s="326">
        <f t="shared" si="33"/>
        <v>1.0000464986347695</v>
      </c>
      <c r="F138" s="327">
        <f t="shared" si="34"/>
        <v>9.6433223602460563E-3</v>
      </c>
      <c r="G138" s="326">
        <f t="shared" si="35"/>
        <v>1</v>
      </c>
      <c r="H138" s="327">
        <f t="shared" si="36"/>
        <v>0</v>
      </c>
      <c r="I138" s="325">
        <f t="shared" si="37"/>
        <v>10185.63722046843</v>
      </c>
      <c r="J138" s="328">
        <f t="shared" si="38"/>
        <v>1.5706981493338343</v>
      </c>
      <c r="K138" s="336">
        <f t="shared" si="39"/>
        <v>2.2120271446605302</v>
      </c>
      <c r="L138" s="337">
        <f t="shared" si="40"/>
        <v>1.1017071703953007</v>
      </c>
      <c r="M138" s="325">
        <f t="shared" si="41"/>
        <v>1.0011101626769725</v>
      </c>
      <c r="N138" s="337">
        <f t="shared" si="42"/>
        <v>4.7098547706357061E-2</v>
      </c>
      <c r="O138" s="343">
        <f t="shared" si="43"/>
        <v>1.0009938200766386</v>
      </c>
      <c r="P138" s="691">
        <f t="shared" si="44"/>
        <v>4.4564508496257385E-2</v>
      </c>
      <c r="Q138" s="336">
        <f t="shared" si="60"/>
        <v>15.127475589464657</v>
      </c>
      <c r="R138" s="692">
        <f t="shared" si="45"/>
        <v>2.0810823558473652E-2</v>
      </c>
      <c r="S138" s="329">
        <f t="shared" si="46"/>
        <v>0.99981833190598457</v>
      </c>
      <c r="T138" s="330">
        <f t="shared" si="47"/>
        <v>6.094340561392779E-2</v>
      </c>
      <c r="U138" s="331">
        <f t="shared" si="48"/>
        <v>15.097914796404069</v>
      </c>
      <c r="V138" s="332">
        <f t="shared" si="49"/>
        <v>-115.2824911633318</v>
      </c>
      <c r="W138" s="334">
        <f t="shared" si="50"/>
        <v>64.717508836668202</v>
      </c>
      <c r="Y138" s="307">
        <f t="shared" si="51"/>
        <v>1000000000</v>
      </c>
      <c r="Z138" s="307">
        <f t="shared" si="52"/>
        <v>58892578.222499996</v>
      </c>
      <c r="AB138" s="333">
        <f t="shared" si="53"/>
        <v>24.43363196103661</v>
      </c>
      <c r="AC138" s="334">
        <f t="shared" si="54"/>
        <v>-29.56975176144504</v>
      </c>
      <c r="AE138" s="333">
        <f t="shared" si="55"/>
        <v>48.230384213241138</v>
      </c>
      <c r="AF138" s="334">
        <f t="shared" si="56"/>
        <v>-87.073725298260371</v>
      </c>
      <c r="AH138">
        <f t="shared" si="57"/>
        <v>0</v>
      </c>
      <c r="AI138">
        <f t="shared" si="61"/>
        <v>0</v>
      </c>
    </row>
    <row r="139" spans="1:35" x14ac:dyDescent="0.2">
      <c r="A139" s="335">
        <v>7762.5</v>
      </c>
      <c r="B139" s="352">
        <f t="shared" si="59"/>
        <v>7.7625000000000002</v>
      </c>
      <c r="C139" s="325">
        <f t="shared" si="31"/>
        <v>9.8967479866830104</v>
      </c>
      <c r="D139" s="326">
        <f t="shared" si="32"/>
        <v>1.4695803019350697</v>
      </c>
      <c r="E139" s="326">
        <f t="shared" si="33"/>
        <v>1.0000475754195666</v>
      </c>
      <c r="F139" s="327">
        <f t="shared" si="34"/>
        <v>9.7543358009950596E-3</v>
      </c>
      <c r="G139" s="326">
        <f t="shared" si="35"/>
        <v>1</v>
      </c>
      <c r="H139" s="327">
        <f t="shared" si="36"/>
        <v>0</v>
      </c>
      <c r="I139" s="325">
        <f t="shared" si="37"/>
        <v>10302.901157165494</v>
      </c>
      <c r="J139" s="328">
        <f t="shared" si="38"/>
        <v>1.5706992667545918</v>
      </c>
      <c r="K139" s="336">
        <f t="shared" si="39"/>
        <v>2.2323125342323409</v>
      </c>
      <c r="L139" s="337">
        <f t="shared" si="40"/>
        <v>1.1063073853835881</v>
      </c>
      <c r="M139" s="325">
        <f t="shared" si="41"/>
        <v>1.0011358571209932</v>
      </c>
      <c r="N139" s="337">
        <f t="shared" si="42"/>
        <v>4.7639962620242532E-2</v>
      </c>
      <c r="O139" s="343">
        <f t="shared" si="43"/>
        <v>1.0010168231664485</v>
      </c>
      <c r="P139" s="691">
        <f t="shared" si="44"/>
        <v>4.5076874461341961E-2</v>
      </c>
      <c r="Q139" s="336">
        <f t="shared" si="60"/>
        <v>15.127549265423353</v>
      </c>
      <c r="R139" s="692">
        <f t="shared" si="45"/>
        <v>2.1050344476688743E-2</v>
      </c>
      <c r="S139" s="329">
        <f t="shared" si="46"/>
        <v>0.99981417367060743</v>
      </c>
      <c r="T139" s="330">
        <f t="shared" si="47"/>
        <v>6.1646169025974647E-2</v>
      </c>
      <c r="U139" s="331">
        <f t="shared" si="48"/>
        <v>14.97935908831673</v>
      </c>
      <c r="V139" s="332">
        <f t="shared" si="49"/>
        <v>-115.13457699552345</v>
      </c>
      <c r="W139" s="334">
        <f t="shared" si="50"/>
        <v>64.865423004476554</v>
      </c>
      <c r="Y139" s="307">
        <f t="shared" si="51"/>
        <v>1000000000</v>
      </c>
      <c r="Z139" s="307">
        <f t="shared" si="52"/>
        <v>60256406.25</v>
      </c>
      <c r="AB139" s="333">
        <f t="shared" si="53"/>
        <v>24.413273358512882</v>
      </c>
      <c r="AC139" s="334">
        <f t="shared" si="54"/>
        <v>-29.337263670522127</v>
      </c>
      <c r="AE139" s="333">
        <f t="shared" si="55"/>
        <v>48.132029809179961</v>
      </c>
      <c r="AF139" s="334">
        <f t="shared" si="56"/>
        <v>-87.173932091039504</v>
      </c>
      <c r="AH139">
        <f t="shared" si="57"/>
        <v>0</v>
      </c>
      <c r="AI139">
        <f t="shared" si="61"/>
        <v>0</v>
      </c>
    </row>
    <row r="140" spans="1:35" x14ac:dyDescent="0.2">
      <c r="A140" s="335">
        <v>7852.9</v>
      </c>
      <c r="B140" s="352">
        <f t="shared" si="59"/>
        <v>7.8529</v>
      </c>
      <c r="C140" s="325">
        <f t="shared" si="31"/>
        <v>10.01083284971563</v>
      </c>
      <c r="D140" s="326">
        <f t="shared" si="32"/>
        <v>1.4707376614610952</v>
      </c>
      <c r="E140" s="326">
        <f t="shared" si="33"/>
        <v>1.000048689945997</v>
      </c>
      <c r="F140" s="327">
        <f t="shared" si="34"/>
        <v>9.867924856508269E-3</v>
      </c>
      <c r="G140" s="326">
        <f t="shared" si="35"/>
        <v>1</v>
      </c>
      <c r="H140" s="327">
        <f t="shared" si="36"/>
        <v>0</v>
      </c>
      <c r="I140" s="325">
        <f t="shared" si="37"/>
        <v>10422.885988841375</v>
      </c>
      <c r="J140" s="328">
        <f t="shared" si="38"/>
        <v>1.5707003840778215</v>
      </c>
      <c r="K140" s="336">
        <f t="shared" si="39"/>
        <v>2.2531166148827411</v>
      </c>
      <c r="L140" s="337">
        <f t="shared" si="40"/>
        <v>1.1109285006468583</v>
      </c>
      <c r="M140" s="325">
        <f t="shared" si="41"/>
        <v>1.0011624514976911</v>
      </c>
      <c r="N140" s="337">
        <f t="shared" si="42"/>
        <v>4.8193911144062594E-2</v>
      </c>
      <c r="O140" s="343">
        <f t="shared" si="43"/>
        <v>1.0010406319909084</v>
      </c>
      <c r="P140" s="691">
        <f t="shared" si="44"/>
        <v>4.5601104425844301E-2</v>
      </c>
      <c r="Q140" s="336">
        <f t="shared" si="60"/>
        <v>15.127625523452712</v>
      </c>
      <c r="R140" s="692">
        <f t="shared" si="45"/>
        <v>2.1295420646202864E-2</v>
      </c>
      <c r="S140" s="329">
        <f t="shared" si="46"/>
        <v>0.99980987201081117</v>
      </c>
      <c r="T140" s="330">
        <f t="shared" si="47"/>
        <v>6.2365279316838974E-2</v>
      </c>
      <c r="U140" s="331">
        <f t="shared" si="48"/>
        <v>14.859788608382926</v>
      </c>
      <c r="V140" s="332">
        <f t="shared" si="49"/>
        <v>-114.98662081763715</v>
      </c>
      <c r="W140" s="334">
        <f t="shared" si="50"/>
        <v>65.013379182362854</v>
      </c>
      <c r="Y140" s="307">
        <f t="shared" si="51"/>
        <v>1000000000</v>
      </c>
      <c r="Z140" s="307">
        <f t="shared" si="52"/>
        <v>61668038.409999996</v>
      </c>
      <c r="AB140" s="333">
        <f t="shared" si="53"/>
        <v>24.39304699732449</v>
      </c>
      <c r="AC140" s="334">
        <f t="shared" si="54"/>
        <v>-29.104296199414851</v>
      </c>
      <c r="AE140" s="333">
        <f t="shared" si="55"/>
        <v>48.032522887625987</v>
      </c>
      <c r="AF140" s="334">
        <f t="shared" si="56"/>
        <v>-87.274937718566605</v>
      </c>
      <c r="AH140">
        <f t="shared" si="57"/>
        <v>0</v>
      </c>
      <c r="AI140">
        <f t="shared" si="61"/>
        <v>0</v>
      </c>
    </row>
    <row r="141" spans="1:35" x14ac:dyDescent="0.2">
      <c r="A141" s="335">
        <v>7943.3</v>
      </c>
      <c r="B141" s="352">
        <f t="shared" si="59"/>
        <v>7.9432999999999998</v>
      </c>
      <c r="C141" s="325">
        <f t="shared" ref="C141:C204" si="62">SQRT(1+(A141/pole1)^2)</f>
        <v>10.124930819874141</v>
      </c>
      <c r="D141" s="326">
        <f t="shared" ref="D141:D204" si="63">ATAN(A141/pole1)</f>
        <v>1.4718689378765963</v>
      </c>
      <c r="E141" s="326">
        <f t="shared" ref="E141:E204" si="64">SQRT(1+(A141/Zero1)^2)</f>
        <v>1.0000498173755006</v>
      </c>
      <c r="F141" s="327">
        <f t="shared" ref="F141:F204" si="65">ATAN(A141/Zero1)</f>
        <v>9.981513657372508E-3</v>
      </c>
      <c r="G141" s="326">
        <f t="shared" ref="G141:G204" si="66">IF(VIN_nom&gt;Vout, 1, SQRT(1+(A141/z_RHP)^2))</f>
        <v>1</v>
      </c>
      <c r="H141" s="327">
        <f t="shared" ref="H141:H204" si="67">IF(VIN_nom&gt;Vout, 0, -ATAN(A141/z_RHP))</f>
        <v>0</v>
      </c>
      <c r="I141" s="325">
        <f t="shared" ref="I141:I204" si="68">SQRT(1+(A141/Pole2)^2)</f>
        <v>10542.870820529974</v>
      </c>
      <c r="J141" s="328">
        <f t="shared" ref="J141:J204" si="69">ATAN(A141/Pole2)</f>
        <v>1.5707014759692988</v>
      </c>
      <c r="K141" s="336">
        <f t="shared" ref="K141:K147" si="70">SQRT(1+(A141/Zero2)^2)</f>
        <v>2.2739679292011261</v>
      </c>
      <c r="L141" s="337">
        <f t="shared" ref="L141:L147" si="71">ATAN(A141/Zero2)</f>
        <v>1.1154649640063674</v>
      </c>
      <c r="M141" s="325">
        <f t="shared" ref="M141:M204" si="72">SQRT(1+(A141/pole4)^2)</f>
        <v>1.0011893530736888</v>
      </c>
      <c r="N141" s="337">
        <f t="shared" ref="N141:N204" si="73">ATAN(A141/pole4)</f>
        <v>4.8747830069079033E-2</v>
      </c>
      <c r="O141" s="343">
        <f t="shared" ref="O141:O204" si="74">IF(VOUT_setting=1,1,SQRT(1+(A141*zterm1)^2))</f>
        <v>1.0010647159052775</v>
      </c>
      <c r="P141" s="691">
        <f t="shared" ref="P141:P204" si="75">IF(VOUT_setting=1,0,ATAN(((A141*zterm1))))</f>
        <v>4.6125309310238762E-2</v>
      </c>
      <c r="Q141" s="336">
        <f t="shared" si="60"/>
        <v>15.127702664030684</v>
      </c>
      <c r="R141" s="692">
        <f t="shared" ref="R141:R204" si="76">IF(VOUT_setting=1,0,ATAN(A141*$Q$4/(1+Afbr-$Q$5*(A141)^2)))</f>
        <v>2.1540494367250793E-2</v>
      </c>
      <c r="S141" s="329">
        <f t="shared" ref="S141:S204" si="77">SQRT((1-(Z141/pterm2))^2+(A141/pterm1)^2)</f>
        <v>0.99980552295415992</v>
      </c>
      <c r="T141" s="330">
        <f t="shared" ref="T141:T204" si="78">IF((ATAN((A141/pterm1)/(1-A141^2/pterm2))&gt;0),ATAN((A141/pterm1)/(1-A141^2/pterm2)),PI()+ATAN((A141/pterm1)/(1-A141^2/pterm2)))</f>
        <v>6.3084431084261566E-2</v>
      </c>
      <c r="U141" s="331">
        <f t="shared" ref="U141:U204" si="79">20*LOG10(((E141*K141*G141*O141)/(C141*I141*S141*M141*Q141))*Adc)</f>
        <v>14.741925726600343</v>
      </c>
      <c r="V141" s="332">
        <f t="shared" ref="V141:V204" si="80">((F141+L141+H141+P141)-(D141+J141+T141+N141+R141))*radconv</f>
        <v>-114.84202091911925</v>
      </c>
      <c r="W141" s="334">
        <f t="shared" ref="W141:W204" si="81">IF(V141&gt;0,V141,V141+180)</f>
        <v>65.15797908088075</v>
      </c>
      <c r="Y141" s="307">
        <f t="shared" ref="Y141:Y204" si="82">IF(U141&lt;0,A141,1000000000)</f>
        <v>1000000000</v>
      </c>
      <c r="Z141" s="307">
        <f t="shared" ref="Z141:Z204" si="83">A141^2</f>
        <v>63096014.890000001</v>
      </c>
      <c r="AB141" s="333">
        <f t="shared" ref="AB141:AB204" si="84">20*LOG10((K141/(I141*M141))*AEA)</f>
        <v>24.37340895172688</v>
      </c>
      <c r="AC141" s="334">
        <f t="shared" ref="AC141:AC204" si="85">(L141-(J141+N141))*radconv</f>
        <v>-28.876175772107779</v>
      </c>
      <c r="AE141" s="333">
        <f t="shared" ref="AE141:AE204" si="86">20*LOG10((E141*G141/(C141*S141))*Acs*Am)</f>
        <v>47.934133373199501</v>
      </c>
      <c r="AF141" s="334">
        <f t="shared" ref="AF141:AF204" si="87">(F141+H141-(D141+T141))*radconv</f>
        <v>-87.374451284964437</v>
      </c>
      <c r="AH141">
        <f t="shared" ref="AH141:AH204" si="88">SUM((U142&lt;0)*(U141&gt;0))*A141</f>
        <v>0</v>
      </c>
      <c r="AI141">
        <f t="shared" si="61"/>
        <v>0</v>
      </c>
    </row>
    <row r="142" spans="1:35" x14ac:dyDescent="0.2">
      <c r="A142" s="335">
        <v>8035.8</v>
      </c>
      <c r="B142" s="352">
        <f t="shared" ref="B142:B205" si="89">A142/1000</f>
        <v>8.0358000000000001</v>
      </c>
      <c r="C142" s="325">
        <f t="shared" si="62"/>
        <v>10.241692406403274</v>
      </c>
      <c r="D142" s="326">
        <f t="shared" si="63"/>
        <v>1.4730004012948827</v>
      </c>
      <c r="E142" s="326">
        <f t="shared" si="64"/>
        <v>1.0000509843514094</v>
      </c>
      <c r="F142" s="327">
        <f t="shared" si="65"/>
        <v>1.0097740869485316E-2</v>
      </c>
      <c r="G142" s="326">
        <f t="shared" si="66"/>
        <v>1</v>
      </c>
      <c r="H142" s="327">
        <f t="shared" si="67"/>
        <v>0</v>
      </c>
      <c r="I142" s="325">
        <f t="shared" si="68"/>
        <v>10665.64291048954</v>
      </c>
      <c r="J142" s="328">
        <f t="shared" si="69"/>
        <v>1.5707025677960385</v>
      </c>
      <c r="K142" s="336">
        <f t="shared" si="70"/>
        <v>2.2953511709032126</v>
      </c>
      <c r="L142" s="337">
        <f t="shared" si="71"/>
        <v>1.1200213997952233</v>
      </c>
      <c r="M142" s="325">
        <f t="shared" si="72"/>
        <v>1.0012171975364339</v>
      </c>
      <c r="N142" s="337">
        <f t="shared" si="73"/>
        <v>4.9314585589508457E-2</v>
      </c>
      <c r="O142" s="343">
        <f t="shared" si="74"/>
        <v>1.0010896440200747</v>
      </c>
      <c r="P142" s="691">
        <f t="shared" si="75"/>
        <v>4.6661665261073647E-2</v>
      </c>
      <c r="Q142" s="336">
        <f t="shared" si="60"/>
        <v>15.127782510116299</v>
      </c>
      <c r="R142" s="692">
        <f t="shared" si="76"/>
        <v>2.1791258608733721E-2</v>
      </c>
      <c r="S142" s="329">
        <f t="shared" si="77"/>
        <v>0.9998010238941708</v>
      </c>
      <c r="T142" s="330">
        <f t="shared" si="78"/>
        <v>6.3820332239021837E-2</v>
      </c>
      <c r="U142" s="331">
        <f t="shared" si="79"/>
        <v>14.623043539093</v>
      </c>
      <c r="V142" s="332">
        <f t="shared" si="80"/>
        <v>-114.69746121555018</v>
      </c>
      <c r="W142" s="334">
        <f t="shared" si="81"/>
        <v>65.302538784449823</v>
      </c>
      <c r="Y142" s="307">
        <f t="shared" si="82"/>
        <v>1000000000</v>
      </c>
      <c r="Z142" s="307">
        <f t="shared" si="83"/>
        <v>64574081.640000001</v>
      </c>
      <c r="AB142" s="333">
        <f t="shared" si="84"/>
        <v>24.353900373972337</v>
      </c>
      <c r="AC142" s="334">
        <f t="shared" si="85"/>
        <v>-28.647646487923332</v>
      </c>
      <c r="AE142" s="333">
        <f t="shared" si="86"/>
        <v>47.834589318769396</v>
      </c>
      <c r="AF142" s="334">
        <f t="shared" si="87"/>
        <v>-87.474784065208269</v>
      </c>
      <c r="AH142">
        <f t="shared" si="88"/>
        <v>0</v>
      </c>
      <c r="AI142">
        <f t="shared" si="61"/>
        <v>0</v>
      </c>
    </row>
    <row r="143" spans="1:35" x14ac:dyDescent="0.2">
      <c r="A143" s="335">
        <v>8128.3</v>
      </c>
      <c r="B143" s="352">
        <f t="shared" si="89"/>
        <v>8.1282999999999994</v>
      </c>
      <c r="C143" s="325">
        <f t="shared" si="62"/>
        <v>10.358466808846003</v>
      </c>
      <c r="D143" s="326">
        <f t="shared" si="63"/>
        <v>1.4741063553842089</v>
      </c>
      <c r="E143" s="326">
        <f t="shared" si="64"/>
        <v>1.0000521648367402</v>
      </c>
      <c r="F143" s="327">
        <f t="shared" si="65"/>
        <v>1.0213967808773476E-2</v>
      </c>
      <c r="G143" s="326">
        <f t="shared" si="66"/>
        <v>1</v>
      </c>
      <c r="H143" s="327">
        <f t="shared" si="67"/>
        <v>0</v>
      </c>
      <c r="I143" s="325">
        <f t="shared" si="68"/>
        <v>10788.415000461531</v>
      </c>
      <c r="J143" s="328">
        <f t="shared" si="69"/>
        <v>1.5707036347728165</v>
      </c>
      <c r="K143" s="336">
        <f t="shared" si="70"/>
        <v>2.3167811863991936</v>
      </c>
      <c r="L143" s="337">
        <f t="shared" si="71"/>
        <v>1.1244936337736984</v>
      </c>
      <c r="M143" s="325">
        <f t="shared" si="72"/>
        <v>1.0012453635840293</v>
      </c>
      <c r="N143" s="337">
        <f t="shared" si="73"/>
        <v>4.9881309405152528E-2</v>
      </c>
      <c r="O143" s="343">
        <f t="shared" si="74"/>
        <v>1.0011148601116537</v>
      </c>
      <c r="P143" s="691">
        <f t="shared" si="75"/>
        <v>4.7197994346713401E-2</v>
      </c>
      <c r="Q143" s="336">
        <f t="shared" ref="Q143:Q206" si="90">IF(VOUT_setting=1,1,SQRT((1+Afbr-$Q$5*(A143)^2)^2+(A143*$Q$4)^2))</f>
        <v>15.127863280201408</v>
      </c>
      <c r="R143" s="692">
        <f t="shared" si="76"/>
        <v>2.204202022707499E-2</v>
      </c>
      <c r="S143" s="329">
        <f t="shared" si="77"/>
        <v>0.99979647538703142</v>
      </c>
      <c r="T143" s="330">
        <f t="shared" si="78"/>
        <v>6.4556277825110989E-2</v>
      </c>
      <c r="U143" s="331">
        <f t="shared" si="79"/>
        <v>14.505851844076915</v>
      </c>
      <c r="V143" s="332">
        <f t="shared" si="80"/>
        <v>-114.55626505343785</v>
      </c>
      <c r="W143" s="334">
        <f t="shared" si="81"/>
        <v>65.443734946562145</v>
      </c>
      <c r="Y143" s="307">
        <f t="shared" si="82"/>
        <v>1000000000</v>
      </c>
      <c r="Z143" s="307">
        <f t="shared" si="83"/>
        <v>66069260.890000001</v>
      </c>
      <c r="AB143" s="333">
        <f t="shared" si="84"/>
        <v>24.334961512012903</v>
      </c>
      <c r="AC143" s="334">
        <f t="shared" si="85"/>
        <v>-28.423938371758251</v>
      </c>
      <c r="AE143" s="333">
        <f t="shared" si="86"/>
        <v>47.736164078158026</v>
      </c>
      <c r="AF143" s="334">
        <f t="shared" si="87"/>
        <v>-87.573657829922141</v>
      </c>
      <c r="AH143">
        <f t="shared" si="88"/>
        <v>0</v>
      </c>
      <c r="AI143">
        <f t="shared" si="61"/>
        <v>0</v>
      </c>
    </row>
    <row r="144" spans="1:35" x14ac:dyDescent="0.2">
      <c r="A144" s="335">
        <v>8222.9500000000007</v>
      </c>
      <c r="B144" s="352">
        <f t="shared" si="89"/>
        <v>8.2229500000000009</v>
      </c>
      <c r="C144" s="325">
        <f t="shared" si="62"/>
        <v>10.477968246347402</v>
      </c>
      <c r="D144" s="326">
        <f t="shared" si="63"/>
        <v>1.4752124967525773</v>
      </c>
      <c r="E144" s="326">
        <f t="shared" si="64"/>
        <v>1.0000533867444041</v>
      </c>
      <c r="F144" s="327">
        <f t="shared" si="65"/>
        <v>1.0332895953397946E-2</v>
      </c>
      <c r="G144" s="326">
        <f t="shared" si="66"/>
        <v>1</v>
      </c>
      <c r="H144" s="327">
        <f t="shared" si="67"/>
        <v>0</v>
      </c>
      <c r="I144" s="325">
        <f t="shared" si="68"/>
        <v>10914.040711996648</v>
      </c>
      <c r="J144" s="328">
        <f t="shared" si="69"/>
        <v>1.5707047017013325</v>
      </c>
      <c r="K144" s="336">
        <f t="shared" si="70"/>
        <v>2.3387563808806946</v>
      </c>
      <c r="L144" s="337">
        <f t="shared" si="71"/>
        <v>1.1289848872673358</v>
      </c>
      <c r="M144" s="325">
        <f t="shared" si="72"/>
        <v>1.0012745171573392</v>
      </c>
      <c r="N144" s="337">
        <f t="shared" si="73"/>
        <v>5.0461172524624683E-2</v>
      </c>
      <c r="O144" s="343">
        <f t="shared" si="74"/>
        <v>1.0011409603791253</v>
      </c>
      <c r="P144" s="691">
        <f t="shared" si="75"/>
        <v>4.7746761330911727E-2</v>
      </c>
      <c r="Q144" s="336">
        <f t="shared" si="90"/>
        <v>15.127946884094026</v>
      </c>
      <c r="R144" s="692">
        <f t="shared" si="76"/>
        <v>2.2298607611962815E-2</v>
      </c>
      <c r="S144" s="329">
        <f t="shared" si="77"/>
        <v>0.9997917700685508</v>
      </c>
      <c r="T144" s="330">
        <f t="shared" si="78"/>
        <v>6.5309375696132099E-2</v>
      </c>
      <c r="U144" s="331">
        <f t="shared" si="79"/>
        <v>14.387637738378864</v>
      </c>
      <c r="V144" s="332">
        <f t="shared" si="80"/>
        <v>-114.41519184617935</v>
      </c>
      <c r="W144" s="334">
        <f t="shared" si="81"/>
        <v>65.584808153820646</v>
      </c>
      <c r="Y144" s="307">
        <f t="shared" si="82"/>
        <v>1000000000</v>
      </c>
      <c r="Z144" s="307">
        <f t="shared" si="83"/>
        <v>67616906.702500015</v>
      </c>
      <c r="AB144" s="333">
        <f t="shared" si="84"/>
        <v>24.316149452562712</v>
      </c>
      <c r="AC144" s="334">
        <f t="shared" si="85"/>
        <v>-28.199893341535489</v>
      </c>
      <c r="AE144" s="333">
        <f t="shared" si="86"/>
        <v>47.636583585577569</v>
      </c>
      <c r="AF144" s="334">
        <f t="shared" si="87"/>
        <v>-87.673370310805893</v>
      </c>
      <c r="AH144">
        <f t="shared" si="88"/>
        <v>0</v>
      </c>
      <c r="AI144">
        <f t="shared" si="61"/>
        <v>0</v>
      </c>
    </row>
    <row r="145" spans="1:35" x14ac:dyDescent="0.2">
      <c r="A145" s="335">
        <v>8270.2750000000015</v>
      </c>
      <c r="B145" s="352">
        <f t="shared" si="89"/>
        <v>8.2702750000000016</v>
      </c>
      <c r="C145" s="325">
        <f t="shared" si="62"/>
        <v>10.53772369093077</v>
      </c>
      <c r="D145" s="326">
        <f t="shared" si="63"/>
        <v>1.4757561590848831</v>
      </c>
      <c r="E145" s="326">
        <f t="shared" si="64"/>
        <v>1.0000540030024734</v>
      </c>
      <c r="F145" s="327">
        <f t="shared" si="65"/>
        <v>1.0392359916306132E-2</v>
      </c>
      <c r="G145" s="326">
        <f t="shared" si="66"/>
        <v>1</v>
      </c>
      <c r="H145" s="327">
        <f t="shared" si="67"/>
        <v>0</v>
      </c>
      <c r="I145" s="325">
        <f t="shared" si="68"/>
        <v>10976.853567768785</v>
      </c>
      <c r="J145" s="328">
        <f t="shared" si="69"/>
        <v>1.5707052260076619</v>
      </c>
      <c r="K145" s="336">
        <f t="shared" si="70"/>
        <v>2.3497614208137518</v>
      </c>
      <c r="L145" s="337">
        <f t="shared" si="71"/>
        <v>1.131198989734385</v>
      </c>
      <c r="M145" s="325">
        <f t="shared" si="72"/>
        <v>1.0012892201896371</v>
      </c>
      <c r="N145" s="337">
        <f t="shared" si="73"/>
        <v>5.0751091373132877E-2</v>
      </c>
      <c r="O145" s="343">
        <f t="shared" si="74"/>
        <v>1.0011541235667296</v>
      </c>
      <c r="P145" s="691">
        <f t="shared" si="75"/>
        <v>4.8021134051857775E-2</v>
      </c>
      <c r="Q145" s="336">
        <f t="shared" si="90"/>
        <v>15.127989048824091</v>
      </c>
      <c r="R145" s="692">
        <f t="shared" si="76"/>
        <v>2.2426900252546331E-2</v>
      </c>
      <c r="S145" s="329">
        <f t="shared" si="77"/>
        <v>0.99978939806131528</v>
      </c>
      <c r="T145" s="330">
        <f t="shared" si="78"/>
        <v>6.5685942446663759E-2</v>
      </c>
      <c r="U145" s="331">
        <f t="shared" si="79"/>
        <v>14.329161220004972</v>
      </c>
      <c r="V145" s="332">
        <f t="shared" si="80"/>
        <v>-114.34592272273778</v>
      </c>
      <c r="W145" s="334">
        <f t="shared" si="81"/>
        <v>65.654077277262218</v>
      </c>
      <c r="Y145" s="307">
        <f t="shared" si="82"/>
        <v>1000000000</v>
      </c>
      <c r="Z145" s="307">
        <f t="shared" si="83"/>
        <v>68397448.575625017</v>
      </c>
      <c r="AB145" s="333">
        <f t="shared" si="84"/>
        <v>24.306951556761753</v>
      </c>
      <c r="AC145" s="334">
        <f t="shared" si="85"/>
        <v>-28.089675781598782</v>
      </c>
      <c r="AE145" s="333">
        <f t="shared" si="86"/>
        <v>47.587214969407242</v>
      </c>
      <c r="AF145" s="334">
        <f t="shared" si="87"/>
        <v>-87.722688519386281</v>
      </c>
      <c r="AH145">
        <f t="shared" si="88"/>
        <v>0</v>
      </c>
      <c r="AI145">
        <f t="shared" si="61"/>
        <v>0</v>
      </c>
    </row>
    <row r="146" spans="1:35" x14ac:dyDescent="0.2">
      <c r="A146" s="335">
        <v>8317.6</v>
      </c>
      <c r="B146" s="352">
        <f t="shared" si="89"/>
        <v>8.3176000000000005</v>
      </c>
      <c r="C146" s="325">
        <f t="shared" si="62"/>
        <v>10.597482215010736</v>
      </c>
      <c r="D146" s="326">
        <f t="shared" si="63"/>
        <v>1.4762936902203707</v>
      </c>
      <c r="E146" s="326">
        <f t="shared" si="64"/>
        <v>1.000054622796692</v>
      </c>
      <c r="F146" s="327">
        <f t="shared" si="65"/>
        <v>1.0451823805717762E-2</v>
      </c>
      <c r="G146" s="326">
        <f t="shared" si="66"/>
        <v>1</v>
      </c>
      <c r="H146" s="327">
        <f t="shared" si="67"/>
        <v>0</v>
      </c>
      <c r="I146" s="325">
        <f t="shared" si="68"/>
        <v>11039.666423543904</v>
      </c>
      <c r="J146" s="328">
        <f t="shared" si="69"/>
        <v>1.5707057443476558</v>
      </c>
      <c r="K146" s="336">
        <f t="shared" si="70"/>
        <v>2.3607778724359441</v>
      </c>
      <c r="L146" s="337">
        <f t="shared" si="71"/>
        <v>1.133392438874447</v>
      </c>
      <c r="M146" s="325">
        <f t="shared" si="72"/>
        <v>1.0013040073807606</v>
      </c>
      <c r="N146" s="337">
        <f t="shared" si="73"/>
        <v>5.1041001683003635E-2</v>
      </c>
      <c r="O146" s="343">
        <f t="shared" si="74"/>
        <v>1.0011673621196218</v>
      </c>
      <c r="P146" s="691">
        <f t="shared" si="75"/>
        <v>4.8295499537332663E-2</v>
      </c>
      <c r="Q146" s="336">
        <f t="shared" si="90"/>
        <v>15.128031455407305</v>
      </c>
      <c r="R146" s="692">
        <f t="shared" si="76"/>
        <v>2.255519218650864E-2</v>
      </c>
      <c r="S146" s="329">
        <f t="shared" si="77"/>
        <v>0.99978701317201857</v>
      </c>
      <c r="T146" s="330">
        <f t="shared" si="78"/>
        <v>6.6062521164606688E-2</v>
      </c>
      <c r="U146" s="331">
        <f t="shared" si="79"/>
        <v>14.271097295237254</v>
      </c>
      <c r="V146" s="332">
        <f t="shared" si="80"/>
        <v>-114.27748588896036</v>
      </c>
      <c r="W146" s="334">
        <f t="shared" si="81"/>
        <v>65.722514111039644</v>
      </c>
      <c r="Y146" s="307">
        <f t="shared" si="82"/>
        <v>1000000000</v>
      </c>
      <c r="Z146" s="307">
        <f t="shared" si="83"/>
        <v>69182469.760000005</v>
      </c>
      <c r="AB146" s="333">
        <f t="shared" si="84"/>
        <v>24.297888814821963</v>
      </c>
      <c r="AC146" s="334">
        <f t="shared" si="85"/>
        <v>-27.98064073905897</v>
      </c>
      <c r="AE146" s="333">
        <f t="shared" si="86"/>
        <v>47.538123279426742</v>
      </c>
      <c r="AF146" s="334">
        <f t="shared" si="87"/>
        <v>-87.771656126158391</v>
      </c>
      <c r="AH146">
        <f t="shared" si="88"/>
        <v>0</v>
      </c>
      <c r="AI146">
        <f t="shared" si="61"/>
        <v>0</v>
      </c>
    </row>
    <row r="147" spans="1:35" x14ac:dyDescent="0.2">
      <c r="A147" s="335">
        <v>8366.0499999999993</v>
      </c>
      <c r="B147" s="352">
        <f t="shared" si="89"/>
        <v>8.3660499999999995</v>
      </c>
      <c r="C147" s="325">
        <f t="shared" si="62"/>
        <v>10.658664442315585</v>
      </c>
      <c r="D147" s="326">
        <f t="shared" si="63"/>
        <v>1.4768377552363412</v>
      </c>
      <c r="E147" s="326">
        <f t="shared" si="64"/>
        <v>1.0000552609877618</v>
      </c>
      <c r="F147" s="327">
        <f t="shared" si="65"/>
        <v>1.051270118169215E-2</v>
      </c>
      <c r="G147" s="326">
        <f t="shared" si="66"/>
        <v>1</v>
      </c>
      <c r="H147" s="327">
        <f t="shared" si="67"/>
        <v>0</v>
      </c>
      <c r="I147" s="325">
        <f t="shared" si="68"/>
        <v>11103.972453389611</v>
      </c>
      <c r="J147" s="328">
        <f t="shared" si="69"/>
        <v>1.5707062689344733</v>
      </c>
      <c r="K147" s="336">
        <f t="shared" si="70"/>
        <v>2.3720678606531012</v>
      </c>
      <c r="L147" s="337">
        <f t="shared" si="71"/>
        <v>1.1356169131987293</v>
      </c>
      <c r="M147" s="325">
        <f t="shared" si="72"/>
        <v>1.0013192332695189</v>
      </c>
      <c r="N147" s="337">
        <f t="shared" si="73"/>
        <v>5.1337794784107674E-2</v>
      </c>
      <c r="O147" s="343">
        <f t="shared" si="74"/>
        <v>1.0011809934474363</v>
      </c>
      <c r="P147" s="691">
        <f t="shared" si="75"/>
        <v>4.857637964338804E-2</v>
      </c>
      <c r="Q147" s="336">
        <f t="shared" si="90"/>
        <v>15.128075120614231</v>
      </c>
      <c r="R147" s="692">
        <f t="shared" si="76"/>
        <v>2.2686533113256455E-2</v>
      </c>
      <c r="S147" s="329">
        <f t="shared" si="77"/>
        <v>0.99978455825768131</v>
      </c>
      <c r="T147" s="330">
        <f t="shared" si="78"/>
        <v>6.6448064301620452E-2</v>
      </c>
      <c r="U147" s="331">
        <f t="shared" si="79"/>
        <v>14.212074580272882</v>
      </c>
      <c r="V147" s="332">
        <f t="shared" si="80"/>
        <v>-114.20827459036678</v>
      </c>
      <c r="W147" s="334">
        <f t="shared" si="81"/>
        <v>65.791725409633216</v>
      </c>
      <c r="Y147" s="307">
        <f t="shared" si="82"/>
        <v>1000000000</v>
      </c>
      <c r="Z147" s="307">
        <f t="shared" si="83"/>
        <v>69990792.602499992</v>
      </c>
      <c r="AB147" s="333">
        <f t="shared" si="84"/>
        <v>24.288747908668977</v>
      </c>
      <c r="AC147" s="334">
        <f t="shared" si="85"/>
        <v>-27.870222797208697</v>
      </c>
      <c r="AE147" s="333">
        <f t="shared" si="86"/>
        <v>47.488148279984877</v>
      </c>
      <c r="AF147" s="334">
        <f t="shared" si="87"/>
        <v>-87.821430733271072</v>
      </c>
      <c r="AH147">
        <f t="shared" si="88"/>
        <v>0</v>
      </c>
      <c r="AI147">
        <f t="shared" si="61"/>
        <v>0</v>
      </c>
    </row>
    <row r="148" spans="1:35" x14ac:dyDescent="0.2">
      <c r="A148" s="338">
        <v>8414.5</v>
      </c>
      <c r="B148" s="352">
        <f t="shared" si="89"/>
        <v>8.4145000000000003</v>
      </c>
      <c r="C148" s="325">
        <f t="shared" si="62"/>
        <v>10.719849788642458</v>
      </c>
      <c r="D148" s="326">
        <f t="shared" si="63"/>
        <v>1.4773756097247697</v>
      </c>
      <c r="E148" s="326">
        <f t="shared" si="64"/>
        <v>1.0000559028850866</v>
      </c>
      <c r="F148" s="327">
        <f t="shared" si="65"/>
        <v>1.0573578479742472E-2</v>
      </c>
      <c r="G148" s="326">
        <f t="shared" si="66"/>
        <v>1</v>
      </c>
      <c r="H148" s="327">
        <f t="shared" si="67"/>
        <v>0</v>
      </c>
      <c r="I148" s="325">
        <f t="shared" si="68"/>
        <v>11168.278483238344</v>
      </c>
      <c r="J148" s="328">
        <f t="shared" si="69"/>
        <v>1.5707067874802352</v>
      </c>
      <c r="K148" s="336">
        <f t="shared" ref="K148:K157" si="91">SQRT(1+(A148/Zero2)^2)</f>
        <v>2.3833694753044328</v>
      </c>
      <c r="L148" s="337">
        <f t="shared" ref="L148:L157" si="92">ATAN(A148/Zero2)</f>
        <v>1.1378203020292337</v>
      </c>
      <c r="M148" s="325">
        <f t="shared" si="72"/>
        <v>1.0013345473579411</v>
      </c>
      <c r="N148" s="337">
        <f t="shared" si="73"/>
        <v>5.1634578833237209E-2</v>
      </c>
      <c r="O148" s="343">
        <f t="shared" si="74"/>
        <v>1.0011947037599029</v>
      </c>
      <c r="P148" s="691">
        <f t="shared" si="75"/>
        <v>4.8857252078884451E-2</v>
      </c>
      <c r="Q148" s="336">
        <f t="shared" si="90"/>
        <v>15.128119039305213</v>
      </c>
      <c r="R148" s="692">
        <f t="shared" si="76"/>
        <v>2.2817873290828711E-2</v>
      </c>
      <c r="S148" s="329">
        <f t="shared" si="77"/>
        <v>0.99978208986822292</v>
      </c>
      <c r="T148" s="330">
        <f t="shared" si="78"/>
        <v>6.6833620126092064E-2</v>
      </c>
      <c r="U148" s="331">
        <f t="shared" si="79"/>
        <v>14.153472383301962</v>
      </c>
      <c r="V148" s="332">
        <f t="shared" si="80"/>
        <v>-114.13991582776157</v>
      </c>
      <c r="W148" s="334">
        <f t="shared" si="81"/>
        <v>65.86008417223843</v>
      </c>
      <c r="Y148" s="307">
        <f t="shared" si="82"/>
        <v>1000000000</v>
      </c>
      <c r="Z148" s="307">
        <f t="shared" si="83"/>
        <v>70803810.25</v>
      </c>
      <c r="AB148" s="333">
        <f t="shared" si="84"/>
        <v>24.279743162367438</v>
      </c>
      <c r="AC148" s="334">
        <f t="shared" si="85"/>
        <v>-27.761012100395313</v>
      </c>
      <c r="AE148" s="333">
        <f t="shared" si="86"/>
        <v>47.438457100528673</v>
      </c>
      <c r="AF148" s="334">
        <f t="shared" si="87"/>
        <v>-87.870850234769122</v>
      </c>
      <c r="AH148">
        <f t="shared" si="88"/>
        <v>0</v>
      </c>
      <c r="AI148">
        <f t="shared" si="61"/>
        <v>0</v>
      </c>
    </row>
    <row r="149" spans="1:35" x14ac:dyDescent="0.2">
      <c r="A149" s="338">
        <v>8462.9500000000007</v>
      </c>
      <c r="B149" s="352">
        <f t="shared" si="89"/>
        <v>8.4629500000000011</v>
      </c>
      <c r="C149" s="325">
        <f t="shared" si="62"/>
        <v>10.781038200887439</v>
      </c>
      <c r="D149" s="326">
        <f t="shared" si="63"/>
        <v>1.4779073591164231</v>
      </c>
      <c r="E149" s="326">
        <f t="shared" si="64"/>
        <v>1.0000565484886592</v>
      </c>
      <c r="F149" s="327">
        <f t="shared" si="65"/>
        <v>1.0634455699417652E-2</v>
      </c>
      <c r="G149" s="326">
        <f t="shared" si="66"/>
        <v>1</v>
      </c>
      <c r="H149" s="327">
        <f t="shared" si="67"/>
        <v>0</v>
      </c>
      <c r="I149" s="325">
        <f t="shared" si="68"/>
        <v>11232.584513090047</v>
      </c>
      <c r="J149" s="328">
        <f t="shared" si="69"/>
        <v>1.570707300088696</v>
      </c>
      <c r="K149" s="336">
        <f t="shared" si="91"/>
        <v>2.3946825517783825</v>
      </c>
      <c r="L149" s="337">
        <f t="shared" si="92"/>
        <v>1.1400028826581277</v>
      </c>
      <c r="M149" s="325">
        <f t="shared" si="72"/>
        <v>1.0013499496419811</v>
      </c>
      <c r="N149" s="337">
        <f t="shared" si="73"/>
        <v>5.1931353778526805E-2</v>
      </c>
      <c r="O149" s="343">
        <f t="shared" si="74"/>
        <v>1.0012084930537772</v>
      </c>
      <c r="P149" s="691">
        <f t="shared" si="75"/>
        <v>4.9138116799822239E-2</v>
      </c>
      <c r="Q149" s="336">
        <f t="shared" si="90"/>
        <v>15.128163211478052</v>
      </c>
      <c r="R149" s="692">
        <f t="shared" si="76"/>
        <v>2.2949212714895476E-2</v>
      </c>
      <c r="S149" s="329">
        <f t="shared" si="77"/>
        <v>0.9997796080172564</v>
      </c>
      <c r="T149" s="330">
        <f t="shared" si="78"/>
        <v>6.7219188711011679E-2</v>
      </c>
      <c r="U149" s="331">
        <f t="shared" si="79"/>
        <v>14.095284850045573</v>
      </c>
      <c r="V149" s="332">
        <f t="shared" si="80"/>
        <v>-114.07239976366554</v>
      </c>
      <c r="W149" s="334">
        <f t="shared" si="81"/>
        <v>65.927600236334456</v>
      </c>
      <c r="Y149" s="307">
        <f t="shared" si="82"/>
        <v>1000000000</v>
      </c>
      <c r="Z149" s="307">
        <f t="shared" si="83"/>
        <v>71621522.702500015</v>
      </c>
      <c r="AB149" s="333">
        <f t="shared" si="84"/>
        <v>24.27087189360784</v>
      </c>
      <c r="AC149" s="334">
        <f t="shared" si="85"/>
        <v>-27.65299276392091</v>
      </c>
      <c r="AE149" s="333">
        <f t="shared" si="86"/>
        <v>47.38904656914243</v>
      </c>
      <c r="AF149" s="334">
        <f t="shared" si="87"/>
        <v>-87.919920675598433</v>
      </c>
      <c r="AH149">
        <f t="shared" si="88"/>
        <v>0</v>
      </c>
      <c r="AI149">
        <f t="shared" si="61"/>
        <v>0</v>
      </c>
    </row>
    <row r="150" spans="1:35" x14ac:dyDescent="0.2">
      <c r="A150" s="338">
        <v>8511.4</v>
      </c>
      <c r="B150" s="352">
        <f t="shared" si="89"/>
        <v>8.5114000000000001</v>
      </c>
      <c r="C150" s="325">
        <f t="shared" si="62"/>
        <v>10.842229627142755</v>
      </c>
      <c r="D150" s="326">
        <f t="shared" si="63"/>
        <v>1.4784331064759353</v>
      </c>
      <c r="E150" s="326">
        <f t="shared" si="64"/>
        <v>1.0000571977984725</v>
      </c>
      <c r="F150" s="327">
        <f t="shared" si="65"/>
        <v>1.069533284026661E-2</v>
      </c>
      <c r="G150" s="326">
        <f t="shared" si="66"/>
        <v>1</v>
      </c>
      <c r="H150" s="327">
        <f t="shared" si="67"/>
        <v>0</v>
      </c>
      <c r="I150" s="325">
        <f t="shared" si="68"/>
        <v>11296.890542944664</v>
      </c>
      <c r="J150" s="328">
        <f t="shared" si="69"/>
        <v>1.5707078068612472</v>
      </c>
      <c r="K150" s="336">
        <f t="shared" si="91"/>
        <v>2.4060069283940293</v>
      </c>
      <c r="L150" s="337">
        <f t="shared" si="92"/>
        <v>1.1421649279579797</v>
      </c>
      <c r="M150" s="325">
        <f t="shared" si="72"/>
        <v>1.0013654401175687</v>
      </c>
      <c r="N150" s="337">
        <f t="shared" si="73"/>
        <v>5.222811956812063E-2</v>
      </c>
      <c r="O150" s="343">
        <f t="shared" si="74"/>
        <v>1.0012223613257958</v>
      </c>
      <c r="P150" s="691">
        <f t="shared" si="75"/>
        <v>4.9418973762209037E-2</v>
      </c>
      <c r="Q150" s="336">
        <f t="shared" si="90"/>
        <v>15.128207637130526</v>
      </c>
      <c r="R150" s="692">
        <f t="shared" si="76"/>
        <v>2.3080551381126975E-2</v>
      </c>
      <c r="S150" s="329">
        <f t="shared" si="77"/>
        <v>0.99977711271847436</v>
      </c>
      <c r="T150" s="330">
        <f t="shared" si="78"/>
        <v>6.7604770129360878E-2</v>
      </c>
      <c r="U150" s="331">
        <f t="shared" si="79"/>
        <v>14.037506242166351</v>
      </c>
      <c r="V150" s="332">
        <f t="shared" si="80"/>
        <v>-114.00571667811879</v>
      </c>
      <c r="W150" s="334">
        <f t="shared" si="81"/>
        <v>65.994283321881213</v>
      </c>
      <c r="Y150" s="307">
        <f t="shared" si="82"/>
        <v>1000000000</v>
      </c>
      <c r="Z150" s="307">
        <f t="shared" si="83"/>
        <v>72443929.959999993</v>
      </c>
      <c r="AB150" s="333">
        <f t="shared" si="84"/>
        <v>24.262131483612084</v>
      </c>
      <c r="AC150" s="334">
        <f t="shared" si="85"/>
        <v>-27.546149156177158</v>
      </c>
      <c r="AE150" s="333">
        <f t="shared" si="86"/>
        <v>47.339913566320902</v>
      </c>
      <c r="AF150" s="334">
        <f t="shared" si="87"/>
        <v>-87.96864796513492</v>
      </c>
      <c r="AH150">
        <f t="shared" si="88"/>
        <v>0</v>
      </c>
      <c r="AI150">
        <f t="shared" si="61"/>
        <v>0</v>
      </c>
    </row>
    <row r="151" spans="1:35" x14ac:dyDescent="0.2">
      <c r="A151" s="338">
        <v>8560.9500000000007</v>
      </c>
      <c r="B151" s="352">
        <f t="shared" si="89"/>
        <v>8.5609500000000001</v>
      </c>
      <c r="C151" s="325">
        <f t="shared" si="62"/>
        <v>10.904813396980224</v>
      </c>
      <c r="D151" s="326">
        <f t="shared" si="63"/>
        <v>1.4789646873227127</v>
      </c>
      <c r="E151" s="326">
        <f t="shared" si="64"/>
        <v>1.0000578656835049</v>
      </c>
      <c r="F151" s="327">
        <f t="shared" si="65"/>
        <v>1.0757592042663158E-2</v>
      </c>
      <c r="G151" s="326">
        <f t="shared" si="66"/>
        <v>1</v>
      </c>
      <c r="H151" s="327">
        <f t="shared" si="67"/>
        <v>0</v>
      </c>
      <c r="I151" s="325">
        <f t="shared" si="68"/>
        <v>11362.656565224132</v>
      </c>
      <c r="J151" s="328">
        <f t="shared" si="69"/>
        <v>1.5707083192065698</v>
      </c>
      <c r="K151" s="336">
        <f t="shared" si="91"/>
        <v>2.4175999340011196</v>
      </c>
      <c r="L151" s="337">
        <f t="shared" si="92"/>
        <v>1.1443550997951299</v>
      </c>
      <c r="M151" s="325">
        <f t="shared" si="72"/>
        <v>1.0013813734995403</v>
      </c>
      <c r="N151" s="337">
        <f t="shared" si="73"/>
        <v>5.2531613550409348E-2</v>
      </c>
      <c r="O151" s="343">
        <f t="shared" si="74"/>
        <v>1.0012366261452808</v>
      </c>
      <c r="P151" s="691">
        <f t="shared" si="75"/>
        <v>4.9706199179445409E-2</v>
      </c>
      <c r="Q151" s="336">
        <f t="shared" si="90"/>
        <v>15.128253333590019</v>
      </c>
      <c r="R151" s="692">
        <f t="shared" si="76"/>
        <v>2.3214871148230194E-2</v>
      </c>
      <c r="S151" s="329">
        <f t="shared" si="77"/>
        <v>0.99977454687197675</v>
      </c>
      <c r="T151" s="330">
        <f t="shared" si="78"/>
        <v>6.7999119068036143E-2</v>
      </c>
      <c r="U151" s="331">
        <f t="shared" si="79"/>
        <v>13.978832934609592</v>
      </c>
      <c r="V151" s="332">
        <f t="shared" si="80"/>
        <v>-113.93837118576448</v>
      </c>
      <c r="W151" s="334">
        <f t="shared" si="81"/>
        <v>66.061628814235519</v>
      </c>
      <c r="Y151" s="307">
        <f t="shared" si="82"/>
        <v>1000000000</v>
      </c>
      <c r="Z151" s="307">
        <f t="shared" si="83"/>
        <v>73289864.902500018</v>
      </c>
      <c r="AB151" s="333">
        <f t="shared" si="84"/>
        <v>24.253325317525146</v>
      </c>
      <c r="AC151" s="334">
        <f t="shared" si="85"/>
        <v>-27.438079832893941</v>
      </c>
      <c r="AE151" s="333">
        <f t="shared" si="86"/>
        <v>47.289948911024659</v>
      </c>
      <c r="AF151" s="334">
        <f t="shared" si="87"/>
        <v>-88.018132644490166</v>
      </c>
      <c r="AH151">
        <f t="shared" si="88"/>
        <v>0</v>
      </c>
      <c r="AI151">
        <f t="shared" si="61"/>
        <v>0</v>
      </c>
    </row>
    <row r="152" spans="1:35" x14ac:dyDescent="0.2">
      <c r="A152" s="338">
        <v>8610.5</v>
      </c>
      <c r="B152" s="352">
        <f t="shared" si="89"/>
        <v>8.6105</v>
      </c>
      <c r="C152" s="325">
        <f t="shared" si="62"/>
        <v>10.967400213111915</v>
      </c>
      <c r="D152" s="326">
        <f t="shared" si="63"/>
        <v>1.4794902012538171</v>
      </c>
      <c r="E152" s="326">
        <f t="shared" si="64"/>
        <v>1.0000585374449646</v>
      </c>
      <c r="F152" s="327">
        <f t="shared" si="65"/>
        <v>1.0819851161659266E-2</v>
      </c>
      <c r="G152" s="326">
        <f t="shared" si="66"/>
        <v>1</v>
      </c>
      <c r="H152" s="327">
        <f t="shared" si="67"/>
        <v>0</v>
      </c>
      <c r="I152" s="325">
        <f t="shared" si="68"/>
        <v>11428.422587506544</v>
      </c>
      <c r="J152" s="328">
        <f t="shared" si="69"/>
        <v>1.5707088256552058</v>
      </c>
      <c r="K152" s="336">
        <f t="shared" si="91"/>
        <v>2.4292044257580785</v>
      </c>
      <c r="L152" s="337">
        <f t="shared" si="92"/>
        <v>1.1465243567249312</v>
      </c>
      <c r="M152" s="325">
        <f t="shared" si="72"/>
        <v>1.0013973991144052</v>
      </c>
      <c r="N152" s="337">
        <f t="shared" si="73"/>
        <v>5.2835097846869503E-2</v>
      </c>
      <c r="O152" s="343">
        <f t="shared" si="74"/>
        <v>1.0012509735628683</v>
      </c>
      <c r="P152" s="691">
        <f t="shared" si="75"/>
        <v>4.9993416388787675E-2</v>
      </c>
      <c r="Q152" s="336">
        <f t="shared" si="90"/>
        <v>15.128299295164986</v>
      </c>
      <c r="R152" s="692">
        <f t="shared" si="76"/>
        <v>2.334919011353645E-2</v>
      </c>
      <c r="S152" s="329">
        <f t="shared" si="77"/>
        <v>0.99977196698931747</v>
      </c>
      <c r="T152" s="330">
        <f t="shared" si="78"/>
        <v>6.8393481583863908E-2</v>
      </c>
      <c r="U152" s="331">
        <f t="shared" si="79"/>
        <v>13.920575550435954</v>
      </c>
      <c r="V152" s="332">
        <f t="shared" si="80"/>
        <v>-113.87187673488623</v>
      </c>
      <c r="W152" s="334">
        <f t="shared" si="81"/>
        <v>66.128123265113771</v>
      </c>
      <c r="Y152" s="307">
        <f t="shared" si="82"/>
        <v>1000000000</v>
      </c>
      <c r="Z152" s="307">
        <f t="shared" si="83"/>
        <v>74140710.25</v>
      </c>
      <c r="AB152" s="333">
        <f t="shared" si="84"/>
        <v>24.244650675313121</v>
      </c>
      <c r="AC152" s="334">
        <f t="shared" si="85"/>
        <v>-27.331207952719748</v>
      </c>
      <c r="AE152" s="333">
        <f t="shared" si="86"/>
        <v>47.240268092594434</v>
      </c>
      <c r="AF152" s="334">
        <f t="shared" si="87"/>
        <v>-88.067270497874347</v>
      </c>
      <c r="AH152">
        <f t="shared" si="88"/>
        <v>0</v>
      </c>
      <c r="AI152">
        <f t="shared" si="61"/>
        <v>0</v>
      </c>
    </row>
    <row r="153" spans="1:35" x14ac:dyDescent="0.2">
      <c r="A153" s="338">
        <v>8660.0499999999993</v>
      </c>
      <c r="B153" s="352">
        <f t="shared" si="89"/>
        <v>8.66005</v>
      </c>
      <c r="C153" s="325">
        <f t="shared" si="62"/>
        <v>11.029990023681609</v>
      </c>
      <c r="D153" s="326">
        <f t="shared" si="63"/>
        <v>1.48000975125685</v>
      </c>
      <c r="E153" s="326">
        <f t="shared" si="64"/>
        <v>1.0000592130828441</v>
      </c>
      <c r="F153" s="327">
        <f t="shared" si="65"/>
        <v>1.0882110196772446E-2</v>
      </c>
      <c r="G153" s="326">
        <f t="shared" si="66"/>
        <v>1</v>
      </c>
      <c r="H153" s="327">
        <f t="shared" si="67"/>
        <v>0</v>
      </c>
      <c r="I153" s="325">
        <f t="shared" si="68"/>
        <v>11494.188609791854</v>
      </c>
      <c r="J153" s="328">
        <f t="shared" si="69"/>
        <v>1.5707093263083716</v>
      </c>
      <c r="K153" s="336">
        <f t="shared" si="91"/>
        <v>2.4408202398376919</v>
      </c>
      <c r="L153" s="337">
        <f t="shared" si="92"/>
        <v>1.148672976785859</v>
      </c>
      <c r="M153" s="325">
        <f t="shared" si="72"/>
        <v>1.0014135169577358</v>
      </c>
      <c r="N153" s="337">
        <f t="shared" si="73"/>
        <v>5.3138572402064002E-2</v>
      </c>
      <c r="O153" s="343">
        <f t="shared" si="74"/>
        <v>1.0012654035750075</v>
      </c>
      <c r="P153" s="691">
        <f t="shared" si="75"/>
        <v>5.0280625343202469E-2</v>
      </c>
      <c r="Q153" s="336">
        <f t="shared" si="90"/>
        <v>15.12834552185301</v>
      </c>
      <c r="R153" s="692">
        <f t="shared" si="76"/>
        <v>2.348350827241482E-2</v>
      </c>
      <c r="S153" s="329">
        <f t="shared" si="77"/>
        <v>0.99976937308539804</v>
      </c>
      <c r="T153" s="330">
        <f t="shared" si="78"/>
        <v>6.8787857754882525E-2</v>
      </c>
      <c r="U153" s="331">
        <f t="shared" si="79"/>
        <v>13.862728309277433</v>
      </c>
      <c r="V153" s="332">
        <f t="shared" si="80"/>
        <v>-113.80622330535911</v>
      </c>
      <c r="W153" s="334">
        <f t="shared" si="81"/>
        <v>66.193776694640889</v>
      </c>
      <c r="Y153" s="307">
        <f t="shared" si="82"/>
        <v>1000000000</v>
      </c>
      <c r="Z153" s="307">
        <f t="shared" si="83"/>
        <v>74996466.002499983</v>
      </c>
      <c r="AB153" s="333">
        <f t="shared" si="84"/>
        <v>24.236104950728695</v>
      </c>
      <c r="AC153" s="334">
        <f t="shared" si="85"/>
        <v>-27.22551758784634</v>
      </c>
      <c r="AE153" s="333">
        <f t="shared" si="86"/>
        <v>47.190867936968324</v>
      </c>
      <c r="AF153" s="334">
        <f t="shared" si="87"/>
        <v>-88.11606743054125</v>
      </c>
      <c r="AH153">
        <f t="shared" si="88"/>
        <v>0</v>
      </c>
      <c r="AI153">
        <f t="shared" si="61"/>
        <v>0</v>
      </c>
    </row>
    <row r="154" spans="1:35" x14ac:dyDescent="0.2">
      <c r="A154" s="338">
        <v>8709.6</v>
      </c>
      <c r="B154" s="352">
        <f t="shared" si="89"/>
        <v>8.7096</v>
      </c>
      <c r="C154" s="325">
        <f t="shared" si="62"/>
        <v>11.092582778001034</v>
      </c>
      <c r="D154" s="326">
        <f t="shared" si="63"/>
        <v>1.4805234380079222</v>
      </c>
      <c r="E154" s="326">
        <f t="shared" si="64"/>
        <v>1.0000598925971351</v>
      </c>
      <c r="F154" s="327">
        <f t="shared" si="65"/>
        <v>1.0944369147520212E-2</v>
      </c>
      <c r="G154" s="326">
        <f t="shared" si="66"/>
        <v>1</v>
      </c>
      <c r="H154" s="327">
        <f t="shared" si="67"/>
        <v>0</v>
      </c>
      <c r="I154" s="325">
        <f t="shared" si="68"/>
        <v>11559.954632080015</v>
      </c>
      <c r="J154" s="328">
        <f t="shared" si="69"/>
        <v>1.570709821264981</v>
      </c>
      <c r="K154" s="336">
        <f t="shared" si="91"/>
        <v>2.4524472153582217</v>
      </c>
      <c r="L154" s="337">
        <f t="shared" si="92"/>
        <v>1.1508012335136002</v>
      </c>
      <c r="M154" s="325">
        <f t="shared" si="72"/>
        <v>1.0014297270250787</v>
      </c>
      <c r="N154" s="337">
        <f t="shared" si="73"/>
        <v>5.3442037160566495E-2</v>
      </c>
      <c r="O154" s="343">
        <f t="shared" si="74"/>
        <v>1.0012799161781274</v>
      </c>
      <c r="P154" s="691">
        <f t="shared" si="75"/>
        <v>5.0567825995664582E-2</v>
      </c>
      <c r="Q154" s="336">
        <f t="shared" si="90"/>
        <v>15.128392013651666</v>
      </c>
      <c r="R154" s="692">
        <f t="shared" si="76"/>
        <v>2.361782562023455E-2</v>
      </c>
      <c r="S154" s="329">
        <f t="shared" si="77"/>
        <v>0.99976676517520646</v>
      </c>
      <c r="T154" s="330">
        <f t="shared" si="78"/>
        <v>6.9182247659120857E-2</v>
      </c>
      <c r="U154" s="331">
        <f t="shared" si="79"/>
        <v>13.805285545394796</v>
      </c>
      <c r="V154" s="332">
        <f t="shared" si="80"/>
        <v>-113.74140100247791</v>
      </c>
      <c r="W154" s="334">
        <f t="shared" si="81"/>
        <v>66.258598997522085</v>
      </c>
      <c r="Y154" s="307">
        <f t="shared" si="82"/>
        <v>1000000000</v>
      </c>
      <c r="Z154" s="307">
        <f t="shared" si="83"/>
        <v>75857132.160000011</v>
      </c>
      <c r="AB154" s="333">
        <f t="shared" si="84"/>
        <v>24.227685599651178</v>
      </c>
      <c r="AC154" s="334">
        <f t="shared" si="85"/>
        <v>-27.120993068324911</v>
      </c>
      <c r="AE154" s="333">
        <f t="shared" si="86"/>
        <v>47.141745322586914</v>
      </c>
      <c r="AF154" s="334">
        <f t="shared" si="87"/>
        <v>-88.164529215305521</v>
      </c>
      <c r="AH154">
        <f t="shared" si="88"/>
        <v>0</v>
      </c>
      <c r="AI154">
        <f t="shared" ref="AI154:AI217" si="93">IF(AH154&gt;0,W154,0)</f>
        <v>0</v>
      </c>
    </row>
    <row r="155" spans="1:35" x14ac:dyDescent="0.2">
      <c r="A155" s="338">
        <v>8760.3250000000007</v>
      </c>
      <c r="B155" s="352">
        <f t="shared" si="89"/>
        <v>8.7603249999999999</v>
      </c>
      <c r="C155" s="325">
        <f t="shared" si="62"/>
        <v>11.156662818200452</v>
      </c>
      <c r="D155" s="326">
        <f t="shared" si="63"/>
        <v>1.4810433353220041</v>
      </c>
      <c r="E155" s="326">
        <f t="shared" si="64"/>
        <v>1.0000605922404124</v>
      </c>
      <c r="F155" s="327">
        <f t="shared" si="65"/>
        <v>1.1008104383071069E-2</v>
      </c>
      <c r="G155" s="326">
        <f t="shared" si="66"/>
        <v>1</v>
      </c>
      <c r="H155" s="327">
        <f t="shared" si="67"/>
        <v>0</v>
      </c>
      <c r="I155" s="325">
        <f t="shared" si="68"/>
        <v>11627.280191731086</v>
      </c>
      <c r="J155" s="328">
        <f t="shared" si="69"/>
        <v>1.5707103221588388</v>
      </c>
      <c r="K155" s="336">
        <f t="shared" si="91"/>
        <v>2.4643613028958526</v>
      </c>
      <c r="L155" s="337">
        <f t="shared" si="92"/>
        <v>1.1529591460415234</v>
      </c>
      <c r="M155" s="325">
        <f t="shared" si="72"/>
        <v>1.0014464170142563</v>
      </c>
      <c r="N155" s="337">
        <f t="shared" si="73"/>
        <v>5.3752687900809344E-2</v>
      </c>
      <c r="O155" s="343">
        <f t="shared" si="74"/>
        <v>1.0012948584729369</v>
      </c>
      <c r="P155" s="691">
        <f t="shared" si="75"/>
        <v>5.0861828509372847E-2</v>
      </c>
      <c r="Q155" s="336">
        <f t="shared" si="90"/>
        <v>15.128439882542546</v>
      </c>
      <c r="R155" s="692">
        <f t="shared" si="76"/>
        <v>2.3755327246871464E-2</v>
      </c>
      <c r="S155" s="329">
        <f t="shared" si="77"/>
        <v>0.99976408092986668</v>
      </c>
      <c r="T155" s="330">
        <f t="shared" si="78"/>
        <v>6.9586004204141058E-2</v>
      </c>
      <c r="U155" s="331">
        <f t="shared" si="79"/>
        <v>13.746893797504043</v>
      </c>
      <c r="V155" s="332">
        <f t="shared" si="80"/>
        <v>-113.67589226495214</v>
      </c>
      <c r="W155" s="334">
        <f t="shared" si="81"/>
        <v>66.324107735047861</v>
      </c>
      <c r="Y155" s="307">
        <f t="shared" si="82"/>
        <v>1000000000</v>
      </c>
      <c r="Z155" s="307">
        <f t="shared" si="83"/>
        <v>76743294.105625018</v>
      </c>
      <c r="AB155" s="333">
        <f t="shared" si="84"/>
        <v>24.219194908389333</v>
      </c>
      <c r="AC155" s="334">
        <f t="shared" si="85"/>
        <v>-27.015181463218173</v>
      </c>
      <c r="AE155" s="333">
        <f t="shared" si="86"/>
        <v>47.091742129343537</v>
      </c>
      <c r="AF155" s="334">
        <f t="shared" si="87"/>
        <v>-88.213798923216004</v>
      </c>
      <c r="AH155">
        <f t="shared" si="88"/>
        <v>0</v>
      </c>
      <c r="AI155">
        <f t="shared" si="93"/>
        <v>0</v>
      </c>
    </row>
    <row r="156" spans="1:35" x14ac:dyDescent="0.2">
      <c r="A156" s="338">
        <v>8811.0499999999993</v>
      </c>
      <c r="B156" s="352">
        <f t="shared" si="89"/>
        <v>8.8110499999999998</v>
      </c>
      <c r="C156" s="325">
        <f t="shared" si="62"/>
        <v>11.220745839526719</v>
      </c>
      <c r="D156" s="326">
        <f t="shared" si="63"/>
        <v>1.4815572943822204</v>
      </c>
      <c r="E156" s="326">
        <f t="shared" si="64"/>
        <v>1.0000612959461104</v>
      </c>
      <c r="F156" s="327">
        <f t="shared" si="65"/>
        <v>1.107183952918463E-2</v>
      </c>
      <c r="G156" s="326">
        <f t="shared" si="66"/>
        <v>1</v>
      </c>
      <c r="H156" s="327">
        <f t="shared" si="67"/>
        <v>0</v>
      </c>
      <c r="I156" s="325">
        <f t="shared" si="68"/>
        <v>11694.605751385039</v>
      </c>
      <c r="J156" s="328">
        <f t="shared" si="69"/>
        <v>1.5707108172854289</v>
      </c>
      <c r="K156" s="336">
        <f t="shared" si="91"/>
        <v>2.4762867554904062</v>
      </c>
      <c r="L156" s="337">
        <f t="shared" si="92"/>
        <v>1.1550962840283321</v>
      </c>
      <c r="M156" s="325">
        <f t="shared" si="72"/>
        <v>1.0014632036436746</v>
      </c>
      <c r="N156" s="337">
        <f t="shared" si="73"/>
        <v>5.4063328256709897E-2</v>
      </c>
      <c r="O156" s="343">
        <f t="shared" si="74"/>
        <v>1.0013098873145609</v>
      </c>
      <c r="P156" s="691">
        <f t="shared" si="75"/>
        <v>5.1155822223018482E-2</v>
      </c>
      <c r="Q156" s="336">
        <f t="shared" si="90"/>
        <v>15.1284880292613</v>
      </c>
      <c r="R156" s="692">
        <f t="shared" si="76"/>
        <v>2.389282801370719E-2</v>
      </c>
      <c r="S156" s="329">
        <f t="shared" si="77"/>
        <v>0.99976138203816922</v>
      </c>
      <c r="T156" s="330">
        <f t="shared" si="78"/>
        <v>6.998977530688176E-2</v>
      </c>
      <c r="U156" s="331">
        <f t="shared" si="79"/>
        <v>13.688914277123661</v>
      </c>
      <c r="V156" s="332">
        <f t="shared" si="80"/>
        <v>-113.6112339528151</v>
      </c>
      <c r="W156" s="334">
        <f t="shared" si="81"/>
        <v>66.388766047184902</v>
      </c>
      <c r="Y156" s="307">
        <f t="shared" si="82"/>
        <v>1000000000</v>
      </c>
      <c r="Z156" s="307">
        <f t="shared" si="83"/>
        <v>77634602.102499992</v>
      </c>
      <c r="AB156" s="333">
        <f t="shared" si="84"/>
        <v>24.210831451646825</v>
      </c>
      <c r="AC156" s="334">
        <f t="shared" si="85"/>
        <v>-26.910559226220872</v>
      </c>
      <c r="AE156" s="333">
        <f t="shared" si="86"/>
        <v>47.042023339698289</v>
      </c>
      <c r="AF156" s="334">
        <f t="shared" si="87"/>
        <v>-88.262729233462238</v>
      </c>
      <c r="AH156">
        <f t="shared" si="88"/>
        <v>0</v>
      </c>
      <c r="AI156">
        <f t="shared" si="93"/>
        <v>0</v>
      </c>
    </row>
    <row r="157" spans="1:35" x14ac:dyDescent="0.2">
      <c r="A157" s="338">
        <v>8861.7749999999996</v>
      </c>
      <c r="B157" s="352">
        <f t="shared" si="89"/>
        <v>8.8617749999999997</v>
      </c>
      <c r="C157" s="325">
        <f t="shared" si="62"/>
        <v>11.284831791193186</v>
      </c>
      <c r="D157" s="326">
        <f t="shared" si="63"/>
        <v>1.4820654160837745</v>
      </c>
      <c r="E157" s="326">
        <f t="shared" si="64"/>
        <v>1.0000620037142205</v>
      </c>
      <c r="F157" s="327">
        <f t="shared" si="65"/>
        <v>1.1135574585343281E-2</v>
      </c>
      <c r="G157" s="326">
        <f t="shared" si="66"/>
        <v>1</v>
      </c>
      <c r="H157" s="327">
        <f t="shared" si="67"/>
        <v>0</v>
      </c>
      <c r="I157" s="325">
        <f t="shared" si="68"/>
        <v>11761.93131104183</v>
      </c>
      <c r="J157" s="328">
        <f t="shared" si="69"/>
        <v>1.5707113067437877</v>
      </c>
      <c r="K157" s="336">
        <f t="shared" si="91"/>
        <v>2.4882234097319875</v>
      </c>
      <c r="L157" s="337">
        <f t="shared" si="92"/>
        <v>1.1572129267930109</v>
      </c>
      <c r="M157" s="325">
        <f t="shared" si="72"/>
        <v>1.0014800869084737</v>
      </c>
      <c r="N157" s="337">
        <f t="shared" si="73"/>
        <v>5.43739581688399E-2</v>
      </c>
      <c r="O157" s="343">
        <f t="shared" si="74"/>
        <v>1.0013250026991032</v>
      </c>
      <c r="P157" s="691">
        <f t="shared" si="75"/>
        <v>5.1449807086177801E-2</v>
      </c>
      <c r="Q157" s="336">
        <f t="shared" si="90"/>
        <v>15.12853645380528</v>
      </c>
      <c r="R157" s="692">
        <f t="shared" si="76"/>
        <v>2.4030327915774228E-2</v>
      </c>
      <c r="S157" s="329">
        <f t="shared" si="77"/>
        <v>0.99975866851647455</v>
      </c>
      <c r="T157" s="330">
        <f t="shared" si="78"/>
        <v>7.0393561051024137E-2</v>
      </c>
      <c r="U157" s="331">
        <f t="shared" si="79"/>
        <v>13.631341260677912</v>
      </c>
      <c r="V157" s="332">
        <f t="shared" si="80"/>
        <v>-113.5474158528351</v>
      </c>
      <c r="W157" s="334">
        <f t="shared" si="81"/>
        <v>66.452584147164899</v>
      </c>
      <c r="Y157" s="307">
        <f t="shared" si="82"/>
        <v>1000000000</v>
      </c>
      <c r="Z157" s="307">
        <f t="shared" si="83"/>
        <v>78531056.15062499</v>
      </c>
      <c r="AB157" s="333">
        <f t="shared" si="84"/>
        <v>24.202592691233708</v>
      </c>
      <c r="AC157" s="334">
        <f t="shared" si="85"/>
        <v>-26.807110355803442</v>
      </c>
      <c r="AE157" s="333">
        <f t="shared" si="86"/>
        <v>46.992585768329874</v>
      </c>
      <c r="AF157" s="334">
        <f t="shared" si="87"/>
        <v>-88.311325931737827</v>
      </c>
      <c r="AH157">
        <f t="shared" si="88"/>
        <v>0</v>
      </c>
      <c r="AI157">
        <f t="shared" si="93"/>
        <v>0</v>
      </c>
    </row>
    <row r="158" spans="1:35" x14ac:dyDescent="0.2">
      <c r="A158" s="335">
        <v>8912.5</v>
      </c>
      <c r="B158" s="352">
        <f t="shared" si="89"/>
        <v>8.9124999999999996</v>
      </c>
      <c r="C158" s="325">
        <f t="shared" si="62"/>
        <v>11.348920623558044</v>
      </c>
      <c r="D158" s="326">
        <f t="shared" si="63"/>
        <v>1.4825677990550097</v>
      </c>
      <c r="E158" s="326">
        <f t="shared" si="64"/>
        <v>1.0000627155447341</v>
      </c>
      <c r="F158" s="327">
        <f t="shared" si="65"/>
        <v>1.1199309551029409E-2</v>
      </c>
      <c r="G158" s="326">
        <f t="shared" si="66"/>
        <v>1</v>
      </c>
      <c r="H158" s="327">
        <f t="shared" si="67"/>
        <v>0</v>
      </c>
      <c r="I158" s="325">
        <f t="shared" si="68"/>
        <v>11829.256870701403</v>
      </c>
      <c r="J158" s="328">
        <f t="shared" si="69"/>
        <v>1.5707117906306962</v>
      </c>
      <c r="K158" s="336">
        <f t="shared" ref="K158:K214" si="94">SQRT(1+(A158/Zero2)^2)</f>
        <v>2.5001711051793563</v>
      </c>
      <c r="L158" s="337">
        <f t="shared" ref="L158:L214" si="95">ATAN(A158/Zero2)</f>
        <v>1.1593093490574715</v>
      </c>
      <c r="M158" s="325">
        <f t="shared" si="72"/>
        <v>1.0014970668037666</v>
      </c>
      <c r="N158" s="337">
        <f t="shared" si="73"/>
        <v>5.468457757778309E-2</v>
      </c>
      <c r="O158" s="343">
        <f t="shared" si="74"/>
        <v>1.0013402046226441</v>
      </c>
      <c r="P158" s="691">
        <f t="shared" si="75"/>
        <v>5.1743783048436222E-2</v>
      </c>
      <c r="Q158" s="336">
        <f t="shared" si="90"/>
        <v>15.128585156171816</v>
      </c>
      <c r="R158" s="692">
        <f t="shared" si="76"/>
        <v>2.4167826948105257E-2</v>
      </c>
      <c r="S158" s="329">
        <f t="shared" si="77"/>
        <v>0.9997559403812375</v>
      </c>
      <c r="T158" s="330">
        <f t="shared" si="78"/>
        <v>7.0797361520238591E-2</v>
      </c>
      <c r="U158" s="331">
        <f t="shared" si="79"/>
        <v>13.574169138323143</v>
      </c>
      <c r="V158" s="332">
        <f t="shared" si="80"/>
        <v>-113.48442788516236</v>
      </c>
      <c r="W158" s="334">
        <f t="shared" si="81"/>
        <v>66.515572114837639</v>
      </c>
      <c r="Y158" s="307">
        <f t="shared" si="82"/>
        <v>1000000000</v>
      </c>
      <c r="Z158" s="307">
        <f t="shared" si="83"/>
        <v>79432656.25</v>
      </c>
      <c r="AB158" s="333">
        <f t="shared" si="84"/>
        <v>24.194476149899408</v>
      </c>
      <c r="AC158" s="334">
        <f t="shared" si="85"/>
        <v>-26.704819113700623</v>
      </c>
      <c r="AE158" s="333">
        <f t="shared" si="86"/>
        <v>46.943426282710085</v>
      </c>
      <c r="AF158" s="334">
        <f t="shared" si="87"/>
        <v>-88.359594673854161</v>
      </c>
      <c r="AH158">
        <f t="shared" si="88"/>
        <v>0</v>
      </c>
      <c r="AI158">
        <f t="shared" si="93"/>
        <v>0</v>
      </c>
    </row>
    <row r="159" spans="1:35" x14ac:dyDescent="0.2">
      <c r="A159" s="335">
        <v>8964.4</v>
      </c>
      <c r="B159" s="352">
        <f t="shared" si="89"/>
        <v>8.9643999999999995</v>
      </c>
      <c r="C159" s="325">
        <f t="shared" si="62"/>
        <v>11.414496948297947</v>
      </c>
      <c r="D159" s="326">
        <f t="shared" si="63"/>
        <v>1.4830759801753637</v>
      </c>
      <c r="E159" s="326">
        <f t="shared" si="64"/>
        <v>1.0000634480688126</v>
      </c>
      <c r="F159" s="327">
        <f t="shared" si="65"/>
        <v>1.1264520786944976E-2</v>
      </c>
      <c r="G159" s="326">
        <f t="shared" si="66"/>
        <v>1</v>
      </c>
      <c r="H159" s="327">
        <f t="shared" si="67"/>
        <v>0</v>
      </c>
      <c r="I159" s="325">
        <f t="shared" si="68"/>
        <v>11898.141967724088</v>
      </c>
      <c r="J159" s="328">
        <f t="shared" si="69"/>
        <v>1.5707122800585331</v>
      </c>
      <c r="K159" s="336">
        <f t="shared" si="94"/>
        <v>2.5124068219948081</v>
      </c>
      <c r="L159" s="337">
        <f t="shared" si="95"/>
        <v>1.1614336863919534</v>
      </c>
      <c r="M159" s="325">
        <f t="shared" si="72"/>
        <v>1.0015145400322287</v>
      </c>
      <c r="N159" s="337">
        <f t="shared" si="73"/>
        <v>5.5002381279159879E-2</v>
      </c>
      <c r="O159" s="343">
        <f t="shared" si="74"/>
        <v>1.001355848250375</v>
      </c>
      <c r="P159" s="691">
        <f t="shared" si="75"/>
        <v>5.204455944010259E-2</v>
      </c>
      <c r="Q159" s="336">
        <f t="shared" si="90"/>
        <v>15.128635274233401</v>
      </c>
      <c r="R159" s="692">
        <f t="shared" si="76"/>
        <v>2.4308510119186225E-2</v>
      </c>
      <c r="S159" s="329">
        <f t="shared" si="77"/>
        <v>0.99975313394318244</v>
      </c>
      <c r="T159" s="330">
        <f t="shared" si="78"/>
        <v>7.1210531000001576E-2</v>
      </c>
      <c r="U159" s="331">
        <f t="shared" si="79"/>
        <v>13.516081870438629</v>
      </c>
      <c r="V159" s="332">
        <f t="shared" si="80"/>
        <v>-113.42082968088931</v>
      </c>
      <c r="W159" s="334">
        <f t="shared" si="81"/>
        <v>66.579170319110688</v>
      </c>
      <c r="Y159" s="307">
        <f t="shared" si="82"/>
        <v>1000000000</v>
      </c>
      <c r="Z159" s="307">
        <f t="shared" si="83"/>
        <v>80360467.359999999</v>
      </c>
      <c r="AB159" s="333">
        <f t="shared" si="84"/>
        <v>24.186295572887722</v>
      </c>
      <c r="AC159" s="334">
        <f t="shared" si="85"/>
        <v>-26.60134040300645</v>
      </c>
      <c r="AE159" s="333">
        <f t="shared" si="86"/>
        <v>46.893412670551051</v>
      </c>
      <c r="AF159" s="334">
        <f t="shared" si="87"/>
        <v>-88.408647846153954</v>
      </c>
      <c r="AH159">
        <f t="shared" si="88"/>
        <v>0</v>
      </c>
      <c r="AI159">
        <f t="shared" si="93"/>
        <v>0</v>
      </c>
    </row>
    <row r="160" spans="1:35" x14ac:dyDescent="0.2">
      <c r="A160" s="335">
        <v>9016.2999999999993</v>
      </c>
      <c r="B160" s="352">
        <f t="shared" si="89"/>
        <v>9.0162999999999993</v>
      </c>
      <c r="C160" s="325">
        <f t="shared" si="62"/>
        <v>11.480076187132562</v>
      </c>
      <c r="D160" s="326">
        <f t="shared" si="63"/>
        <v>1.4835783555165756</v>
      </c>
      <c r="E160" s="326">
        <f t="shared" si="64"/>
        <v>1.00006418484566</v>
      </c>
      <c r="F160" s="327">
        <f t="shared" si="65"/>
        <v>1.1329731927051766E-2</v>
      </c>
      <c r="G160" s="326">
        <f t="shared" si="66"/>
        <v>1</v>
      </c>
      <c r="H160" s="327">
        <f t="shared" si="67"/>
        <v>0</v>
      </c>
      <c r="I160" s="325">
        <f t="shared" si="68"/>
        <v>11967.027064749589</v>
      </c>
      <c r="J160" s="328">
        <f t="shared" si="69"/>
        <v>1.5707127638518403</v>
      </c>
      <c r="K160" s="336">
        <f t="shared" si="94"/>
        <v>2.5246537668937816</v>
      </c>
      <c r="L160" s="337">
        <f t="shared" si="95"/>
        <v>1.163537423076116</v>
      </c>
      <c r="M160" s="325">
        <f t="shared" si="72"/>
        <v>1.0015321144093152</v>
      </c>
      <c r="N160" s="337">
        <f t="shared" si="73"/>
        <v>5.5320173859316493E-2</v>
      </c>
      <c r="O160" s="343">
        <f t="shared" si="74"/>
        <v>1.0013715824643674</v>
      </c>
      <c r="P160" s="691">
        <f t="shared" si="75"/>
        <v>5.2345326406981536E-2</v>
      </c>
      <c r="Q160" s="336">
        <f t="shared" si="90"/>
        <v>15.128685683131957</v>
      </c>
      <c r="R160" s="692">
        <f t="shared" si="76"/>
        <v>2.444919236925109E-2</v>
      </c>
      <c r="S160" s="329">
        <f t="shared" si="77"/>
        <v>0.99975031224187916</v>
      </c>
      <c r="T160" s="330">
        <f t="shared" si="78"/>
        <v>7.1623716072102092E-2</v>
      </c>
      <c r="U160" s="331">
        <f t="shared" si="79"/>
        <v>13.45840275533309</v>
      </c>
      <c r="V160" s="332">
        <f t="shared" si="80"/>
        <v>-113.35807958635516</v>
      </c>
      <c r="W160" s="334">
        <f t="shared" si="81"/>
        <v>66.64192041364484</v>
      </c>
      <c r="Y160" s="307">
        <f t="shared" si="82"/>
        <v>1000000000</v>
      </c>
      <c r="Z160" s="307">
        <f t="shared" si="83"/>
        <v>81293665.689999983</v>
      </c>
      <c r="AB160" s="333">
        <f t="shared" si="84"/>
        <v>24.178237884042993</v>
      </c>
      <c r="AC160" s="334">
        <f t="shared" si="85"/>
        <v>-26.499041062598408</v>
      </c>
      <c r="AE160" s="333">
        <f t="shared" si="86"/>
        <v>46.843683706263342</v>
      </c>
      <c r="AF160" s="334">
        <f t="shared" si="87"/>
        <v>-88.457369270676324</v>
      </c>
      <c r="AH160">
        <f t="shared" si="88"/>
        <v>0</v>
      </c>
      <c r="AI160">
        <f t="shared" si="93"/>
        <v>0</v>
      </c>
    </row>
    <row r="161" spans="1:35" x14ac:dyDescent="0.2">
      <c r="A161" s="335">
        <v>9068.2000000000007</v>
      </c>
      <c r="B161" s="352">
        <f t="shared" si="89"/>
        <v>9.0682000000000009</v>
      </c>
      <c r="C161" s="325">
        <f t="shared" si="62"/>
        <v>11.545658290405798</v>
      </c>
      <c r="D161" s="326">
        <f t="shared" si="63"/>
        <v>1.4840750237575264</v>
      </c>
      <c r="E161" s="326">
        <f t="shared" si="64"/>
        <v>1.000064925875267</v>
      </c>
      <c r="F161" s="327">
        <f t="shared" si="65"/>
        <v>1.1394942970795371E-2</v>
      </c>
      <c r="G161" s="326">
        <f t="shared" si="66"/>
        <v>1</v>
      </c>
      <c r="H161" s="327">
        <f t="shared" si="67"/>
        <v>0</v>
      </c>
      <c r="I161" s="325">
        <f t="shared" si="68"/>
        <v>12035.912161777862</v>
      </c>
      <c r="J161" s="328">
        <f t="shared" si="69"/>
        <v>1.5707132421073624</v>
      </c>
      <c r="K161" s="336">
        <f t="shared" si="94"/>
        <v>2.536911777265519</v>
      </c>
      <c r="L161" s="337">
        <f t="shared" si="95"/>
        <v>1.1656208389715299</v>
      </c>
      <c r="M161" s="325">
        <f t="shared" si="72"/>
        <v>1.0015497899297017</v>
      </c>
      <c r="N161" s="337">
        <f t="shared" si="73"/>
        <v>5.5637955254651004E-2</v>
      </c>
      <c r="O161" s="343">
        <f t="shared" si="74"/>
        <v>1.001387407260351</v>
      </c>
      <c r="P161" s="691">
        <f t="shared" si="75"/>
        <v>5.2646083895103397E-2</v>
      </c>
      <c r="Q161" s="336">
        <f t="shared" si="90"/>
        <v>15.128736382864572</v>
      </c>
      <c r="R161" s="692">
        <f t="shared" si="76"/>
        <v>2.4589873692979929E-2</v>
      </c>
      <c r="S161" s="329">
        <f t="shared" si="77"/>
        <v>0.9997474752952612</v>
      </c>
      <c r="T161" s="330">
        <f t="shared" si="78"/>
        <v>7.2036916826125522E-2</v>
      </c>
      <c r="U161" s="331">
        <f t="shared" si="79"/>
        <v>13.401126135569925</v>
      </c>
      <c r="V161" s="332">
        <f t="shared" si="80"/>
        <v>-113.29616723040743</v>
      </c>
      <c r="W161" s="334">
        <f t="shared" si="81"/>
        <v>66.703832769592566</v>
      </c>
      <c r="Y161" s="307">
        <f t="shared" si="82"/>
        <v>1000000000</v>
      </c>
      <c r="Z161" s="307">
        <f t="shared" si="83"/>
        <v>82232251.24000001</v>
      </c>
      <c r="AB161" s="333">
        <f t="shared" si="84"/>
        <v>24.17030061710118</v>
      </c>
      <c r="AC161" s="334">
        <f t="shared" si="85"/>
        <v>-26.397905059488547</v>
      </c>
      <c r="AE161" s="333">
        <f t="shared" si="86"/>
        <v>46.794236198745068</v>
      </c>
      <c r="AF161" s="334">
        <f t="shared" si="87"/>
        <v>-88.505764606469313</v>
      </c>
      <c r="AH161">
        <f t="shared" si="88"/>
        <v>0</v>
      </c>
      <c r="AI161">
        <f t="shared" si="93"/>
        <v>0</v>
      </c>
    </row>
    <row r="162" spans="1:35" x14ac:dyDescent="0.2">
      <c r="A162" s="335">
        <v>9120.1</v>
      </c>
      <c r="B162" s="352">
        <f t="shared" si="89"/>
        <v>9.1201000000000008</v>
      </c>
      <c r="C162" s="325">
        <f t="shared" si="62"/>
        <v>11.611243209581266</v>
      </c>
      <c r="D162" s="326">
        <f t="shared" si="63"/>
        <v>1.4845660813589958</v>
      </c>
      <c r="E162" s="326">
        <f t="shared" si="64"/>
        <v>1.0000656711576239</v>
      </c>
      <c r="F162" s="327">
        <f t="shared" si="65"/>
        <v>1.1460153917621384E-2</v>
      </c>
      <c r="G162" s="326">
        <f t="shared" si="66"/>
        <v>1</v>
      </c>
      <c r="H162" s="327">
        <f t="shared" si="67"/>
        <v>0</v>
      </c>
      <c r="I162" s="325">
        <f t="shared" si="68"/>
        <v>12104.797258808852</v>
      </c>
      <c r="J162" s="328">
        <f t="shared" si="69"/>
        <v>1.5707137149196411</v>
      </c>
      <c r="K162" s="336">
        <f t="shared" si="94"/>
        <v>2.5491806934814654</v>
      </c>
      <c r="L162" s="337">
        <f t="shared" si="95"/>
        <v>1.1676842092649506</v>
      </c>
      <c r="M162" s="325">
        <f t="shared" si="72"/>
        <v>1.001567566588033</v>
      </c>
      <c r="N162" s="337">
        <f t="shared" si="73"/>
        <v>5.5955725401574938E-2</v>
      </c>
      <c r="O162" s="343">
        <f t="shared" si="74"/>
        <v>1.001403322634032</v>
      </c>
      <c r="P162" s="691">
        <f t="shared" si="75"/>
        <v>5.294683185050874E-2</v>
      </c>
      <c r="Q162" s="336">
        <f t="shared" si="90"/>
        <v>15.128787373428331</v>
      </c>
      <c r="R162" s="692">
        <f t="shared" si="76"/>
        <v>2.4730554085052998E-2</v>
      </c>
      <c r="S162" s="329">
        <f t="shared" si="77"/>
        <v>0.99974462312136492</v>
      </c>
      <c r="T162" s="330">
        <f t="shared" si="78"/>
        <v>7.2450133351645185E-2</v>
      </c>
      <c r="U162" s="331">
        <f t="shared" si="79"/>
        <v>13.344246466267087</v>
      </c>
      <c r="V162" s="332">
        <f t="shared" si="80"/>
        <v>-113.23508238252633</v>
      </c>
      <c r="W162" s="334">
        <f t="shared" si="81"/>
        <v>66.764917617473671</v>
      </c>
      <c r="Y162" s="307">
        <f t="shared" si="82"/>
        <v>1000000000</v>
      </c>
      <c r="Z162" s="307">
        <f t="shared" si="83"/>
        <v>83176224.010000005</v>
      </c>
      <c r="AB162" s="333">
        <f t="shared" si="84"/>
        <v>24.162481365391862</v>
      </c>
      <c r="AC162" s="334">
        <f t="shared" si="85"/>
        <v>-26.297916628410679</v>
      </c>
      <c r="AE162" s="333">
        <f t="shared" si="86"/>
        <v>46.745067009855674</v>
      </c>
      <c r="AF162" s="334">
        <f t="shared" si="87"/>
        <v>-88.553839385492424</v>
      </c>
      <c r="AH162">
        <f t="shared" si="88"/>
        <v>0</v>
      </c>
      <c r="AI162">
        <f t="shared" si="93"/>
        <v>0</v>
      </c>
    </row>
    <row r="163" spans="1:35" x14ac:dyDescent="0.2">
      <c r="A163" s="335">
        <v>9173.2000000000007</v>
      </c>
      <c r="B163" s="352">
        <f t="shared" si="89"/>
        <v>9.1732000000000014</v>
      </c>
      <c r="C163" s="325">
        <f t="shared" si="62"/>
        <v>11.678347407910881</v>
      </c>
      <c r="D163" s="326">
        <f t="shared" si="63"/>
        <v>1.4850627845054871</v>
      </c>
      <c r="E163" s="326">
        <f t="shared" si="64"/>
        <v>1.000066438073314</v>
      </c>
      <c r="F163" s="327">
        <f t="shared" si="65"/>
        <v>1.1526872531121071E-2</v>
      </c>
      <c r="G163" s="326">
        <f t="shared" si="66"/>
        <v>1</v>
      </c>
      <c r="H163" s="327">
        <f t="shared" si="67"/>
        <v>0</v>
      </c>
      <c r="I163" s="325">
        <f t="shared" si="68"/>
        <v>12175.275074849113</v>
      </c>
      <c r="J163" s="328">
        <f t="shared" si="69"/>
        <v>1.5707141931268704</v>
      </c>
      <c r="K163" s="336">
        <f t="shared" si="94"/>
        <v>2.5617444076369651</v>
      </c>
      <c r="L163" s="337">
        <f t="shared" si="95"/>
        <v>1.1697748235467322</v>
      </c>
      <c r="M163" s="325">
        <f t="shared" si="72"/>
        <v>1.0015858589344033</v>
      </c>
      <c r="N163" s="337">
        <f t="shared" si="73"/>
        <v>5.628083112729363E-2</v>
      </c>
      <c r="O163" s="343">
        <f t="shared" si="74"/>
        <v>1.0014196997320586</v>
      </c>
      <c r="P163" s="691">
        <f t="shared" si="75"/>
        <v>5.3254523593721757E-2</v>
      </c>
      <c r="Q163" s="336">
        <f t="shared" si="90"/>
        <v>15.128839843957106</v>
      </c>
      <c r="R163" s="692">
        <f t="shared" si="76"/>
        <v>2.4874486233189937E-2</v>
      </c>
      <c r="S163" s="329">
        <f t="shared" si="77"/>
        <v>0.99974168926070961</v>
      </c>
      <c r="T163" s="330">
        <f t="shared" si="78"/>
        <v>7.2872920432589194E-2</v>
      </c>
      <c r="U163" s="331">
        <f t="shared" si="79"/>
        <v>13.286456815913963</v>
      </c>
      <c r="V163" s="332">
        <f t="shared" si="80"/>
        <v>-113.17343107346964</v>
      </c>
      <c r="W163" s="334">
        <f t="shared" si="81"/>
        <v>66.826568926530356</v>
      </c>
      <c r="Y163" s="307">
        <f t="shared" si="82"/>
        <v>1000000000</v>
      </c>
      <c r="Z163" s="307">
        <f t="shared" si="83"/>
        <v>84147598.24000001</v>
      </c>
      <c r="AB163" s="333">
        <f t="shared" si="84"/>
        <v>24.154601012293014</v>
      </c>
      <c r="AC163" s="334">
        <f t="shared" si="85"/>
        <v>-26.196787838594449</v>
      </c>
      <c r="AE163" s="333">
        <f t="shared" si="86"/>
        <v>46.695045788288105</v>
      </c>
      <c r="AF163" s="334">
        <f t="shared" si="87"/>
        <v>-88.602699599915326</v>
      </c>
      <c r="AH163">
        <f t="shared" si="88"/>
        <v>0</v>
      </c>
      <c r="AI163">
        <f t="shared" si="93"/>
        <v>0</v>
      </c>
    </row>
    <row r="164" spans="1:35" x14ac:dyDescent="0.2">
      <c r="A164" s="335">
        <v>9226.2999999999993</v>
      </c>
      <c r="B164" s="352">
        <f t="shared" si="89"/>
        <v>9.2262999999999984</v>
      </c>
      <c r="C164" s="325">
        <f t="shared" si="62"/>
        <v>11.745454454530151</v>
      </c>
      <c r="D164" s="326">
        <f t="shared" si="63"/>
        <v>1.4855538119964891</v>
      </c>
      <c r="E164" s="326">
        <f t="shared" si="64"/>
        <v>1.000067209440666</v>
      </c>
      <c r="F164" s="327">
        <f t="shared" si="65"/>
        <v>1.1593591041995545E-2</v>
      </c>
      <c r="G164" s="326">
        <f t="shared" si="66"/>
        <v>1</v>
      </c>
      <c r="H164" s="327">
        <f t="shared" si="67"/>
        <v>0</v>
      </c>
      <c r="I164" s="325">
        <f t="shared" si="68"/>
        <v>12245.752890892119</v>
      </c>
      <c r="J164" s="328">
        <f t="shared" si="69"/>
        <v>1.5707146658296607</v>
      </c>
      <c r="K164" s="336">
        <f t="shared" si="94"/>
        <v>2.5743192090113873</v>
      </c>
      <c r="L164" s="337">
        <f t="shared" si="95"/>
        <v>1.1718450227164894</v>
      </c>
      <c r="M164" s="325">
        <f t="shared" si="72"/>
        <v>1.0016042571382486</v>
      </c>
      <c r="N164" s="337">
        <f t="shared" si="73"/>
        <v>5.6605924943809352E-2</v>
      </c>
      <c r="O164" s="343">
        <f t="shared" si="74"/>
        <v>1.0014361716355971</v>
      </c>
      <c r="P164" s="691">
        <f t="shared" si="75"/>
        <v>5.3562205244062994E-2</v>
      </c>
      <c r="Q164" s="336">
        <f t="shared" si="90"/>
        <v>15.128892618915101</v>
      </c>
      <c r="R164" s="692">
        <f t="shared" si="76"/>
        <v>2.5018417394825496E-2</v>
      </c>
      <c r="S164" s="329">
        <f t="shared" si="77"/>
        <v>0.99973873949901437</v>
      </c>
      <c r="T164" s="330">
        <f t="shared" si="78"/>
        <v>7.3295724212434465E-2</v>
      </c>
      <c r="U164" s="331">
        <f t="shared" si="79"/>
        <v>13.229071290264542</v>
      </c>
      <c r="V164" s="332">
        <f t="shared" si="80"/>
        <v>-113.11262475975067</v>
      </c>
      <c r="W164" s="334">
        <f t="shared" si="81"/>
        <v>66.887375240249327</v>
      </c>
      <c r="Y164" s="307">
        <f t="shared" si="82"/>
        <v>1000000000</v>
      </c>
      <c r="Z164" s="307">
        <f t="shared" si="83"/>
        <v>85124611.689999983</v>
      </c>
      <c r="AB164" s="333">
        <f t="shared" si="84"/>
        <v>24.146839281976071</v>
      </c>
      <c r="AC164" s="334">
        <f t="shared" si="85"/>
        <v>-26.096827750808657</v>
      </c>
      <c r="AE164" s="333">
        <f t="shared" si="86"/>
        <v>46.645309423352302</v>
      </c>
      <c r="AF164" s="334">
        <f t="shared" si="87"/>
        <v>-88.651235585888898</v>
      </c>
      <c r="AH164">
        <f t="shared" si="88"/>
        <v>0</v>
      </c>
      <c r="AI164">
        <f t="shared" si="93"/>
        <v>0</v>
      </c>
    </row>
    <row r="165" spans="1:35" x14ac:dyDescent="0.2">
      <c r="A165" s="335">
        <v>9279.4</v>
      </c>
      <c r="B165" s="352">
        <f t="shared" si="89"/>
        <v>9.279399999999999</v>
      </c>
      <c r="C165" s="325">
        <f t="shared" si="62"/>
        <v>11.812564300895781</v>
      </c>
      <c r="D165" s="326">
        <f t="shared" si="63"/>
        <v>1.4860392603272223</v>
      </c>
      <c r="E165" s="326">
        <f t="shared" si="64"/>
        <v>1.0000679852596703</v>
      </c>
      <c r="F165" s="327">
        <f t="shared" si="65"/>
        <v>1.1660309449651067E-2</v>
      </c>
      <c r="G165" s="326">
        <f t="shared" si="66"/>
        <v>1</v>
      </c>
      <c r="H165" s="327">
        <f t="shared" si="67"/>
        <v>0</v>
      </c>
      <c r="I165" s="325">
        <f t="shared" si="68"/>
        <v>12316.230706937837</v>
      </c>
      <c r="J165" s="328">
        <f t="shared" si="69"/>
        <v>1.5707151331225067</v>
      </c>
      <c r="K165" s="336">
        <f t="shared" si="94"/>
        <v>2.5869049359216691</v>
      </c>
      <c r="L165" s="337">
        <f t="shared" si="95"/>
        <v>1.1738950868679972</v>
      </c>
      <c r="M165" s="325">
        <f t="shared" si="72"/>
        <v>1.0016227611937356</v>
      </c>
      <c r="N165" s="337">
        <f t="shared" si="73"/>
        <v>5.6931006783064585E-2</v>
      </c>
      <c r="O165" s="343">
        <f t="shared" si="74"/>
        <v>1.001452738339969</v>
      </c>
      <c r="P165" s="691">
        <f t="shared" si="75"/>
        <v>5.3869876743776711E-2</v>
      </c>
      <c r="Q165" s="336">
        <f t="shared" si="90"/>
        <v>15.12894569829913</v>
      </c>
      <c r="R165" s="692">
        <f t="shared" si="76"/>
        <v>2.5162347564263058E-2</v>
      </c>
      <c r="S165" s="329">
        <f t="shared" si="77"/>
        <v>0.99973577385593393</v>
      </c>
      <c r="T165" s="330">
        <f t="shared" si="78"/>
        <v>7.3718544787072765E-2</v>
      </c>
      <c r="U165" s="331">
        <f t="shared" si="79"/>
        <v>13.172084298457428</v>
      </c>
      <c r="V165" s="332">
        <f t="shared" si="80"/>
        <v>-113.05265293197282</v>
      </c>
      <c r="W165" s="334">
        <f t="shared" si="81"/>
        <v>66.947347068027184</v>
      </c>
      <c r="Y165" s="307">
        <f t="shared" si="82"/>
        <v>1000000000</v>
      </c>
      <c r="Z165" s="307">
        <f t="shared" si="83"/>
        <v>86107264.359999999</v>
      </c>
      <c r="AB165" s="333">
        <f t="shared" si="84"/>
        <v>24.139193779863199</v>
      </c>
      <c r="AC165" s="334">
        <f t="shared" si="85"/>
        <v>-25.998020318376838</v>
      </c>
      <c r="AE165" s="333">
        <f t="shared" si="86"/>
        <v>46.595854718842105</v>
      </c>
      <c r="AF165" s="334">
        <f t="shared" si="87"/>
        <v>-88.699452877710257</v>
      </c>
      <c r="AH165">
        <f t="shared" si="88"/>
        <v>0</v>
      </c>
      <c r="AI165">
        <f t="shared" si="93"/>
        <v>0</v>
      </c>
    </row>
    <row r="166" spans="1:35" x14ac:dyDescent="0.2">
      <c r="A166" s="335">
        <v>9332.5</v>
      </c>
      <c r="B166" s="352">
        <f t="shared" si="89"/>
        <v>9.3324999999999996</v>
      </c>
      <c r="C166" s="325">
        <f t="shared" si="62"/>
        <v>11.879676899559366</v>
      </c>
      <c r="D166" s="326">
        <f t="shared" si="63"/>
        <v>1.4865192238230169</v>
      </c>
      <c r="E166" s="326">
        <f t="shared" si="64"/>
        <v>1.0000687655303162</v>
      </c>
      <c r="F166" s="327">
        <f t="shared" si="65"/>
        <v>1.1727027753493904E-2</v>
      </c>
      <c r="G166" s="326">
        <f t="shared" si="66"/>
        <v>1</v>
      </c>
      <c r="H166" s="327">
        <f t="shared" si="67"/>
        <v>0</v>
      </c>
      <c r="I166" s="325">
        <f t="shared" si="68"/>
        <v>12386.70852298621</v>
      </c>
      <c r="J166" s="328">
        <f t="shared" si="69"/>
        <v>1.5707155950977527</v>
      </c>
      <c r="K166" s="336">
        <f t="shared" si="94"/>
        <v>2.5995014296768337</v>
      </c>
      <c r="L166" s="337">
        <f t="shared" si="95"/>
        <v>1.1759252913500591</v>
      </c>
      <c r="M166" s="325">
        <f t="shared" si="72"/>
        <v>1.0016413710949978</v>
      </c>
      <c r="N166" s="337">
        <f t="shared" si="73"/>
        <v>5.7256076577016875E-2</v>
      </c>
      <c r="O166" s="343">
        <f t="shared" si="74"/>
        <v>1.0014693998404696</v>
      </c>
      <c r="P166" s="691">
        <f t="shared" si="75"/>
        <v>5.4177538035118662E-2</v>
      </c>
      <c r="Q166" s="336">
        <f t="shared" si="90"/>
        <v>15.128999082105993</v>
      </c>
      <c r="R166" s="692">
        <f t="shared" si="76"/>
        <v>2.5306276735806234E-2</v>
      </c>
      <c r="S166" s="329">
        <f t="shared" si="77"/>
        <v>0.99973279235123624</v>
      </c>
      <c r="T166" s="330">
        <f t="shared" si="78"/>
        <v>7.4141382252382426E-2</v>
      </c>
      <c r="U166" s="331">
        <f t="shared" si="79"/>
        <v>13.115490360962831</v>
      </c>
      <c r="V166" s="332">
        <f t="shared" si="80"/>
        <v>-112.99350522815702</v>
      </c>
      <c r="W166" s="334">
        <f t="shared" si="81"/>
        <v>67.006494771842981</v>
      </c>
      <c r="Y166" s="307">
        <f t="shared" si="82"/>
        <v>1000000000</v>
      </c>
      <c r="Z166" s="307">
        <f t="shared" si="83"/>
        <v>87095556.25</v>
      </c>
      <c r="AB166" s="333">
        <f t="shared" si="84"/>
        <v>24.131662169595764</v>
      </c>
      <c r="AC166" s="334">
        <f t="shared" si="85"/>
        <v>-25.900349766367032</v>
      </c>
      <c r="AE166" s="333">
        <f t="shared" si="86"/>
        <v>46.546678531664242</v>
      </c>
      <c r="AF166" s="334">
        <f t="shared" si="87"/>
        <v>-88.747356885350158</v>
      </c>
      <c r="AH166">
        <f t="shared" si="88"/>
        <v>0</v>
      </c>
      <c r="AI166">
        <f t="shared" si="93"/>
        <v>0</v>
      </c>
    </row>
    <row r="167" spans="1:35" x14ac:dyDescent="0.2">
      <c r="A167" s="335">
        <v>9386.85</v>
      </c>
      <c r="B167" s="352">
        <f t="shared" si="89"/>
        <v>9.3868500000000008</v>
      </c>
      <c r="C167" s="325">
        <f t="shared" si="62"/>
        <v>11.948372163497494</v>
      </c>
      <c r="D167" s="326">
        <f t="shared" si="63"/>
        <v>1.487004902100699</v>
      </c>
      <c r="E167" s="326">
        <f t="shared" si="64"/>
        <v>1.00006956877897</v>
      </c>
      <c r="F167" s="327">
        <f t="shared" si="65"/>
        <v>1.1795316530750465E-2</v>
      </c>
      <c r="G167" s="326">
        <f t="shared" si="66"/>
        <v>1</v>
      </c>
      <c r="H167" s="327">
        <f t="shared" si="67"/>
        <v>0</v>
      </c>
      <c r="I167" s="325">
        <f t="shared" si="68"/>
        <v>12458.845421335982</v>
      </c>
      <c r="J167" s="328">
        <f t="shared" si="69"/>
        <v>1.5707160625354684</v>
      </c>
      <c r="K167" s="336">
        <f t="shared" si="94"/>
        <v>2.6124054385203133</v>
      </c>
      <c r="L167" s="337">
        <f t="shared" si="95"/>
        <v>1.1779830039077546</v>
      </c>
      <c r="M167" s="325">
        <f t="shared" si="72"/>
        <v>1.0016605286888851</v>
      </c>
      <c r="N167" s="337">
        <f t="shared" si="73"/>
        <v>5.7588786128116937E-2</v>
      </c>
      <c r="O167" s="343">
        <f t="shared" si="74"/>
        <v>1.0014865517256277</v>
      </c>
      <c r="P167" s="691">
        <f t="shared" si="75"/>
        <v>5.4492431191981036E-2</v>
      </c>
      <c r="Q167" s="336">
        <f t="shared" si="90"/>
        <v>15.129054037847027</v>
      </c>
      <c r="R167" s="692">
        <f t="shared" si="76"/>
        <v>2.5453593031168936E-2</v>
      </c>
      <c r="S167" s="329">
        <f t="shared" si="77"/>
        <v>0.99972972425511275</v>
      </c>
      <c r="T167" s="330">
        <f t="shared" si="78"/>
        <v>7.4574191110493113E-2</v>
      </c>
      <c r="U167" s="331">
        <f t="shared" si="79"/>
        <v>13.057965611580967</v>
      </c>
      <c r="V167" s="332">
        <f t="shared" si="80"/>
        <v>-112.93380794915683</v>
      </c>
      <c r="W167" s="334">
        <f t="shared" si="81"/>
        <v>67.066192050843171</v>
      </c>
      <c r="Y167" s="307">
        <f t="shared" si="82"/>
        <v>1000000000</v>
      </c>
      <c r="Z167" s="307">
        <f t="shared" si="83"/>
        <v>88112952.922499999</v>
      </c>
      <c r="AB167" s="333">
        <f t="shared" si="84"/>
        <v>24.124068827434154</v>
      </c>
      <c r="AC167" s="334">
        <f t="shared" si="85"/>
        <v>-25.801541156537127</v>
      </c>
      <c r="AE167" s="333">
        <f t="shared" si="86"/>
        <v>46.49662991616232</v>
      </c>
      <c r="AF167" s="334">
        <f t="shared" si="87"/>
        <v>-88.796069663098891</v>
      </c>
      <c r="AH167">
        <f t="shared" si="88"/>
        <v>0</v>
      </c>
      <c r="AI167">
        <f t="shared" si="93"/>
        <v>0</v>
      </c>
    </row>
    <row r="168" spans="1:35" x14ac:dyDescent="0.2">
      <c r="A168" s="335">
        <v>9441.2000000000007</v>
      </c>
      <c r="B168" s="352">
        <f t="shared" si="89"/>
        <v>9.4412000000000003</v>
      </c>
      <c r="C168" s="325">
        <f t="shared" si="62"/>
        <v>12.017070213634884</v>
      </c>
      <c r="D168" s="326">
        <f t="shared" si="63"/>
        <v>1.4874850275312967</v>
      </c>
      <c r="E168" s="326">
        <f t="shared" si="64"/>
        <v>1.0000703766912979</v>
      </c>
      <c r="F168" s="327">
        <f t="shared" si="65"/>
        <v>1.1863605197990554E-2</v>
      </c>
      <c r="G168" s="326">
        <f t="shared" si="66"/>
        <v>1</v>
      </c>
      <c r="H168" s="327">
        <f t="shared" si="67"/>
        <v>0</v>
      </c>
      <c r="I168" s="325">
        <f t="shared" si="68"/>
        <v>12530.982319688443</v>
      </c>
      <c r="J168" s="328">
        <f t="shared" si="69"/>
        <v>1.5707165245914021</v>
      </c>
      <c r="K168" s="336">
        <f t="shared" si="94"/>
        <v>2.6253203999957733</v>
      </c>
      <c r="L168" s="337">
        <f t="shared" si="95"/>
        <v>1.180020479661845</v>
      </c>
      <c r="M168" s="325">
        <f t="shared" si="72"/>
        <v>1.0016797971579829</v>
      </c>
      <c r="N168" s="337">
        <f t="shared" si="73"/>
        <v>5.7921482915938079E-2</v>
      </c>
      <c r="O168" s="343">
        <f t="shared" si="74"/>
        <v>1.0015038029124819</v>
      </c>
      <c r="P168" s="691">
        <f t="shared" si="75"/>
        <v>5.4807313531817774E-2</v>
      </c>
      <c r="Q168" s="336">
        <f t="shared" si="90"/>
        <v>15.129109312505269</v>
      </c>
      <c r="R168" s="692">
        <f t="shared" si="76"/>
        <v>2.5600908269027247E-2</v>
      </c>
      <c r="S168" s="329">
        <f t="shared" si="77"/>
        <v>0.99972663958407393</v>
      </c>
      <c r="T168" s="330">
        <f t="shared" si="78"/>
        <v>7.5007017867076309E-2</v>
      </c>
      <c r="U168" s="331">
        <f t="shared" si="79"/>
        <v>13.000841368717673</v>
      </c>
      <c r="V168" s="332">
        <f t="shared" si="80"/>
        <v>-112.87495255024731</v>
      </c>
      <c r="W168" s="334">
        <f t="shared" si="81"/>
        <v>67.125047449752685</v>
      </c>
      <c r="Y168" s="307">
        <f t="shared" si="82"/>
        <v>1000000000</v>
      </c>
      <c r="Z168" s="307">
        <f t="shared" si="83"/>
        <v>89136257.440000013</v>
      </c>
      <c r="AB168" s="333">
        <f t="shared" si="84"/>
        <v>24.116590029224415</v>
      </c>
      <c r="AC168" s="334">
        <f t="shared" si="85"/>
        <v>-25.703890990510533</v>
      </c>
      <c r="AE168" s="333">
        <f t="shared" si="86"/>
        <v>46.446866587527708</v>
      </c>
      <c r="AF168" s="334">
        <f t="shared" si="87"/>
        <v>-88.844465317955468</v>
      </c>
      <c r="AH168">
        <f t="shared" si="88"/>
        <v>0</v>
      </c>
      <c r="AI168">
        <f t="shared" si="93"/>
        <v>0</v>
      </c>
    </row>
    <row r="169" spans="1:35" x14ac:dyDescent="0.2">
      <c r="A169" s="335">
        <v>9495.5499999999993</v>
      </c>
      <c r="B169" s="352">
        <f t="shared" si="89"/>
        <v>9.4955499999999997</v>
      </c>
      <c r="C169" s="325">
        <f t="shared" si="62"/>
        <v>12.08577100245952</v>
      </c>
      <c r="D169" s="326">
        <f t="shared" si="63"/>
        <v>1.4879596945859503</v>
      </c>
      <c r="E169" s="326">
        <f t="shared" si="64"/>
        <v>1.0000711892672884</v>
      </c>
      <c r="F169" s="327">
        <f t="shared" si="65"/>
        <v>1.1931893754577531E-2</v>
      </c>
      <c r="G169" s="326">
        <f t="shared" si="66"/>
        <v>1</v>
      </c>
      <c r="H169" s="327">
        <f t="shared" si="67"/>
        <v>0</v>
      </c>
      <c r="I169" s="325">
        <f t="shared" si="68"/>
        <v>12603.119218043546</v>
      </c>
      <c r="J169" s="328">
        <f t="shared" si="69"/>
        <v>1.5707169813579656</v>
      </c>
      <c r="K169" s="336">
        <f t="shared" si="94"/>
        <v>2.6382461532545203</v>
      </c>
      <c r="L169" s="337">
        <f t="shared" si="95"/>
        <v>1.1820379990136634</v>
      </c>
      <c r="M169" s="325">
        <f t="shared" si="72"/>
        <v>1.0016991764958925</v>
      </c>
      <c r="N169" s="337">
        <f t="shared" si="73"/>
        <v>5.8254166867568458E-2</v>
      </c>
      <c r="O169" s="343">
        <f t="shared" si="74"/>
        <v>1.0015211533959008</v>
      </c>
      <c r="P169" s="691">
        <f t="shared" si="75"/>
        <v>5.5122184992747729E-2</v>
      </c>
      <c r="Q169" s="336">
        <f t="shared" si="90"/>
        <v>15.129164906077229</v>
      </c>
      <c r="R169" s="692">
        <f t="shared" si="76"/>
        <v>2.5748222443273752E-2</v>
      </c>
      <c r="S169" s="329">
        <f t="shared" si="77"/>
        <v>0.99972353835968741</v>
      </c>
      <c r="T169" s="330">
        <f t="shared" si="78"/>
        <v>7.5439862624897588E-2</v>
      </c>
      <c r="U169" s="331">
        <f t="shared" si="79"/>
        <v>12.944112100946306</v>
      </c>
      <c r="V169" s="332">
        <f t="shared" si="80"/>
        <v>-112.81692838865028</v>
      </c>
      <c r="W169" s="334">
        <f t="shared" si="81"/>
        <v>67.183071611349718</v>
      </c>
      <c r="Y169" s="307">
        <f t="shared" si="82"/>
        <v>1000000000</v>
      </c>
      <c r="Z169" s="307">
        <f t="shared" si="83"/>
        <v>90165469.80249998</v>
      </c>
      <c r="AB169" s="333">
        <f t="shared" si="84"/>
        <v>24.109223448578661</v>
      </c>
      <c r="AC169" s="334">
        <f t="shared" si="85"/>
        <v>-25.607383203591564</v>
      </c>
      <c r="AE169" s="333">
        <f t="shared" si="86"/>
        <v>46.397385340806558</v>
      </c>
      <c r="AF169" s="334">
        <f t="shared" si="87"/>
        <v>-88.892549268642014</v>
      </c>
      <c r="AH169">
        <f t="shared" si="88"/>
        <v>0</v>
      </c>
      <c r="AI169">
        <f t="shared" si="93"/>
        <v>0</v>
      </c>
    </row>
    <row r="170" spans="1:35" x14ac:dyDescent="0.2">
      <c r="A170" s="335">
        <v>9549.9</v>
      </c>
      <c r="B170" s="352">
        <f t="shared" si="89"/>
        <v>9.5498999999999992</v>
      </c>
      <c r="C170" s="325">
        <f t="shared" si="62"/>
        <v>12.15447448353172</v>
      </c>
      <c r="D170" s="326">
        <f t="shared" si="63"/>
        <v>1.4884289956097656</v>
      </c>
      <c r="E170" s="326">
        <f t="shared" si="64"/>
        <v>1.0000720065069304</v>
      </c>
      <c r="F170" s="327">
        <f t="shared" si="65"/>
        <v>1.2000182199874766E-2</v>
      </c>
      <c r="G170" s="326">
        <f t="shared" si="66"/>
        <v>1</v>
      </c>
      <c r="H170" s="327">
        <f t="shared" si="67"/>
        <v>0</v>
      </c>
      <c r="I170" s="325">
        <f t="shared" si="68"/>
        <v>12675.256116401253</v>
      </c>
      <c r="J170" s="328">
        <f t="shared" si="69"/>
        <v>1.5707174329254667</v>
      </c>
      <c r="K170" s="336">
        <f t="shared" si="94"/>
        <v>2.651182540451607</v>
      </c>
      <c r="L170" s="337">
        <f t="shared" si="95"/>
        <v>1.1840358375484068</v>
      </c>
      <c r="M170" s="325">
        <f t="shared" si="72"/>
        <v>1.0017186666961795</v>
      </c>
      <c r="N170" s="337">
        <f t="shared" si="73"/>
        <v>5.8586837910113203E-2</v>
      </c>
      <c r="O170" s="343">
        <f t="shared" si="74"/>
        <v>1.0015386031707236</v>
      </c>
      <c r="P170" s="691">
        <f t="shared" si="75"/>
        <v>5.543704551290269E-2</v>
      </c>
      <c r="Q170" s="336">
        <f t="shared" si="90"/>
        <v>15.129220818559396</v>
      </c>
      <c r="R170" s="692">
        <f t="shared" si="76"/>
        <v>2.5895535547801288E-2</v>
      </c>
      <c r="S170" s="329">
        <f t="shared" si="77"/>
        <v>0.99972042060364574</v>
      </c>
      <c r="T170" s="330">
        <f t="shared" si="78"/>
        <v>7.5872725486707343E-2</v>
      </c>
      <c r="U170" s="331">
        <f t="shared" si="79"/>
        <v>12.887772387105077</v>
      </c>
      <c r="V170" s="332">
        <f t="shared" si="80"/>
        <v>-112.75972497559816</v>
      </c>
      <c r="W170" s="334">
        <f t="shared" si="81"/>
        <v>67.240275024401839</v>
      </c>
      <c r="Y170" s="307">
        <f t="shared" si="82"/>
        <v>1000000000</v>
      </c>
      <c r="Z170" s="307">
        <f t="shared" si="83"/>
        <v>91200590.00999999</v>
      </c>
      <c r="AB170" s="333">
        <f t="shared" si="84"/>
        <v>24.101966816031009</v>
      </c>
      <c r="AC170" s="334">
        <f t="shared" si="85"/>
        <v>-25.512002006909182</v>
      </c>
      <c r="AE170" s="333">
        <f t="shared" si="86"/>
        <v>46.348183024388348</v>
      </c>
      <c r="AF170" s="334">
        <f t="shared" si="87"/>
        <v>-88.940326812066999</v>
      </c>
      <c r="AH170">
        <f t="shared" si="88"/>
        <v>0</v>
      </c>
      <c r="AI170">
        <f t="shared" si="93"/>
        <v>0</v>
      </c>
    </row>
    <row r="171" spans="1:35" x14ac:dyDescent="0.2">
      <c r="A171" s="335">
        <v>9605.5249999999996</v>
      </c>
      <c r="B171" s="352">
        <f t="shared" si="89"/>
        <v>9.6055250000000001</v>
      </c>
      <c r="C171" s="325">
        <f t="shared" si="62"/>
        <v>12.224792424157195</v>
      </c>
      <c r="D171" s="326">
        <f t="shared" si="63"/>
        <v>1.4889038438634148</v>
      </c>
      <c r="E171" s="326">
        <f t="shared" si="64"/>
        <v>1.0000728477472776</v>
      </c>
      <c r="F171" s="327">
        <f t="shared" si="65"/>
        <v>1.2070072512118507E-2</v>
      </c>
      <c r="G171" s="326">
        <f t="shared" si="66"/>
        <v>1</v>
      </c>
      <c r="H171" s="327">
        <f t="shared" si="67"/>
        <v>0</v>
      </c>
      <c r="I171" s="325">
        <f t="shared" si="68"/>
        <v>12749.08527870652</v>
      </c>
      <c r="J171" s="328">
        <f t="shared" si="69"/>
        <v>1.5707178897949736</v>
      </c>
      <c r="K171" s="336">
        <f t="shared" si="94"/>
        <v>2.6644332525730885</v>
      </c>
      <c r="L171" s="337">
        <f t="shared" si="95"/>
        <v>1.1860604473614687</v>
      </c>
      <c r="M171" s="325">
        <f t="shared" si="72"/>
        <v>1.0017387289054969</v>
      </c>
      <c r="N171" s="337">
        <f t="shared" si="73"/>
        <v>5.8927299660207461E-2</v>
      </c>
      <c r="O171" s="343">
        <f t="shared" si="74"/>
        <v>1.001556565108124</v>
      </c>
      <c r="P171" s="691">
        <f t="shared" si="75"/>
        <v>5.5759280972081576E-2</v>
      </c>
      <c r="Q171" s="336">
        <f t="shared" si="90"/>
        <v>15.1292783729122</v>
      </c>
      <c r="R171" s="692">
        <f t="shared" si="76"/>
        <v>2.6046303365499832E-2</v>
      </c>
      <c r="S171" s="329">
        <f t="shared" si="77"/>
        <v>0.99971721261281155</v>
      </c>
      <c r="T171" s="330">
        <f t="shared" si="78"/>
        <v>7.6315761758307038E-2</v>
      </c>
      <c r="U171" s="331">
        <f t="shared" si="79"/>
        <v>12.83050882090631</v>
      </c>
      <c r="V171" s="332">
        <f t="shared" si="80"/>
        <v>-112.70201869342038</v>
      </c>
      <c r="W171" s="334">
        <f t="shared" si="81"/>
        <v>67.297981306579615</v>
      </c>
      <c r="Y171" s="307">
        <f t="shared" si="82"/>
        <v>1000000000</v>
      </c>
      <c r="Z171" s="307">
        <f t="shared" si="83"/>
        <v>92266110.52562499</v>
      </c>
      <c r="AB171" s="333">
        <f t="shared" si="84"/>
        <v>24.094651486675552</v>
      </c>
      <c r="AC171" s="334">
        <f t="shared" si="85"/>
        <v>-25.415533607410314</v>
      </c>
      <c r="AE171" s="333">
        <f t="shared" si="86"/>
        <v>46.298112055879997</v>
      </c>
      <c r="AF171" s="334">
        <f t="shared" si="87"/>
        <v>-88.988913301579231</v>
      </c>
      <c r="AH171">
        <f t="shared" si="88"/>
        <v>0</v>
      </c>
      <c r="AI171">
        <f t="shared" si="93"/>
        <v>0</v>
      </c>
    </row>
    <row r="172" spans="1:35" x14ac:dyDescent="0.2">
      <c r="A172" s="335">
        <v>9661.15</v>
      </c>
      <c r="B172" s="352">
        <f t="shared" si="89"/>
        <v>9.6611499999999992</v>
      </c>
      <c r="C172" s="325">
        <f t="shared" si="62"/>
        <v>12.295113089709735</v>
      </c>
      <c r="D172" s="326">
        <f t="shared" si="63"/>
        <v>1.4893732605280263</v>
      </c>
      <c r="E172" s="326">
        <f t="shared" si="64"/>
        <v>1.000073693872628</v>
      </c>
      <c r="F172" s="327">
        <f t="shared" si="65"/>
        <v>1.2139962706440421E-2</v>
      </c>
      <c r="G172" s="326">
        <f t="shared" si="66"/>
        <v>1</v>
      </c>
      <c r="H172" s="327">
        <f t="shared" si="67"/>
        <v>0</v>
      </c>
      <c r="I172" s="325">
        <f t="shared" si="68"/>
        <v>12822.914441014416</v>
      </c>
      <c r="J172" s="328">
        <f t="shared" si="69"/>
        <v>1.5707183414035402</v>
      </c>
      <c r="K172" s="336">
        <f t="shared" si="94"/>
        <v>2.6776947782076026</v>
      </c>
      <c r="L172" s="337">
        <f t="shared" si="95"/>
        <v>1.1880650111971398</v>
      </c>
      <c r="M172" s="325">
        <f t="shared" si="72"/>
        <v>1.0017589072259023</v>
      </c>
      <c r="N172" s="337">
        <f t="shared" si="73"/>
        <v>5.9267747733995374E-2</v>
      </c>
      <c r="O172" s="343">
        <f t="shared" si="74"/>
        <v>1.0015746310391063</v>
      </c>
      <c r="P172" s="691">
        <f t="shared" si="75"/>
        <v>5.608150484005521E-2</v>
      </c>
      <c r="Q172" s="336">
        <f t="shared" si="90"/>
        <v>15.129336261305875</v>
      </c>
      <c r="R172" s="692">
        <f t="shared" si="76"/>
        <v>2.6197070049758197E-2</v>
      </c>
      <c r="S172" s="329">
        <f t="shared" si="77"/>
        <v>0.99971398735196793</v>
      </c>
      <c r="T172" s="330">
        <f t="shared" si="78"/>
        <v>7.6758817210994798E-2</v>
      </c>
      <c r="U172" s="331">
        <f t="shared" si="79"/>
        <v>12.773642151772037</v>
      </c>
      <c r="V172" s="332">
        <f t="shared" si="80"/>
        <v>-112.6451503739297</v>
      </c>
      <c r="W172" s="334">
        <f t="shared" si="81"/>
        <v>67.354849626070305</v>
      </c>
      <c r="Y172" s="307">
        <f t="shared" si="82"/>
        <v>1000000000</v>
      </c>
      <c r="Z172" s="307">
        <f t="shared" si="83"/>
        <v>93337819.32249999</v>
      </c>
      <c r="AB172" s="333">
        <f t="shared" si="84"/>
        <v>24.08744669000912</v>
      </c>
      <c r="AC172" s="334">
        <f t="shared" si="85"/>
        <v>-25.32021267278914</v>
      </c>
      <c r="AE172" s="333">
        <f t="shared" si="86"/>
        <v>46.248326744334221</v>
      </c>
      <c r="AF172" s="334">
        <f t="shared" si="87"/>
        <v>-89.037189689715021</v>
      </c>
      <c r="AH172">
        <f t="shared" si="88"/>
        <v>0</v>
      </c>
      <c r="AI172">
        <f t="shared" si="93"/>
        <v>0</v>
      </c>
    </row>
    <row r="173" spans="1:35" x14ac:dyDescent="0.2">
      <c r="A173" s="335">
        <v>9716.7749999999996</v>
      </c>
      <c r="B173" s="352">
        <f t="shared" si="89"/>
        <v>9.7167750000000002</v>
      </c>
      <c r="C173" s="325">
        <f t="shared" si="62"/>
        <v>12.365436433700397</v>
      </c>
      <c r="D173" s="326">
        <f t="shared" si="63"/>
        <v>1.4898373380647405</v>
      </c>
      <c r="E173" s="326">
        <f t="shared" si="64"/>
        <v>1.0000745448829693</v>
      </c>
      <c r="F173" s="327">
        <f t="shared" si="65"/>
        <v>1.2209852782158033E-2</v>
      </c>
      <c r="G173" s="326">
        <f t="shared" si="66"/>
        <v>1</v>
      </c>
      <c r="H173" s="327">
        <f t="shared" si="67"/>
        <v>0</v>
      </c>
      <c r="I173" s="325">
        <f t="shared" si="68"/>
        <v>12896.743603324898</v>
      </c>
      <c r="J173" s="328">
        <f t="shared" si="69"/>
        <v>1.5707187878415174</v>
      </c>
      <c r="K173" s="336">
        <f t="shared" si="94"/>
        <v>2.6909669574828672</v>
      </c>
      <c r="L173" s="337">
        <f t="shared" si="95"/>
        <v>1.1900498094331879</v>
      </c>
      <c r="M173" s="325">
        <f t="shared" si="72"/>
        <v>1.0017792016503793</v>
      </c>
      <c r="N173" s="337">
        <f t="shared" si="73"/>
        <v>5.9608182053386555E-2</v>
      </c>
      <c r="O173" s="343">
        <f t="shared" si="74"/>
        <v>1.0015928009580428</v>
      </c>
      <c r="P173" s="691">
        <f t="shared" si="75"/>
        <v>5.6403717050540793E-2</v>
      </c>
      <c r="Q173" s="336">
        <f t="shared" si="90"/>
        <v>15.129394483736588</v>
      </c>
      <c r="R173" s="692">
        <f t="shared" si="76"/>
        <v>2.6347835594030145E-2</v>
      </c>
      <c r="S173" s="329">
        <f t="shared" si="77"/>
        <v>0.99971074484477629</v>
      </c>
      <c r="T173" s="330">
        <f t="shared" si="78"/>
        <v>7.7201891954873356E-2</v>
      </c>
      <c r="U173" s="331">
        <f t="shared" si="79"/>
        <v>12.71716690880011</v>
      </c>
      <c r="V173" s="332">
        <f t="shared" si="80"/>
        <v>-112.58910926076904</v>
      </c>
      <c r="W173" s="334">
        <f t="shared" si="81"/>
        <v>67.410890739230965</v>
      </c>
      <c r="Y173" s="307">
        <f t="shared" si="82"/>
        <v>1000000000</v>
      </c>
      <c r="Z173" s="307">
        <f t="shared" si="83"/>
        <v>94415716.40062499</v>
      </c>
      <c r="AB173" s="333">
        <f t="shared" si="84"/>
        <v>24.080350167846241</v>
      </c>
      <c r="AC173" s="334">
        <f t="shared" si="85"/>
        <v>-25.226023139285374</v>
      </c>
      <c r="AE173" s="333">
        <f t="shared" si="86"/>
        <v>46.198823877127452</v>
      </c>
      <c r="AF173" s="334">
        <f t="shared" si="87"/>
        <v>-89.085161280454997</v>
      </c>
      <c r="AH173">
        <f t="shared" si="88"/>
        <v>0</v>
      </c>
      <c r="AI173">
        <f t="shared" si="93"/>
        <v>0</v>
      </c>
    </row>
    <row r="174" spans="1:35" x14ac:dyDescent="0.2">
      <c r="A174" s="335">
        <v>9772.4</v>
      </c>
      <c r="B174" s="352">
        <f t="shared" si="89"/>
        <v>9.7723999999999993</v>
      </c>
      <c r="C174" s="325">
        <f t="shared" si="62"/>
        <v>12.435762410690053</v>
      </c>
      <c r="D174" s="326">
        <f t="shared" si="63"/>
        <v>1.4902961668524943</v>
      </c>
      <c r="E174" s="326">
        <f t="shared" si="64"/>
        <v>1.0000754007782893</v>
      </c>
      <c r="F174" s="327">
        <f t="shared" si="65"/>
        <v>1.2279742738588874E-2</v>
      </c>
      <c r="G174" s="326">
        <f t="shared" si="66"/>
        <v>1</v>
      </c>
      <c r="H174" s="327">
        <f t="shared" si="67"/>
        <v>0</v>
      </c>
      <c r="I174" s="325">
        <f t="shared" si="68"/>
        <v>12970.572765637919</v>
      </c>
      <c r="J174" s="328">
        <f t="shared" si="69"/>
        <v>1.5707192291971992</v>
      </c>
      <c r="K174" s="336">
        <f t="shared" si="94"/>
        <v>2.7042496335379651</v>
      </c>
      <c r="L174" s="337">
        <f t="shared" si="95"/>
        <v>1.1920151175683376</v>
      </c>
      <c r="M174" s="325">
        <f t="shared" si="72"/>
        <v>1.0017996121718717</v>
      </c>
      <c r="N174" s="337">
        <f t="shared" si="73"/>
        <v>5.994860254030971E-2</v>
      </c>
      <c r="O174" s="343">
        <f t="shared" si="74"/>
        <v>1.0016110748592748</v>
      </c>
      <c r="P174" s="691">
        <f t="shared" si="75"/>
        <v>5.6725917537269945E-2</v>
      </c>
      <c r="Q174" s="336">
        <f t="shared" si="90"/>
        <v>15.129453040200486</v>
      </c>
      <c r="R174" s="692">
        <f t="shared" si="76"/>
        <v>2.6498599991769737E-2</v>
      </c>
      <c r="S174" s="329">
        <f t="shared" si="77"/>
        <v>0.99970748511503515</v>
      </c>
      <c r="T174" s="330">
        <f t="shared" si="78"/>
        <v>7.7644986100028318E-2</v>
      </c>
      <c r="U174" s="331">
        <f t="shared" si="79"/>
        <v>12.66107773022599</v>
      </c>
      <c r="V174" s="332">
        <f t="shared" si="80"/>
        <v>-112.53388475771003</v>
      </c>
      <c r="W174" s="334">
        <f t="shared" si="81"/>
        <v>67.466115242289973</v>
      </c>
      <c r="Y174" s="307">
        <f t="shared" si="82"/>
        <v>1000000000</v>
      </c>
      <c r="Z174" s="307">
        <f t="shared" si="83"/>
        <v>95499801.75999999</v>
      </c>
      <c r="AB174" s="333">
        <f t="shared" si="84"/>
        <v>24.073359717591075</v>
      </c>
      <c r="AC174" s="334">
        <f t="shared" si="85"/>
        <v>-25.132949222570545</v>
      </c>
      <c r="AE174" s="333">
        <f t="shared" si="86"/>
        <v>46.149600295184612</v>
      </c>
      <c r="AF174" s="334">
        <f t="shared" si="87"/>
        <v>-89.132833258477376</v>
      </c>
      <c r="AH174">
        <f t="shared" si="88"/>
        <v>0</v>
      </c>
      <c r="AI174">
        <f t="shared" si="93"/>
        <v>0</v>
      </c>
    </row>
    <row r="175" spans="1:35" x14ac:dyDescent="0.2">
      <c r="A175" s="335">
        <v>9829.2999999999993</v>
      </c>
      <c r="B175" s="352">
        <f t="shared" si="89"/>
        <v>9.8292999999999999</v>
      </c>
      <c r="C175" s="325">
        <f t="shared" si="62"/>
        <v>12.507703031809573</v>
      </c>
      <c r="D175" s="326">
        <f t="shared" si="63"/>
        <v>1.4907601741268879</v>
      </c>
      <c r="E175" s="326">
        <f t="shared" si="64"/>
        <v>1.0000762813460879</v>
      </c>
      <c r="F175" s="327">
        <f t="shared" si="65"/>
        <v>1.2351234542923828E-2</v>
      </c>
      <c r="G175" s="326">
        <f t="shared" si="66"/>
        <v>1</v>
      </c>
      <c r="H175" s="327">
        <f t="shared" si="67"/>
        <v>0</v>
      </c>
      <c r="I175" s="325">
        <f t="shared" si="68"/>
        <v>13046.094191898677</v>
      </c>
      <c r="J175" s="328">
        <f t="shared" si="69"/>
        <v>1.5707196755009332</v>
      </c>
      <c r="K175" s="336">
        <f t="shared" si="94"/>
        <v>2.7178474664264072</v>
      </c>
      <c r="L175" s="337">
        <f t="shared" si="95"/>
        <v>1.1940055900936308</v>
      </c>
      <c r="M175" s="325">
        <f t="shared" si="72"/>
        <v>1.0018206106418022</v>
      </c>
      <c r="N175" s="337">
        <f t="shared" si="73"/>
        <v>6.0296811530723943E-2</v>
      </c>
      <c r="O175" s="343">
        <f t="shared" si="74"/>
        <v>1.0016298752017607</v>
      </c>
      <c r="P175" s="691">
        <f t="shared" si="75"/>
        <v>5.7055491094587144E-2</v>
      </c>
      <c r="Q175" s="336">
        <f t="shared" si="90"/>
        <v>15.12951328445912</v>
      </c>
      <c r="R175" s="692">
        <f t="shared" si="76"/>
        <v>2.6652818919705584E-2</v>
      </c>
      <c r="S175" s="329">
        <f t="shared" si="77"/>
        <v>0.99970413287362792</v>
      </c>
      <c r="T175" s="330">
        <f t="shared" si="78"/>
        <v>7.8098256748600436E-2</v>
      </c>
      <c r="U175" s="331">
        <f t="shared" si="79"/>
        <v>12.604096873149144</v>
      </c>
      <c r="V175" s="332">
        <f t="shared" si="80"/>
        <v>-112.47822845435662</v>
      </c>
      <c r="W175" s="334">
        <f t="shared" si="81"/>
        <v>67.521771545643375</v>
      </c>
      <c r="Y175" s="307">
        <f t="shared" si="82"/>
        <v>1000000000</v>
      </c>
      <c r="Z175" s="307">
        <f t="shared" si="83"/>
        <v>96615138.48999998</v>
      </c>
      <c r="AB175" s="333">
        <f t="shared" si="84"/>
        <v>24.066316543818541</v>
      </c>
      <c r="AC175" s="334">
        <f t="shared" si="85"/>
        <v>-25.038880024386582</v>
      </c>
      <c r="AE175" s="333">
        <f t="shared" si="86"/>
        <v>46.099534164813385</v>
      </c>
      <c r="AF175" s="334">
        <f t="shared" si="87"/>
        <v>-89.181293233501037</v>
      </c>
      <c r="AH175">
        <f t="shared" si="88"/>
        <v>0</v>
      </c>
      <c r="AI175">
        <f t="shared" si="93"/>
        <v>0</v>
      </c>
    </row>
    <row r="176" spans="1:35" x14ac:dyDescent="0.2">
      <c r="A176" s="335">
        <v>9886.2000000000007</v>
      </c>
      <c r="B176" s="352">
        <f t="shared" si="89"/>
        <v>9.8862000000000005</v>
      </c>
      <c r="C176" s="325">
        <f t="shared" si="62"/>
        <v>12.579646315070764</v>
      </c>
      <c r="D176" s="326">
        <f t="shared" si="63"/>
        <v>1.4912188741627996</v>
      </c>
      <c r="E176" s="326">
        <f t="shared" si="64"/>
        <v>1.0000771670253457</v>
      </c>
      <c r="F176" s="327">
        <f t="shared" si="65"/>
        <v>1.242272622099634E-2</v>
      </c>
      <c r="G176" s="326">
        <f t="shared" si="66"/>
        <v>1</v>
      </c>
      <c r="H176" s="327">
        <f t="shared" si="67"/>
        <v>0</v>
      </c>
      <c r="I176" s="325">
        <f t="shared" si="68"/>
        <v>13121.615618162006</v>
      </c>
      <c r="J176" s="328">
        <f t="shared" si="69"/>
        <v>1.5707201166672669</v>
      </c>
      <c r="K176" s="336">
        <f t="shared" si="94"/>
        <v>2.7314559601378985</v>
      </c>
      <c r="L176" s="337">
        <f t="shared" si="95"/>
        <v>1.1959762367396658</v>
      </c>
      <c r="M176" s="325">
        <f t="shared" si="72"/>
        <v>1.0018417305768812</v>
      </c>
      <c r="N176" s="337">
        <f t="shared" si="73"/>
        <v>6.0645005882091506E-2</v>
      </c>
      <c r="O176" s="343">
        <f t="shared" si="74"/>
        <v>1.0016487843359203</v>
      </c>
      <c r="P176" s="691">
        <f t="shared" si="75"/>
        <v>5.7385052244314977E-2</v>
      </c>
      <c r="Q176" s="336">
        <f t="shared" si="90"/>
        <v>15.129573878231193</v>
      </c>
      <c r="R176" s="692">
        <f t="shared" si="76"/>
        <v>2.6807036634091626E-2</v>
      </c>
      <c r="S176" s="329">
        <f t="shared" si="77"/>
        <v>0.99970076266190799</v>
      </c>
      <c r="T176" s="330">
        <f t="shared" si="78"/>
        <v>7.8551547931014404E-2</v>
      </c>
      <c r="U176" s="331">
        <f t="shared" si="79"/>
        <v>12.54750896995542</v>
      </c>
      <c r="V176" s="332">
        <f t="shared" si="80"/>
        <v>-112.42340469984597</v>
      </c>
      <c r="W176" s="334">
        <f t="shared" si="81"/>
        <v>67.576595300154025</v>
      </c>
      <c r="Y176" s="307">
        <f t="shared" si="82"/>
        <v>1000000000</v>
      </c>
      <c r="Z176" s="307">
        <f t="shared" si="83"/>
        <v>97736950.440000013</v>
      </c>
      <c r="AB176" s="333">
        <f t="shared" si="84"/>
        <v>24.059379869286282</v>
      </c>
      <c r="AC176" s="334">
        <f t="shared" si="85"/>
        <v>-24.945945632303619</v>
      </c>
      <c r="AE176" s="333">
        <f t="shared" si="86"/>
        <v>46.04975374926596</v>
      </c>
      <c r="AF176" s="334">
        <f t="shared" si="87"/>
        <v>-89.229450309895256</v>
      </c>
      <c r="AH176">
        <f t="shared" si="88"/>
        <v>0</v>
      </c>
      <c r="AI176">
        <f t="shared" si="93"/>
        <v>0</v>
      </c>
    </row>
    <row r="177" spans="1:35" x14ac:dyDescent="0.2">
      <c r="A177" s="335">
        <v>9943.1</v>
      </c>
      <c r="B177" s="352">
        <f t="shared" si="89"/>
        <v>9.9431000000000012</v>
      </c>
      <c r="C177" s="325">
        <f t="shared" si="62"/>
        <v>12.651592215058812</v>
      </c>
      <c r="D177" s="326">
        <f t="shared" si="63"/>
        <v>1.4916723573076709</v>
      </c>
      <c r="E177" s="326">
        <f t="shared" si="64"/>
        <v>1.0000780578160486</v>
      </c>
      <c r="F177" s="327">
        <f t="shared" si="65"/>
        <v>1.249421777207594E-2</v>
      </c>
      <c r="G177" s="326">
        <f t="shared" si="66"/>
        <v>1</v>
      </c>
      <c r="H177" s="327">
        <f t="shared" si="67"/>
        <v>0</v>
      </c>
      <c r="I177" s="325">
        <f t="shared" si="68"/>
        <v>13197.137044427858</v>
      </c>
      <c r="J177" s="328">
        <f t="shared" si="69"/>
        <v>1.5707205527843979</v>
      </c>
      <c r="K177" s="336">
        <f t="shared" si="94"/>
        <v>2.7450749561218615</v>
      </c>
      <c r="L177" s="337">
        <f t="shared" si="95"/>
        <v>1.1979273371691008</v>
      </c>
      <c r="M177" s="325">
        <f t="shared" si="72"/>
        <v>1.0018629719694272</v>
      </c>
      <c r="N177" s="337">
        <f t="shared" si="73"/>
        <v>6.0993185510911138E-2</v>
      </c>
      <c r="O177" s="343">
        <f t="shared" si="74"/>
        <v>1.0016678022555925</v>
      </c>
      <c r="P177" s="691">
        <f t="shared" si="75"/>
        <v>5.7714600915570499E-2</v>
      </c>
      <c r="Q177" s="336">
        <f t="shared" si="90"/>
        <v>15.129634821512507</v>
      </c>
      <c r="R177" s="692">
        <f t="shared" si="76"/>
        <v>2.6961253127922392E-2</v>
      </c>
      <c r="S177" s="329">
        <f t="shared" si="77"/>
        <v>0.99969737450579321</v>
      </c>
      <c r="T177" s="330">
        <f t="shared" si="78"/>
        <v>7.9004859765044566E-2</v>
      </c>
      <c r="U177" s="331">
        <f t="shared" si="79"/>
        <v>12.491308618321998</v>
      </c>
      <c r="V177" s="332">
        <f t="shared" si="80"/>
        <v>-112.36940265793399</v>
      </c>
      <c r="W177" s="334">
        <f t="shared" si="81"/>
        <v>67.630597342066011</v>
      </c>
      <c r="Y177" s="307">
        <f t="shared" si="82"/>
        <v>1000000000</v>
      </c>
      <c r="Z177" s="307">
        <f t="shared" si="83"/>
        <v>98865237.610000014</v>
      </c>
      <c r="AB177" s="333">
        <f t="shared" si="84"/>
        <v>24.052547506744261</v>
      </c>
      <c r="AC177" s="334">
        <f t="shared" si="85"/>
        <v>-24.854130023100694</v>
      </c>
      <c r="AE177" s="333">
        <f t="shared" si="86"/>
        <v>46.000255833571515</v>
      </c>
      <c r="AF177" s="334">
        <f t="shared" si="87"/>
        <v>-89.277309670976948</v>
      </c>
      <c r="AH177">
        <f t="shared" si="88"/>
        <v>0</v>
      </c>
      <c r="AI177">
        <f t="shared" si="93"/>
        <v>0</v>
      </c>
    </row>
    <row r="178" spans="1:35" x14ac:dyDescent="0.2">
      <c r="A178" s="335">
        <v>10000</v>
      </c>
      <c r="B178" s="352">
        <f t="shared" si="89"/>
        <v>10</v>
      </c>
      <c r="C178" s="325">
        <f t="shared" si="62"/>
        <v>12.72354068738448</v>
      </c>
      <c r="D178" s="326">
        <f t="shared" si="63"/>
        <v>1.4921207118740683</v>
      </c>
      <c r="E178" s="326">
        <f t="shared" si="64"/>
        <v>1.0000789537181833</v>
      </c>
      <c r="F178" s="327">
        <f t="shared" si="65"/>
        <v>1.2565709195432186E-2</v>
      </c>
      <c r="G178" s="326">
        <f t="shared" si="66"/>
        <v>1</v>
      </c>
      <c r="H178" s="327">
        <f t="shared" si="67"/>
        <v>0</v>
      </c>
      <c r="I178" s="325">
        <f t="shared" si="68"/>
        <v>13272.658470696193</v>
      </c>
      <c r="J178" s="328">
        <f t="shared" si="69"/>
        <v>1.5707209839385161</v>
      </c>
      <c r="K178" s="336">
        <f t="shared" si="94"/>
        <v>2.7587042988374479</v>
      </c>
      <c r="L178" s="337">
        <f t="shared" si="95"/>
        <v>1.1998591661195936</v>
      </c>
      <c r="M178" s="325">
        <f t="shared" si="72"/>
        <v>1.0018843348117148</v>
      </c>
      <c r="N178" s="337">
        <f t="shared" si="73"/>
        <v>6.1341350333703026E-2</v>
      </c>
      <c r="O178" s="343">
        <f t="shared" si="74"/>
        <v>1.0016869289545809</v>
      </c>
      <c r="P178" s="691">
        <f t="shared" si="75"/>
        <v>5.8044137037487016E-2</v>
      </c>
      <c r="Q178" s="336">
        <f t="shared" si="90"/>
        <v>15.129696114298847</v>
      </c>
      <c r="R178" s="692">
        <f t="shared" si="76"/>
        <v>2.7115468394192765E-2</v>
      </c>
      <c r="S178" s="329">
        <f t="shared" si="77"/>
        <v>0.99969396843135105</v>
      </c>
      <c r="T178" s="330">
        <f t="shared" si="78"/>
        <v>7.9458192368446146E-2</v>
      </c>
      <c r="U178" s="331">
        <f t="shared" si="79"/>
        <v>12.435490523691914</v>
      </c>
      <c r="V178" s="332">
        <f t="shared" si="80"/>
        <v>-112.31621165785272</v>
      </c>
      <c r="W178" s="334">
        <f t="shared" si="81"/>
        <v>67.683788342147281</v>
      </c>
      <c r="Y178" s="307">
        <f t="shared" si="82"/>
        <v>1000000000</v>
      </c>
      <c r="Z178" s="307">
        <f t="shared" si="83"/>
        <v>100000000</v>
      </c>
      <c r="AB178" s="333">
        <f t="shared" si="84"/>
        <v>24.045817323074683</v>
      </c>
      <c r="AC178" s="334">
        <f t="shared" si="85"/>
        <v>-24.763417455624801</v>
      </c>
      <c r="AE178" s="333">
        <f t="shared" si="86"/>
        <v>45.951037256393363</v>
      </c>
      <c r="AF178" s="334">
        <f t="shared" si="87"/>
        <v>-89.324876383472173</v>
      </c>
      <c r="AH178">
        <f t="shared" si="88"/>
        <v>0</v>
      </c>
      <c r="AI178">
        <f t="shared" si="93"/>
        <v>0</v>
      </c>
    </row>
    <row r="179" spans="1:35" x14ac:dyDescent="0.2">
      <c r="A179" s="335">
        <v>10058.25</v>
      </c>
      <c r="B179" s="352">
        <f t="shared" si="89"/>
        <v>10.058249999999999</v>
      </c>
      <c r="C179" s="325">
        <f t="shared" si="62"/>
        <v>12.797198816588059</v>
      </c>
      <c r="D179" s="326">
        <f t="shared" si="63"/>
        <v>1.4925744816118616</v>
      </c>
      <c r="E179" s="326">
        <f t="shared" si="64"/>
        <v>1.0000798761711098</v>
      </c>
      <c r="F179" s="327">
        <f t="shared" si="65"/>
        <v>1.2638896679420995E-2</v>
      </c>
      <c r="G179" s="326">
        <f t="shared" si="66"/>
        <v>1</v>
      </c>
      <c r="H179" s="327">
        <f t="shared" si="67"/>
        <v>0</v>
      </c>
      <c r="I179" s="325">
        <f t="shared" si="68"/>
        <v>13349.971705850397</v>
      </c>
      <c r="J179" s="328">
        <f t="shared" si="69"/>
        <v>1.5707214202690276</v>
      </c>
      <c r="K179" s="336">
        <f t="shared" si="94"/>
        <v>2.7726675676525514</v>
      </c>
      <c r="L179" s="337">
        <f t="shared" si="95"/>
        <v>1.2018171483498306</v>
      </c>
      <c r="M179" s="325">
        <f t="shared" si="72"/>
        <v>1.0019063303033273</v>
      </c>
      <c r="N179" s="337">
        <f t="shared" si="73"/>
        <v>6.1697760233304179E-2</v>
      </c>
      <c r="O179" s="343">
        <f t="shared" si="74"/>
        <v>1.0017066221252171</v>
      </c>
      <c r="P179" s="691">
        <f t="shared" si="75"/>
        <v>5.8381478605533478E-2</v>
      </c>
      <c r="Q179" s="336">
        <f t="shared" si="90"/>
        <v>15.129759223345117</v>
      </c>
      <c r="R179" s="692">
        <f t="shared" si="76"/>
        <v>2.7273341267487299E-2</v>
      </c>
      <c r="S179" s="329">
        <f t="shared" si="77"/>
        <v>0.99969046301126208</v>
      </c>
      <c r="T179" s="330">
        <f t="shared" si="78"/>
        <v>7.9922302303601228E-2</v>
      </c>
      <c r="U179" s="331">
        <f t="shared" si="79"/>
        <v>12.378738649250804</v>
      </c>
      <c r="V179" s="332">
        <f t="shared" si="80"/>
        <v>-112.26258782120887</v>
      </c>
      <c r="W179" s="334">
        <f t="shared" si="81"/>
        <v>67.737412178791132</v>
      </c>
      <c r="Y179" s="307">
        <f t="shared" si="82"/>
        <v>1000000000</v>
      </c>
      <c r="Z179" s="307">
        <f t="shared" si="83"/>
        <v>101168393.0625</v>
      </c>
      <c r="AB179" s="333">
        <f t="shared" si="84"/>
        <v>24.039031132322503</v>
      </c>
      <c r="AC179" s="334">
        <f t="shared" si="85"/>
        <v>-24.671679120286399</v>
      </c>
      <c r="AE179" s="333">
        <f t="shared" si="86"/>
        <v>45.900937040284575</v>
      </c>
      <c r="AF179" s="334">
        <f t="shared" si="87"/>
        <v>-89.373273680942532</v>
      </c>
      <c r="AH179">
        <f t="shared" si="88"/>
        <v>0</v>
      </c>
      <c r="AI179">
        <f t="shared" si="93"/>
        <v>0</v>
      </c>
    </row>
    <row r="180" spans="1:35" x14ac:dyDescent="0.2">
      <c r="A180" s="335">
        <v>10116.5</v>
      </c>
      <c r="B180" s="352">
        <f t="shared" si="89"/>
        <v>10.1165</v>
      </c>
      <c r="C180" s="325">
        <f t="shared" si="62"/>
        <v>12.870859550663974</v>
      </c>
      <c r="D180" s="326">
        <f t="shared" si="63"/>
        <v>1.4930230575359698</v>
      </c>
      <c r="E180" s="326">
        <f t="shared" si="64"/>
        <v>1.000080803980862</v>
      </c>
      <c r="F180" s="327">
        <f t="shared" si="65"/>
        <v>1.2712084028004673E-2</v>
      </c>
      <c r="G180" s="326">
        <f t="shared" si="66"/>
        <v>1</v>
      </c>
      <c r="H180" s="327">
        <f t="shared" si="67"/>
        <v>0</v>
      </c>
      <c r="I180" s="325">
        <f t="shared" si="68"/>
        <v>13427.284941007112</v>
      </c>
      <c r="J180" s="328">
        <f t="shared" si="69"/>
        <v>1.5707218515748267</v>
      </c>
      <c r="K180" s="336">
        <f t="shared" si="94"/>
        <v>2.7866413594792445</v>
      </c>
      <c r="L180" s="337">
        <f t="shared" si="95"/>
        <v>1.20375550109421</v>
      </c>
      <c r="M180" s="325">
        <f t="shared" si="72"/>
        <v>1.0019284530595163</v>
      </c>
      <c r="N180" s="337">
        <f t="shared" si="73"/>
        <v>6.205415443898938E-2</v>
      </c>
      <c r="O180" s="343">
        <f t="shared" si="74"/>
        <v>1.0017264292849097</v>
      </c>
      <c r="P180" s="691">
        <f t="shared" si="75"/>
        <v>5.8718806871441265E-2</v>
      </c>
      <c r="Q180" s="336">
        <f t="shared" si="90"/>
        <v>15.129822698668724</v>
      </c>
      <c r="R180" s="692">
        <f t="shared" si="76"/>
        <v>2.7431212839424592E-2</v>
      </c>
      <c r="S180" s="329">
        <f t="shared" si="77"/>
        <v>0.99968693886827342</v>
      </c>
      <c r="T180" s="330">
        <f t="shared" si="78"/>
        <v>8.0386434255044936E-2</v>
      </c>
      <c r="U180" s="331">
        <f t="shared" si="79"/>
        <v>12.322376490791838</v>
      </c>
      <c r="V180" s="332">
        <f t="shared" si="80"/>
        <v>-112.20979185735868</v>
      </c>
      <c r="W180" s="334">
        <f t="shared" si="81"/>
        <v>67.790208142641319</v>
      </c>
      <c r="Y180" s="307">
        <f t="shared" si="82"/>
        <v>1000000000</v>
      </c>
      <c r="Z180" s="307">
        <f t="shared" si="83"/>
        <v>102343572.25</v>
      </c>
      <c r="AB180" s="333">
        <f t="shared" si="84"/>
        <v>24.032347669511015</v>
      </c>
      <c r="AC180" s="334">
        <f t="shared" si="85"/>
        <v>-24.581064284552959</v>
      </c>
      <c r="AE180" s="333">
        <f t="shared" si="86"/>
        <v>45.851123037309577</v>
      </c>
      <c r="AF180" s="334">
        <f t="shared" si="87"/>
        <v>-89.421374664007374</v>
      </c>
      <c r="AH180">
        <f t="shared" si="88"/>
        <v>0</v>
      </c>
      <c r="AI180">
        <f t="shared" si="93"/>
        <v>0</v>
      </c>
    </row>
    <row r="181" spans="1:35" x14ac:dyDescent="0.2">
      <c r="A181" s="335">
        <v>10174.75</v>
      </c>
      <c r="B181" s="352">
        <f t="shared" si="89"/>
        <v>10.17475</v>
      </c>
      <c r="C181" s="325">
        <f t="shared" si="62"/>
        <v>12.944522845143192</v>
      </c>
      <c r="D181" s="326">
        <f t="shared" si="63"/>
        <v>1.4934665281334931</v>
      </c>
      <c r="E181" s="326">
        <f t="shared" si="64"/>
        <v>1.0000817371474247</v>
      </c>
      <c r="F181" s="327">
        <f t="shared" si="65"/>
        <v>1.2785271240399564E-2</v>
      </c>
      <c r="G181" s="326">
        <f t="shared" si="66"/>
        <v>1</v>
      </c>
      <c r="H181" s="327">
        <f t="shared" si="67"/>
        <v>0</v>
      </c>
      <c r="I181" s="325">
        <f t="shared" si="68"/>
        <v>13504.598176166299</v>
      </c>
      <c r="J181" s="328">
        <f t="shared" si="69"/>
        <v>1.5707222779422119</v>
      </c>
      <c r="K181" s="336">
        <f t="shared" si="94"/>
        <v>2.8006255168030356</v>
      </c>
      <c r="L181" s="337">
        <f t="shared" si="95"/>
        <v>1.2056745037205552</v>
      </c>
      <c r="M181" s="325">
        <f t="shared" si="72"/>
        <v>1.0019507030718517</v>
      </c>
      <c r="N181" s="337">
        <f t="shared" si="73"/>
        <v>6.2410532861265057E-2</v>
      </c>
      <c r="O181" s="343">
        <f t="shared" si="74"/>
        <v>1.0017463504268971</v>
      </c>
      <c r="P181" s="691">
        <f t="shared" si="75"/>
        <v>5.9056121759232312E-2</v>
      </c>
      <c r="Q181" s="336">
        <f t="shared" si="90"/>
        <v>15.129886540265057</v>
      </c>
      <c r="R181" s="692">
        <f t="shared" si="76"/>
        <v>2.7589083102490093E-2</v>
      </c>
      <c r="S181" s="329">
        <f t="shared" si="77"/>
        <v>0.99968339603084155</v>
      </c>
      <c r="T181" s="330">
        <f t="shared" si="78"/>
        <v>8.0850588349051344E-2</v>
      </c>
      <c r="U181" s="331">
        <f t="shared" si="79"/>
        <v>12.266398701190441</v>
      </c>
      <c r="V181" s="332">
        <f t="shared" si="80"/>
        <v>-112.15781284066171</v>
      </c>
      <c r="W181" s="334">
        <f t="shared" si="81"/>
        <v>67.842187159338295</v>
      </c>
      <c r="Y181" s="307">
        <f t="shared" si="82"/>
        <v>1000000000</v>
      </c>
      <c r="Z181" s="307">
        <f t="shared" si="83"/>
        <v>103525537.5625</v>
      </c>
      <c r="AB181" s="333">
        <f t="shared" si="84"/>
        <v>24.025764812294454</v>
      </c>
      <c r="AC181" s="334">
        <f t="shared" si="85"/>
        <v>-24.491556941644198</v>
      </c>
      <c r="AE181" s="333">
        <f t="shared" si="86"/>
        <v>45.801592022801387</v>
      </c>
      <c r="AF181" s="334">
        <f t="shared" si="87"/>
        <v>-89.469184409883965</v>
      </c>
      <c r="AH181">
        <f t="shared" si="88"/>
        <v>0</v>
      </c>
      <c r="AI181">
        <f t="shared" si="93"/>
        <v>0</v>
      </c>
    </row>
    <row r="182" spans="1:35" x14ac:dyDescent="0.2">
      <c r="A182" s="335">
        <v>10233</v>
      </c>
      <c r="B182" s="352">
        <f t="shared" si="89"/>
        <v>10.233000000000001</v>
      </c>
      <c r="C182" s="325">
        <f t="shared" si="62"/>
        <v>13.018188656561662</v>
      </c>
      <c r="D182" s="326">
        <f t="shared" si="63"/>
        <v>1.4939049798967872</v>
      </c>
      <c r="E182" s="326">
        <f t="shared" si="64"/>
        <v>1.0000826756707835</v>
      </c>
      <c r="F182" s="327">
        <f t="shared" si="65"/>
        <v>1.2858458315822009E-2</v>
      </c>
      <c r="G182" s="326">
        <f t="shared" si="66"/>
        <v>1</v>
      </c>
      <c r="H182" s="327">
        <f t="shared" si="67"/>
        <v>0</v>
      </c>
      <c r="I182" s="325">
        <f t="shared" si="68"/>
        <v>13581.911411327912</v>
      </c>
      <c r="J182" s="328">
        <f t="shared" si="69"/>
        <v>1.5707226994555172</v>
      </c>
      <c r="K182" s="336">
        <f t="shared" si="94"/>
        <v>2.8146198851241211</v>
      </c>
      <c r="L182" s="337">
        <f t="shared" si="95"/>
        <v>1.2075744306168503</v>
      </c>
      <c r="M182" s="325">
        <f t="shared" si="72"/>
        <v>1.0019730803318565</v>
      </c>
      <c r="N182" s="337">
        <f t="shared" si="73"/>
        <v>6.2766895410661619E-2</v>
      </c>
      <c r="O182" s="343">
        <f t="shared" si="74"/>
        <v>1.0017663855443792</v>
      </c>
      <c r="P182" s="691">
        <f t="shared" si="75"/>
        <v>5.939342319294675E-2</v>
      </c>
      <c r="Q182" s="336">
        <f t="shared" si="90"/>
        <v>15.129950748129485</v>
      </c>
      <c r="R182" s="692">
        <f t="shared" si="76"/>
        <v>2.7746952049169649E-2</v>
      </c>
      <c r="S182" s="329">
        <f t="shared" si="77"/>
        <v>0.99967983452758735</v>
      </c>
      <c r="T182" s="330">
        <f t="shared" si="78"/>
        <v>8.1314764711873086E-2</v>
      </c>
      <c r="U182" s="331">
        <f t="shared" si="79"/>
        <v>12.210800040041153</v>
      </c>
      <c r="V182" s="332">
        <f t="shared" si="80"/>
        <v>-112.10664001639746</v>
      </c>
      <c r="W182" s="334">
        <f t="shared" si="81"/>
        <v>67.893359983602537</v>
      </c>
      <c r="Y182" s="307">
        <f t="shared" si="82"/>
        <v>1000000000</v>
      </c>
      <c r="Z182" s="307">
        <f t="shared" si="83"/>
        <v>104714289</v>
      </c>
      <c r="AB182" s="333">
        <f t="shared" si="84"/>
        <v>24.01928049116535</v>
      </c>
      <c r="AC182" s="334">
        <f t="shared" si="85"/>
        <v>-24.403141369992429</v>
      </c>
      <c r="AE182" s="333">
        <f t="shared" si="86"/>
        <v>45.752340825974485</v>
      </c>
      <c r="AF182" s="334">
        <f t="shared" si="87"/>
        <v>-89.516707881497894</v>
      </c>
      <c r="AH182">
        <f t="shared" si="88"/>
        <v>0</v>
      </c>
      <c r="AI182">
        <f t="shared" si="93"/>
        <v>0</v>
      </c>
    </row>
    <row r="183" spans="1:35" x14ac:dyDescent="0.2">
      <c r="A183" s="335">
        <v>10292.5</v>
      </c>
      <c r="B183" s="352">
        <f t="shared" si="89"/>
        <v>10.2925</v>
      </c>
      <c r="C183" s="325">
        <f t="shared" si="62"/>
        <v>13.093437833746993</v>
      </c>
      <c r="D183" s="326">
        <f t="shared" si="63"/>
        <v>1.494347746864322</v>
      </c>
      <c r="E183" s="326">
        <f t="shared" si="64"/>
        <v>1.0000836398645712</v>
      </c>
      <c r="F183" s="327">
        <f t="shared" si="65"/>
        <v>1.2933215787115848E-2</v>
      </c>
      <c r="G183" s="326">
        <f t="shared" si="66"/>
        <v>1</v>
      </c>
      <c r="H183" s="327">
        <f t="shared" si="67"/>
        <v>0</v>
      </c>
      <c r="I183" s="325">
        <f t="shared" si="68"/>
        <v>13660.883728791592</v>
      </c>
      <c r="J183" s="328">
        <f t="shared" si="69"/>
        <v>1.5707231250884224</v>
      </c>
      <c r="K183" s="336">
        <f t="shared" si="94"/>
        <v>2.8289249462364716</v>
      </c>
      <c r="L183" s="337">
        <f t="shared" si="95"/>
        <v>1.2094957145404612</v>
      </c>
      <c r="M183" s="325">
        <f t="shared" si="72"/>
        <v>1.0019960691546312</v>
      </c>
      <c r="N183" s="337">
        <f t="shared" si="73"/>
        <v>6.3130888744597616E-2</v>
      </c>
      <c r="O183" s="343">
        <f t="shared" si="74"/>
        <v>1.0017869682633709</v>
      </c>
      <c r="P183" s="691">
        <f t="shared" si="75"/>
        <v>5.9737948885642718E-2</v>
      </c>
      <c r="Q183" s="336">
        <f t="shared" si="90"/>
        <v>15.13001671198241</v>
      </c>
      <c r="R183" s="692">
        <f t="shared" si="76"/>
        <v>2.7908207374611249E-2</v>
      </c>
      <c r="S183" s="329">
        <f t="shared" si="77"/>
        <v>0.99967617735620606</v>
      </c>
      <c r="T183" s="330">
        <f t="shared" si="78"/>
        <v>8.1788925062855164E-2</v>
      </c>
      <c r="U183" s="331">
        <f t="shared" si="79"/>
        <v>12.154394353734839</v>
      </c>
      <c r="V183" s="332">
        <f t="shared" si="80"/>
        <v>-112.0551903843695</v>
      </c>
      <c r="W183" s="334">
        <f t="shared" si="81"/>
        <v>67.944809615630504</v>
      </c>
      <c r="Y183" s="307">
        <f t="shared" si="82"/>
        <v>1000000000</v>
      </c>
      <c r="Z183" s="307">
        <f t="shared" si="83"/>
        <v>105935556.25</v>
      </c>
      <c r="AB183" s="333">
        <f t="shared" si="84"/>
        <v>24.012756653791584</v>
      </c>
      <c r="AC183" s="334">
        <f t="shared" si="85"/>
        <v>-24.313939578595768</v>
      </c>
      <c r="AE183" s="333">
        <f t="shared" si="86"/>
        <v>45.702318383713589</v>
      </c>
      <c r="AF183" s="334">
        <f t="shared" si="87"/>
        <v>-89.564960659432089</v>
      </c>
      <c r="AH183">
        <f t="shared" si="88"/>
        <v>0</v>
      </c>
      <c r="AI183">
        <f t="shared" si="93"/>
        <v>0</v>
      </c>
    </row>
    <row r="184" spans="1:35" x14ac:dyDescent="0.2">
      <c r="A184" s="335">
        <v>10352</v>
      </c>
      <c r="B184" s="352">
        <f t="shared" si="89"/>
        <v>10.352</v>
      </c>
      <c r="C184" s="325">
        <f t="shared" si="62"/>
        <v>13.168689548467979</v>
      </c>
      <c r="D184" s="326">
        <f t="shared" si="63"/>
        <v>1.4947854535843998</v>
      </c>
      <c r="E184" s="326">
        <f t="shared" si="64"/>
        <v>1.0000846096474949</v>
      </c>
      <c r="F184" s="327">
        <f t="shared" si="65"/>
        <v>1.3007973113842709E-2</v>
      </c>
      <c r="G184" s="326">
        <f t="shared" si="66"/>
        <v>1</v>
      </c>
      <c r="H184" s="327">
        <f t="shared" si="67"/>
        <v>0</v>
      </c>
      <c r="I184" s="325">
        <f t="shared" si="68"/>
        <v>13739.856046257721</v>
      </c>
      <c r="J184" s="328">
        <f t="shared" si="69"/>
        <v>1.5707235458285229</v>
      </c>
      <c r="K184" s="336">
        <f t="shared" si="94"/>
        <v>2.8432403447496823</v>
      </c>
      <c r="L184" s="337">
        <f t="shared" si="95"/>
        <v>1.211397658524799</v>
      </c>
      <c r="M184" s="325">
        <f t="shared" si="72"/>
        <v>1.0020191907269131</v>
      </c>
      <c r="N184" s="337">
        <f t="shared" si="73"/>
        <v>6.3494865328478006E-2</v>
      </c>
      <c r="O184" s="343">
        <f t="shared" si="74"/>
        <v>1.0018076698875304</v>
      </c>
      <c r="P184" s="691">
        <f t="shared" si="75"/>
        <v>6.0082460380486244E-2</v>
      </c>
      <c r="Q184" s="336">
        <f t="shared" si="90"/>
        <v>15.130083057981903</v>
      </c>
      <c r="R184" s="692">
        <f t="shared" si="76"/>
        <v>2.8069461310716186E-2</v>
      </c>
      <c r="S184" s="329">
        <f t="shared" si="77"/>
        <v>0.99967250077019054</v>
      </c>
      <c r="T184" s="330">
        <f t="shared" si="78"/>
        <v>8.2263108914866628E-2</v>
      </c>
      <c r="U184" s="331">
        <f t="shared" si="79"/>
        <v>12.098373518157846</v>
      </c>
      <c r="V184" s="332">
        <f t="shared" si="80"/>
        <v>-112.00455976703854</v>
      </c>
      <c r="W184" s="334">
        <f t="shared" si="81"/>
        <v>67.995440232961457</v>
      </c>
      <c r="Y184" s="307">
        <f t="shared" si="82"/>
        <v>1000000000</v>
      </c>
      <c r="Z184" s="307">
        <f t="shared" si="83"/>
        <v>107163904</v>
      </c>
      <c r="AB184" s="333">
        <f t="shared" si="84"/>
        <v>24.006331424030769</v>
      </c>
      <c r="AC184" s="334">
        <f t="shared" si="85"/>
        <v>-24.225844644052223</v>
      </c>
      <c r="AE184" s="333">
        <f t="shared" si="86"/>
        <v>45.652581376519954</v>
      </c>
      <c r="AF184" s="334">
        <f t="shared" si="87"/>
        <v>-89.612924861336268</v>
      </c>
      <c r="AH184">
        <f t="shared" si="88"/>
        <v>0</v>
      </c>
      <c r="AI184">
        <f t="shared" si="93"/>
        <v>0</v>
      </c>
    </row>
    <row r="185" spans="1:35" x14ac:dyDescent="0.2">
      <c r="A185" s="335">
        <v>10411.5</v>
      </c>
      <c r="B185" s="352">
        <f t="shared" si="89"/>
        <v>10.4115</v>
      </c>
      <c r="C185" s="325">
        <f t="shared" si="62"/>
        <v>13.243943757470003</v>
      </c>
      <c r="D185" s="326">
        <f t="shared" si="63"/>
        <v>1.4952181861472653</v>
      </c>
      <c r="E185" s="326">
        <f t="shared" si="64"/>
        <v>1.0000855850195387</v>
      </c>
      <c r="F185" s="327">
        <f t="shared" si="65"/>
        <v>1.3082730295167426E-2</v>
      </c>
      <c r="G185" s="326">
        <f t="shared" si="66"/>
        <v>1</v>
      </c>
      <c r="H185" s="327">
        <f t="shared" si="67"/>
        <v>0</v>
      </c>
      <c r="I185" s="325">
        <f t="shared" si="68"/>
        <v>13818.82836372625</v>
      </c>
      <c r="J185" s="328">
        <f t="shared" si="69"/>
        <v>1.5707239617597033</v>
      </c>
      <c r="K185" s="336">
        <f t="shared" si="94"/>
        <v>2.8575659253035486</v>
      </c>
      <c r="L185" s="337">
        <f t="shared" si="95"/>
        <v>1.2132805395709698</v>
      </c>
      <c r="M185" s="325">
        <f t="shared" si="72"/>
        <v>1.0020424450395125</v>
      </c>
      <c r="N185" s="337">
        <f t="shared" si="73"/>
        <v>6.3858825067027156E-2</v>
      </c>
      <c r="O185" s="343">
        <f t="shared" si="74"/>
        <v>1.001828490409487</v>
      </c>
      <c r="P185" s="691">
        <f t="shared" si="75"/>
        <v>6.0426957596581121E-2</v>
      </c>
      <c r="Q185" s="336">
        <f t="shared" si="90"/>
        <v>15.130149786122942</v>
      </c>
      <c r="R185" s="692">
        <f t="shared" si="76"/>
        <v>2.823071384947733E-2</v>
      </c>
      <c r="S185" s="329">
        <f t="shared" si="77"/>
        <v>0.99966880480057696</v>
      </c>
      <c r="T185" s="330">
        <f t="shared" si="78"/>
        <v>8.273731640239318E-2</v>
      </c>
      <c r="U185" s="331">
        <f t="shared" si="79"/>
        <v>12.042732275724351</v>
      </c>
      <c r="V185" s="332">
        <f t="shared" si="80"/>
        <v>-111.95473723729479</v>
      </c>
      <c r="W185" s="334">
        <f t="shared" si="81"/>
        <v>68.045262762705207</v>
      </c>
      <c r="Y185" s="307">
        <f t="shared" si="82"/>
        <v>1000000000</v>
      </c>
      <c r="Z185" s="307">
        <f t="shared" si="83"/>
        <v>108399332.25</v>
      </c>
      <c r="AB185" s="333">
        <f t="shared" si="84"/>
        <v>24.00000275721375</v>
      </c>
      <c r="AC185" s="334">
        <f t="shared" si="85"/>
        <v>-24.138840694714798</v>
      </c>
      <c r="AE185" s="333">
        <f t="shared" si="86"/>
        <v>45.603126591598837</v>
      </c>
      <c r="AF185" s="334">
        <f t="shared" si="87"/>
        <v>-89.660605427571383</v>
      </c>
      <c r="AH185">
        <f t="shared" si="88"/>
        <v>0</v>
      </c>
      <c r="AI185">
        <f t="shared" si="93"/>
        <v>0</v>
      </c>
    </row>
    <row r="186" spans="1:35" x14ac:dyDescent="0.2">
      <c r="A186" s="335">
        <v>10471</v>
      </c>
      <c r="B186" s="352">
        <f t="shared" si="89"/>
        <v>10.471</v>
      </c>
      <c r="C186" s="325">
        <f t="shared" si="62"/>
        <v>13.319200418474587</v>
      </c>
      <c r="D186" s="326">
        <f t="shared" si="63"/>
        <v>1.4956460287049904</v>
      </c>
      <c r="E186" s="326">
        <f t="shared" si="64"/>
        <v>1.0000865659806859</v>
      </c>
      <c r="F186" s="327">
        <f t="shared" si="65"/>
        <v>1.315748733025485E-2</v>
      </c>
      <c r="G186" s="326">
        <f t="shared" si="66"/>
        <v>1</v>
      </c>
      <c r="H186" s="327">
        <f t="shared" si="67"/>
        <v>0</v>
      </c>
      <c r="I186" s="325">
        <f t="shared" si="68"/>
        <v>13897.800681197146</v>
      </c>
      <c r="J186" s="328">
        <f t="shared" si="69"/>
        <v>1.5707243729639415</v>
      </c>
      <c r="K186" s="336">
        <f t="shared" si="94"/>
        <v>2.8719015355283193</v>
      </c>
      <c r="L186" s="337">
        <f t="shared" si="95"/>
        <v>1.215144629695853</v>
      </c>
      <c r="M186" s="325">
        <f t="shared" si="72"/>
        <v>1.0020658320831879</v>
      </c>
      <c r="N186" s="337">
        <f t="shared" si="73"/>
        <v>6.4222767864996116E-2</v>
      </c>
      <c r="O186" s="343">
        <f t="shared" si="74"/>
        <v>1.0018494298218277</v>
      </c>
      <c r="P186" s="691">
        <f t="shared" si="75"/>
        <v>6.0771440453051433E-2</v>
      </c>
      <c r="Q186" s="336">
        <f t="shared" si="90"/>
        <v>15.130216896400471</v>
      </c>
      <c r="R186" s="692">
        <f t="shared" si="76"/>
        <v>2.8391964982887992E-2</v>
      </c>
      <c r="S186" s="329">
        <f t="shared" si="77"/>
        <v>0.99966508947858079</v>
      </c>
      <c r="T186" s="330">
        <f t="shared" si="78"/>
        <v>8.3211547659896509E-2</v>
      </c>
      <c r="U186" s="331">
        <f t="shared" si="79"/>
        <v>11.987465473581906</v>
      </c>
      <c r="V186" s="332">
        <f t="shared" si="80"/>
        <v>-111.90571204244429</v>
      </c>
      <c r="W186" s="334">
        <f t="shared" si="81"/>
        <v>68.094287957555707</v>
      </c>
      <c r="Y186" s="307">
        <f t="shared" si="82"/>
        <v>1000000000</v>
      </c>
      <c r="Z186" s="307">
        <f t="shared" si="83"/>
        <v>109641841</v>
      </c>
      <c r="AB186" s="333">
        <f t="shared" si="84"/>
        <v>23.993768659757286</v>
      </c>
      <c r="AC186" s="334">
        <f t="shared" si="85"/>
        <v>-24.052912144403955</v>
      </c>
      <c r="AE186" s="333">
        <f t="shared" si="86"/>
        <v>45.553950869803579</v>
      </c>
      <c r="AF186" s="334">
        <f t="shared" si="87"/>
        <v>-89.708007187447976</v>
      </c>
      <c r="AH186">
        <f t="shared" si="88"/>
        <v>0</v>
      </c>
      <c r="AI186">
        <f t="shared" si="93"/>
        <v>0</v>
      </c>
    </row>
    <row r="187" spans="1:35" x14ac:dyDescent="0.2">
      <c r="A187" s="335">
        <v>10532</v>
      </c>
      <c r="B187" s="352">
        <f t="shared" si="89"/>
        <v>10.532</v>
      </c>
      <c r="C187" s="325">
        <f t="shared" si="62"/>
        <v>13.3963568084716</v>
      </c>
      <c r="D187" s="326">
        <f t="shared" si="63"/>
        <v>1.4960796668450222</v>
      </c>
      <c r="E187" s="326">
        <f t="shared" si="64"/>
        <v>1.0000875774741611</v>
      </c>
      <c r="F187" s="327">
        <f t="shared" si="65"/>
        <v>1.3234128843790906E-2</v>
      </c>
      <c r="G187" s="326">
        <f t="shared" si="66"/>
        <v>1</v>
      </c>
      <c r="H187" s="327">
        <f t="shared" si="67"/>
        <v>0</v>
      </c>
      <c r="I187" s="325">
        <f t="shared" si="68"/>
        <v>13978.763897430224</v>
      </c>
      <c r="J187" s="328">
        <f t="shared" si="69"/>
        <v>1.5707247897113468</v>
      </c>
      <c r="K187" s="336">
        <f t="shared" si="94"/>
        <v>2.88660880339097</v>
      </c>
      <c r="L187" s="337">
        <f t="shared" si="95"/>
        <v>1.217036485838239</v>
      </c>
      <c r="M187" s="325">
        <f t="shared" si="72"/>
        <v>1.0020899464989681</v>
      </c>
      <c r="N187" s="337">
        <f t="shared" si="73"/>
        <v>6.4595868005227902E-2</v>
      </c>
      <c r="O187" s="343">
        <f t="shared" si="74"/>
        <v>1.0018710205347281</v>
      </c>
      <c r="P187" s="691">
        <f t="shared" si="75"/>
        <v>6.1124592759438774E-2</v>
      </c>
      <c r="Q187" s="336">
        <f t="shared" si="90"/>
        <v>15.130286095236885</v>
      </c>
      <c r="R187" s="692">
        <f t="shared" si="76"/>
        <v>2.8557279803600445E-2</v>
      </c>
      <c r="S187" s="329">
        <f t="shared" si="77"/>
        <v>0.99966126043552728</v>
      </c>
      <c r="T187" s="330">
        <f t="shared" si="78"/>
        <v>8.3697759144384459E-2</v>
      </c>
      <c r="U187" s="331">
        <f t="shared" si="79"/>
        <v>11.931188822701408</v>
      </c>
      <c r="V187" s="332">
        <f t="shared" si="80"/>
        <v>-111.85626758206871</v>
      </c>
      <c r="W187" s="334">
        <f t="shared" si="81"/>
        <v>68.14373241793129</v>
      </c>
      <c r="Y187" s="307">
        <f t="shared" si="82"/>
        <v>1000000000</v>
      </c>
      <c r="Z187" s="307">
        <f t="shared" si="83"/>
        <v>110923024</v>
      </c>
      <c r="AB187" s="333">
        <f t="shared" si="84"/>
        <v>23.98747354098451</v>
      </c>
      <c r="AC187" s="334">
        <f t="shared" si="85"/>
        <v>-23.965917713138403</v>
      </c>
      <c r="AE187" s="333">
        <f t="shared" si="86"/>
        <v>45.503821876633751</v>
      </c>
      <c r="AF187" s="334">
        <f t="shared" si="87"/>
        <v>-89.75631945351374</v>
      </c>
      <c r="AH187">
        <f t="shared" si="88"/>
        <v>0</v>
      </c>
      <c r="AI187">
        <f t="shared" si="93"/>
        <v>0</v>
      </c>
    </row>
    <row r="188" spans="1:35" x14ac:dyDescent="0.2">
      <c r="A188" s="335">
        <v>10593</v>
      </c>
      <c r="B188" s="352">
        <f t="shared" si="89"/>
        <v>10.593</v>
      </c>
      <c r="C188" s="325">
        <f t="shared" si="62"/>
        <v>13.473515688695436</v>
      </c>
      <c r="D188" s="326">
        <f t="shared" si="63"/>
        <v>1.4965083384275182</v>
      </c>
      <c r="E188" s="326">
        <f t="shared" si="64"/>
        <v>1.0000885948420604</v>
      </c>
      <c r="F188" s="327">
        <f t="shared" si="65"/>
        <v>1.3310770201845727E-2</v>
      </c>
      <c r="G188" s="326">
        <f t="shared" si="66"/>
        <v>1</v>
      </c>
      <c r="H188" s="327">
        <f t="shared" si="67"/>
        <v>0</v>
      </c>
      <c r="I188" s="325">
        <f t="shared" si="68"/>
        <v>14059.7271136657</v>
      </c>
      <c r="J188" s="328">
        <f t="shared" si="69"/>
        <v>1.5707252016590558</v>
      </c>
      <c r="K188" s="336">
        <f t="shared" si="94"/>
        <v>2.9013262980064058</v>
      </c>
      <c r="L188" s="337">
        <f t="shared" si="95"/>
        <v>1.2189091550718387</v>
      </c>
      <c r="M188" s="325">
        <f t="shared" si="72"/>
        <v>1.0021142004026664</v>
      </c>
      <c r="N188" s="337">
        <f t="shared" si="73"/>
        <v>6.4968950137304915E-2</v>
      </c>
      <c r="O188" s="343">
        <f t="shared" si="74"/>
        <v>1.0018927361921328</v>
      </c>
      <c r="P188" s="691">
        <f t="shared" si="75"/>
        <v>6.1477729800973269E-2</v>
      </c>
      <c r="Q188" s="336">
        <f t="shared" si="90"/>
        <v>15.130355695709195</v>
      </c>
      <c r="R188" s="692">
        <f t="shared" si="76"/>
        <v>2.8722593130169484E-2</v>
      </c>
      <c r="S188" s="329">
        <f t="shared" si="77"/>
        <v>0.99965741111906603</v>
      </c>
      <c r="T188" s="330">
        <f t="shared" si="78"/>
        <v>8.4183995898580624E-2</v>
      </c>
      <c r="U188" s="331">
        <f t="shared" si="79"/>
        <v>11.875295087209651</v>
      </c>
      <c r="V188" s="332">
        <f t="shared" si="80"/>
        <v>-111.80763882676986</v>
      </c>
      <c r="W188" s="334">
        <f t="shared" si="81"/>
        <v>68.19236117323014</v>
      </c>
      <c r="Y188" s="307">
        <f t="shared" si="82"/>
        <v>1000000000</v>
      </c>
      <c r="Z188" s="307">
        <f t="shared" si="83"/>
        <v>112211649</v>
      </c>
      <c r="AB188" s="333">
        <f t="shared" si="84"/>
        <v>23.981273734616586</v>
      </c>
      <c r="AC188" s="334">
        <f t="shared" si="85"/>
        <v>-23.880021303975855</v>
      </c>
      <c r="AE188" s="333">
        <f t="shared" si="86"/>
        <v>45.453979637663281</v>
      </c>
      <c r="AF188" s="334">
        <f t="shared" si="87"/>
        <v>-89.80434861354972</v>
      </c>
      <c r="AH188">
        <f t="shared" si="88"/>
        <v>0</v>
      </c>
      <c r="AI188">
        <f t="shared" si="93"/>
        <v>0</v>
      </c>
    </row>
    <row r="189" spans="1:35" x14ac:dyDescent="0.2">
      <c r="A189" s="335">
        <v>10654</v>
      </c>
      <c r="B189" s="352">
        <f t="shared" si="89"/>
        <v>10.654</v>
      </c>
      <c r="C189" s="325">
        <f t="shared" si="62"/>
        <v>13.550677016607313</v>
      </c>
      <c r="D189" s="326">
        <f t="shared" si="63"/>
        <v>1.4969321281364565</v>
      </c>
      <c r="E189" s="326">
        <f t="shared" si="64"/>
        <v>1.0000896180843659</v>
      </c>
      <c r="F189" s="327">
        <f t="shared" si="65"/>
        <v>1.3387411403519428E-2</v>
      </c>
      <c r="G189" s="326">
        <f t="shared" si="66"/>
        <v>1</v>
      </c>
      <c r="H189" s="327">
        <f t="shared" si="67"/>
        <v>0</v>
      </c>
      <c r="I189" s="325">
        <f t="shared" si="68"/>
        <v>14140.690329903537</v>
      </c>
      <c r="J189" s="328">
        <f t="shared" si="69"/>
        <v>1.5707256088895112</v>
      </c>
      <c r="K189" s="336">
        <f t="shared" si="94"/>
        <v>2.9160538645295695</v>
      </c>
      <c r="L189" s="337">
        <f t="shared" si="95"/>
        <v>1.2207629148729924</v>
      </c>
      <c r="M189" s="325">
        <f t="shared" si="72"/>
        <v>1.0021385937841549</v>
      </c>
      <c r="N189" s="337">
        <f t="shared" si="73"/>
        <v>6.5342014158679643E-2</v>
      </c>
      <c r="O189" s="343">
        <f t="shared" si="74"/>
        <v>1.0019145767859177</v>
      </c>
      <c r="P189" s="691">
        <f t="shared" si="75"/>
        <v>6.1830851490573893E-2</v>
      </c>
      <c r="Q189" s="336">
        <f t="shared" si="90"/>
        <v>15.130425697811869</v>
      </c>
      <c r="R189" s="692">
        <f t="shared" si="76"/>
        <v>2.8887904953968847E-2</v>
      </c>
      <c r="S189" s="329">
        <f t="shared" si="77"/>
        <v>0.99965354156342101</v>
      </c>
      <c r="T189" s="330">
        <f t="shared" si="78"/>
        <v>8.4670258067295029E-2</v>
      </c>
      <c r="U189" s="331">
        <f t="shared" si="79"/>
        <v>11.819779040145541</v>
      </c>
      <c r="V189" s="332">
        <f t="shared" si="80"/>
        <v>-111.75981474205085</v>
      </c>
      <c r="W189" s="334">
        <f t="shared" si="81"/>
        <v>68.24018525794915</v>
      </c>
      <c r="Y189" s="307">
        <f t="shared" si="82"/>
        <v>1000000000</v>
      </c>
      <c r="Z189" s="307">
        <f t="shared" si="83"/>
        <v>113507716</v>
      </c>
      <c r="AB189" s="333">
        <f t="shared" si="84"/>
        <v>23.97516725002972</v>
      </c>
      <c r="AC189" s="334">
        <f t="shared" si="85"/>
        <v>-23.795207017541149</v>
      </c>
      <c r="AE189" s="333">
        <f t="shared" si="86"/>
        <v>45.404420916689226</v>
      </c>
      <c r="AF189" s="334">
        <f t="shared" si="87"/>
        <v>-89.852099527939032</v>
      </c>
      <c r="AH189">
        <f t="shared" si="88"/>
        <v>0</v>
      </c>
      <c r="AI189">
        <f t="shared" si="93"/>
        <v>0</v>
      </c>
    </row>
    <row r="190" spans="1:35" x14ac:dyDescent="0.2">
      <c r="A190" s="335">
        <v>10715</v>
      </c>
      <c r="B190" s="352">
        <f t="shared" si="89"/>
        <v>10.715</v>
      </c>
      <c r="C190" s="325">
        <f t="shared" si="62"/>
        <v>13.627840750630538</v>
      </c>
      <c r="D190" s="326">
        <f t="shared" si="63"/>
        <v>1.4973511187449264</v>
      </c>
      <c r="E190" s="326">
        <f t="shared" si="64"/>
        <v>1.0000906472010598</v>
      </c>
      <c r="F190" s="327">
        <f t="shared" si="65"/>
        <v>1.3464052447912126E-2</v>
      </c>
      <c r="G190" s="326">
        <f t="shared" si="66"/>
        <v>1</v>
      </c>
      <c r="H190" s="327">
        <f t="shared" si="67"/>
        <v>0</v>
      </c>
      <c r="I190" s="325">
        <f t="shared" si="68"/>
        <v>14221.653546143692</v>
      </c>
      <c r="J190" s="328">
        <f t="shared" si="69"/>
        <v>1.5707260114832784</v>
      </c>
      <c r="K190" s="336">
        <f t="shared" si="94"/>
        <v>2.9307913511229509</v>
      </c>
      <c r="L190" s="337">
        <f t="shared" si="95"/>
        <v>1.222598037662469</v>
      </c>
      <c r="M190" s="325">
        <f t="shared" si="72"/>
        <v>1.0021631266332494</v>
      </c>
      <c r="N190" s="337">
        <f t="shared" si="73"/>
        <v>6.5715059966834702E-2</v>
      </c>
      <c r="O190" s="343">
        <f t="shared" si="74"/>
        <v>1.0019365423079123</v>
      </c>
      <c r="P190" s="691">
        <f t="shared" si="75"/>
        <v>6.2183957741182516E-2</v>
      </c>
      <c r="Q190" s="336">
        <f t="shared" si="90"/>
        <v>15.130496101539334</v>
      </c>
      <c r="R190" s="692">
        <f t="shared" si="76"/>
        <v>2.9053215266372796E-2</v>
      </c>
      <c r="S190" s="329">
        <f t="shared" si="77"/>
        <v>0.99964965180301435</v>
      </c>
      <c r="T190" s="330">
        <f t="shared" si="78"/>
        <v>8.5156545795310512E-2</v>
      </c>
      <c r="U190" s="331">
        <f t="shared" si="79"/>
        <v>11.764635558829184</v>
      </c>
      <c r="V190" s="332">
        <f t="shared" si="80"/>
        <v>-111.71278447348311</v>
      </c>
      <c r="W190" s="334">
        <f t="shared" si="81"/>
        <v>68.287215526516889</v>
      </c>
      <c r="Y190" s="307">
        <f t="shared" si="82"/>
        <v>1000000000</v>
      </c>
      <c r="Z190" s="307">
        <f t="shared" si="83"/>
        <v>114811225</v>
      </c>
      <c r="AB190" s="333">
        <f t="shared" si="84"/>
        <v>23.969152146684532</v>
      </c>
      <c r="AC190" s="334">
        <f t="shared" si="85"/>
        <v>-23.711459244016229</v>
      </c>
      <c r="AE190" s="333">
        <f t="shared" si="86"/>
        <v>45.355142531706136</v>
      </c>
      <c r="AF190" s="334">
        <f t="shared" si="87"/>
        <v>-89.899576947577344</v>
      </c>
      <c r="AH190">
        <f t="shared" si="88"/>
        <v>0</v>
      </c>
      <c r="AI190">
        <f t="shared" si="93"/>
        <v>0</v>
      </c>
    </row>
    <row r="191" spans="1:35" x14ac:dyDescent="0.2">
      <c r="A191" s="335">
        <v>10777.5</v>
      </c>
      <c r="B191" s="352">
        <f t="shared" si="89"/>
        <v>10.7775</v>
      </c>
      <c r="C191" s="325">
        <f t="shared" si="62"/>
        <v>13.706904406619378</v>
      </c>
      <c r="D191" s="326">
        <f t="shared" si="63"/>
        <v>1.4977755194347218</v>
      </c>
      <c r="E191" s="326">
        <f t="shared" si="64"/>
        <v>1.0000917077167251</v>
      </c>
      <c r="F191" s="327">
        <f t="shared" si="65"/>
        <v>1.3542577944079658E-2</v>
      </c>
      <c r="G191" s="326">
        <f t="shared" si="66"/>
        <v>1</v>
      </c>
      <c r="H191" s="327">
        <f t="shared" si="67"/>
        <v>0</v>
      </c>
      <c r="I191" s="325">
        <f t="shared" si="68"/>
        <v>14304.607661146212</v>
      </c>
      <c r="J191" s="328">
        <f t="shared" si="69"/>
        <v>1.5707264192501038</v>
      </c>
      <c r="K191" s="336">
        <f t="shared" si="94"/>
        <v>2.9459013682167283</v>
      </c>
      <c r="L191" s="337">
        <f t="shared" si="95"/>
        <v>1.2244592360071458</v>
      </c>
      <c r="M191" s="325">
        <f t="shared" si="72"/>
        <v>1.0021884073924827</v>
      </c>
      <c r="N191" s="337">
        <f t="shared" si="73"/>
        <v>6.6097260034872568E-2</v>
      </c>
      <c r="O191" s="343">
        <f t="shared" si="74"/>
        <v>1.0019591775310901</v>
      </c>
      <c r="P191" s="691">
        <f t="shared" si="75"/>
        <v>6.2545730828237542E-2</v>
      </c>
      <c r="Q191" s="336">
        <f t="shared" si="90"/>
        <v>15.130568653060388</v>
      </c>
      <c r="R191" s="692">
        <f t="shared" si="76"/>
        <v>2.9222589009838863E-2</v>
      </c>
      <c r="S191" s="329">
        <f t="shared" si="77"/>
        <v>0.9996456454728373</v>
      </c>
      <c r="T191" s="330">
        <f t="shared" si="78"/>
        <v>8.5654818079435993E-2</v>
      </c>
      <c r="U191" s="331">
        <f t="shared" si="79"/>
        <v>11.708517260995796</v>
      </c>
      <c r="V191" s="332">
        <f t="shared" si="80"/>
        <v>-111.66540989498168</v>
      </c>
      <c r="W191" s="334">
        <f t="shared" si="81"/>
        <v>68.334590105018322</v>
      </c>
      <c r="Y191" s="307">
        <f t="shared" si="82"/>
        <v>1000000000</v>
      </c>
      <c r="Z191" s="307">
        <f t="shared" si="83"/>
        <v>116154506.25</v>
      </c>
      <c r="AB191" s="333">
        <f t="shared" si="84"/>
        <v>23.963081932385371</v>
      </c>
      <c r="AC191" s="334">
        <f t="shared" si="85"/>
        <v>-23.626742248079012</v>
      </c>
      <c r="AE191" s="333">
        <f t="shared" si="86"/>
        <v>45.304939872535684</v>
      </c>
      <c r="AF191" s="334">
        <f t="shared" si="87"/>
        <v>-89.947943035394502</v>
      </c>
      <c r="AH191">
        <f t="shared" si="88"/>
        <v>0</v>
      </c>
      <c r="AI191">
        <f t="shared" si="93"/>
        <v>0</v>
      </c>
    </row>
    <row r="192" spans="1:35" x14ac:dyDescent="0.2">
      <c r="A192" s="335">
        <v>10840</v>
      </c>
      <c r="B192" s="352">
        <f t="shared" si="89"/>
        <v>10.84</v>
      </c>
      <c r="C192" s="325">
        <f t="shared" si="62"/>
        <v>13.785970503122103</v>
      </c>
      <c r="D192" s="326">
        <f t="shared" si="63"/>
        <v>1.4981950521045269</v>
      </c>
      <c r="E192" s="326">
        <f t="shared" si="64"/>
        <v>1.0000927743991963</v>
      </c>
      <c r="F192" s="327">
        <f t="shared" si="65"/>
        <v>1.3621103273223396E-2</v>
      </c>
      <c r="G192" s="326">
        <f t="shared" si="66"/>
        <v>1</v>
      </c>
      <c r="H192" s="327">
        <f t="shared" si="67"/>
        <v>0</v>
      </c>
      <c r="I192" s="325">
        <f t="shared" si="68"/>
        <v>14387.561776151086</v>
      </c>
      <c r="J192" s="328">
        <f t="shared" si="69"/>
        <v>1.5707268223148212</v>
      </c>
      <c r="K192" s="336">
        <f t="shared" si="94"/>
        <v>2.961021485917541</v>
      </c>
      <c r="L192" s="337">
        <f t="shared" si="95"/>
        <v>1.2263014326859845</v>
      </c>
      <c r="M192" s="325">
        <f t="shared" si="72"/>
        <v>1.0022138345408858</v>
      </c>
      <c r="N192" s="337">
        <f t="shared" si="73"/>
        <v>6.647944076515433E-2</v>
      </c>
      <c r="O192" s="343">
        <f t="shared" si="74"/>
        <v>1.0019819438845161</v>
      </c>
      <c r="P192" s="691">
        <f t="shared" si="75"/>
        <v>6.2907487522712482E-2</v>
      </c>
      <c r="Q192" s="336">
        <f t="shared" si="90"/>
        <v>15.130641626189187</v>
      </c>
      <c r="R192" s="692">
        <f t="shared" si="76"/>
        <v>2.9391961148333163E-2</v>
      </c>
      <c r="S192" s="329">
        <f t="shared" si="77"/>
        <v>0.99964161800580376</v>
      </c>
      <c r="T192" s="330">
        <f t="shared" si="78"/>
        <v>8.6153117502963464E-2</v>
      </c>
      <c r="U192" s="331">
        <f t="shared" si="79"/>
        <v>11.652779513603964</v>
      </c>
      <c r="V192" s="332">
        <f t="shared" si="80"/>
        <v>-111.61884614916518</v>
      </c>
      <c r="W192" s="334">
        <f t="shared" si="81"/>
        <v>68.381153850834821</v>
      </c>
      <c r="Y192" s="307">
        <f t="shared" si="82"/>
        <v>1000000000</v>
      </c>
      <c r="Z192" s="307">
        <f t="shared" si="83"/>
        <v>117505600</v>
      </c>
      <c r="AB192" s="333">
        <f t="shared" si="84"/>
        <v>23.957103679225128</v>
      </c>
      <c r="AC192" s="334">
        <f t="shared" si="85"/>
        <v>-23.543112590016527</v>
      </c>
      <c r="AE192" s="333">
        <f t="shared" si="86"/>
        <v>45.255024912198991</v>
      </c>
      <c r="AF192" s="334">
        <f t="shared" si="87"/>
        <v>-89.996031770754243</v>
      </c>
      <c r="AH192">
        <f t="shared" si="88"/>
        <v>0</v>
      </c>
      <c r="AI192">
        <f t="shared" si="93"/>
        <v>0</v>
      </c>
    </row>
    <row r="193" spans="1:35" x14ac:dyDescent="0.2">
      <c r="A193" s="335">
        <v>10902.5</v>
      </c>
      <c r="B193" s="352">
        <f t="shared" si="89"/>
        <v>10.9025</v>
      </c>
      <c r="C193" s="325">
        <f t="shared" si="62"/>
        <v>13.86503899838725</v>
      </c>
      <c r="D193" s="326">
        <f t="shared" si="63"/>
        <v>1.4986097998883099</v>
      </c>
      <c r="E193" s="326">
        <f t="shared" si="64"/>
        <v>1.000093847248454</v>
      </c>
      <c r="F193" s="327">
        <f t="shared" si="65"/>
        <v>1.3699628434375468E-2</v>
      </c>
      <c r="G193" s="326">
        <f t="shared" si="66"/>
        <v>1</v>
      </c>
      <c r="H193" s="327">
        <f t="shared" si="67"/>
        <v>0</v>
      </c>
      <c r="I193" s="325">
        <f t="shared" si="68"/>
        <v>14470.515891158269</v>
      </c>
      <c r="J193" s="328">
        <f t="shared" si="69"/>
        <v>1.5707272207582965</v>
      </c>
      <c r="K193" s="336">
        <f t="shared" si="94"/>
        <v>2.9761515502792339</v>
      </c>
      <c r="L193" s="337">
        <f t="shared" si="95"/>
        <v>1.2281249048993277</v>
      </c>
      <c r="M193" s="325">
        <f t="shared" si="72"/>
        <v>1.0022394080673165</v>
      </c>
      <c r="N193" s="337">
        <f t="shared" si="73"/>
        <v>6.6861602047511834E-2</v>
      </c>
      <c r="O193" s="343">
        <f t="shared" si="74"/>
        <v>1.0020048413592524</v>
      </c>
      <c r="P193" s="691">
        <f t="shared" si="75"/>
        <v>6.3269227731043279E-2</v>
      </c>
      <c r="Q193" s="336">
        <f t="shared" si="90"/>
        <v>15.130715020919634</v>
      </c>
      <c r="R193" s="692">
        <f t="shared" si="76"/>
        <v>2.9561331672579402E-2</v>
      </c>
      <c r="S193" s="329">
        <f t="shared" si="77"/>
        <v>0.99963756943958559</v>
      </c>
      <c r="T193" s="330">
        <f t="shared" si="78"/>
        <v>8.6651444221531343E-2</v>
      </c>
      <c r="U193" s="331">
        <f t="shared" si="79"/>
        <v>11.597417130064613</v>
      </c>
      <c r="V193" s="332">
        <f t="shared" si="80"/>
        <v>-111.57308212897262</v>
      </c>
      <c r="W193" s="334">
        <f t="shared" si="81"/>
        <v>68.426917871027385</v>
      </c>
      <c r="Y193" s="307">
        <f t="shared" si="82"/>
        <v>1000000000</v>
      </c>
      <c r="Z193" s="307">
        <f t="shared" si="83"/>
        <v>118864506.25</v>
      </c>
      <c r="AB193" s="333">
        <f t="shared" si="84"/>
        <v>23.951215454043005</v>
      </c>
      <c r="AC193" s="334">
        <f t="shared" si="85"/>
        <v>-23.460554385740149</v>
      </c>
      <c r="AE193" s="333">
        <f t="shared" si="86"/>
        <v>45.205394397415532</v>
      </c>
      <c r="AF193" s="334">
        <f t="shared" si="87"/>
        <v>-90.04384792585499</v>
      </c>
      <c r="AH193">
        <f t="shared" si="88"/>
        <v>0</v>
      </c>
      <c r="AI193">
        <f t="shared" si="93"/>
        <v>0</v>
      </c>
    </row>
    <row r="194" spans="1:35" x14ac:dyDescent="0.2">
      <c r="A194" s="335">
        <v>10965</v>
      </c>
      <c r="B194" s="352">
        <f t="shared" si="89"/>
        <v>10.965</v>
      </c>
      <c r="C194" s="325">
        <f t="shared" si="62"/>
        <v>13.944109851609083</v>
      </c>
      <c r="D194" s="326">
        <f t="shared" si="63"/>
        <v>1.4990198440410465</v>
      </c>
      <c r="E194" s="326">
        <f t="shared" si="64"/>
        <v>1.0000949262644778</v>
      </c>
      <c r="F194" s="327">
        <f t="shared" si="65"/>
        <v>1.3778153426568006E-2</v>
      </c>
      <c r="G194" s="326">
        <f t="shared" si="66"/>
        <v>1</v>
      </c>
      <c r="H194" s="327">
        <f t="shared" si="67"/>
        <v>0</v>
      </c>
      <c r="I194" s="325">
        <f t="shared" si="68"/>
        <v>14553.470006167723</v>
      </c>
      <c r="J194" s="328">
        <f t="shared" si="69"/>
        <v>1.5707276146595528</v>
      </c>
      <c r="K194" s="336">
        <f t="shared" si="94"/>
        <v>2.9912914103700574</v>
      </c>
      <c r="L194" s="337">
        <f t="shared" si="95"/>
        <v>1.2299299247391577</v>
      </c>
      <c r="M194" s="325">
        <f t="shared" si="72"/>
        <v>1.0022651279605703</v>
      </c>
      <c r="N194" s="337">
        <f t="shared" si="73"/>
        <v>6.7243743771810832E-2</v>
      </c>
      <c r="O194" s="343">
        <f t="shared" si="74"/>
        <v>1.0020278699463101</v>
      </c>
      <c r="P194" s="691">
        <f t="shared" si="75"/>
        <v>6.3630951359691629E-2</v>
      </c>
      <c r="Q194" s="336">
        <f t="shared" si="90"/>
        <v>15.130788837245598</v>
      </c>
      <c r="R194" s="692">
        <f t="shared" si="76"/>
        <v>2.9730700573301839E-2</v>
      </c>
      <c r="S194" s="329">
        <f t="shared" si="77"/>
        <v>0.99963349981207406</v>
      </c>
      <c r="T194" s="330">
        <f t="shared" si="78"/>
        <v>8.7149798390747421E-2</v>
      </c>
      <c r="U194" s="331">
        <f t="shared" si="79"/>
        <v>11.542425027333927</v>
      </c>
      <c r="V194" s="332">
        <f t="shared" si="80"/>
        <v>-111.52810691226551</v>
      </c>
      <c r="W194" s="334">
        <f t="shared" si="81"/>
        <v>68.471893087734486</v>
      </c>
      <c r="Y194" s="307">
        <f t="shared" si="82"/>
        <v>1000000000</v>
      </c>
      <c r="Z194" s="307">
        <f t="shared" si="83"/>
        <v>120231225</v>
      </c>
      <c r="AB194" s="333">
        <f t="shared" si="84"/>
        <v>23.945415372618353</v>
      </c>
      <c r="AC194" s="334">
        <f t="shared" si="85"/>
        <v>-23.379052043745084</v>
      </c>
      <c r="AE194" s="333">
        <f t="shared" si="86"/>
        <v>45.156045129510723</v>
      </c>
      <c r="AF194" s="334">
        <f t="shared" si="87"/>
        <v>-90.091396165235054</v>
      </c>
      <c r="AH194">
        <f t="shared" si="88"/>
        <v>0</v>
      </c>
      <c r="AI194">
        <f t="shared" si="93"/>
        <v>0</v>
      </c>
    </row>
    <row r="195" spans="1:35" x14ac:dyDescent="0.2">
      <c r="A195" s="335">
        <v>11028.75</v>
      </c>
      <c r="B195" s="352">
        <f t="shared" si="89"/>
        <v>11.02875</v>
      </c>
      <c r="C195" s="325">
        <f t="shared" si="62"/>
        <v>14.024764509701887</v>
      </c>
      <c r="D195" s="326">
        <f t="shared" si="63"/>
        <v>1.4994333257598202</v>
      </c>
      <c r="E195" s="326">
        <f t="shared" si="64"/>
        <v>1.0000960332138042</v>
      </c>
      <c r="F195" s="327">
        <f t="shared" si="65"/>
        <v>1.3858248743538566E-2</v>
      </c>
      <c r="G195" s="326">
        <f t="shared" si="66"/>
        <v>1</v>
      </c>
      <c r="H195" s="327">
        <f t="shared" si="67"/>
        <v>0</v>
      </c>
      <c r="I195" s="325">
        <f t="shared" si="68"/>
        <v>14638.083203479666</v>
      </c>
      <c r="J195" s="328">
        <f t="shared" si="69"/>
        <v>1.5707280118395246</v>
      </c>
      <c r="K195" s="336">
        <f t="shared" si="94"/>
        <v>3.006744005763955</v>
      </c>
      <c r="L195" s="337">
        <f t="shared" si="95"/>
        <v>1.2317523123097383</v>
      </c>
      <c r="M195" s="325">
        <f t="shared" si="72"/>
        <v>1.0022915130271042</v>
      </c>
      <c r="N195" s="337">
        <f t="shared" si="73"/>
        <v>6.7633508067702852E-2</v>
      </c>
      <c r="O195" s="343">
        <f t="shared" si="74"/>
        <v>1.0020514941676477</v>
      </c>
      <c r="P195" s="691">
        <f t="shared" si="75"/>
        <v>6.3999892283545551E-2</v>
      </c>
      <c r="Q195" s="336">
        <f t="shared" si="90"/>
        <v>15.130864564219394</v>
      </c>
      <c r="R195" s="692">
        <f t="shared" si="76"/>
        <v>2.9903455169865485E-2</v>
      </c>
      <c r="S195" s="329">
        <f t="shared" si="77"/>
        <v>0.99962932713419117</v>
      </c>
      <c r="T195" s="330">
        <f t="shared" si="78"/>
        <v>8.7658148084349227E-2</v>
      </c>
      <c r="U195" s="331">
        <f t="shared" si="79"/>
        <v>11.486709379512408</v>
      </c>
      <c r="V195" s="332">
        <f t="shared" si="80"/>
        <v>-111.48303367885683</v>
      </c>
      <c r="W195" s="334">
        <f t="shared" si="81"/>
        <v>68.516966321143173</v>
      </c>
      <c r="Y195" s="307">
        <f t="shared" si="82"/>
        <v>1000000000</v>
      </c>
      <c r="Z195" s="307">
        <f t="shared" si="83"/>
        <v>121633326.5625</v>
      </c>
      <c r="AB195" s="333">
        <f t="shared" si="84"/>
        <v>23.939588190688337</v>
      </c>
      <c r="AC195" s="334">
        <f t="shared" si="85"/>
        <v>-23.296991533115552</v>
      </c>
      <c r="AE195" s="333">
        <f t="shared" si="86"/>
        <v>45.105995355187709</v>
      </c>
      <c r="AF195" s="334">
        <f t="shared" si="87"/>
        <v>-90.139624091020693</v>
      </c>
      <c r="AH195">
        <f t="shared" si="88"/>
        <v>0</v>
      </c>
      <c r="AI195">
        <f t="shared" si="93"/>
        <v>0</v>
      </c>
    </row>
    <row r="196" spans="1:35" x14ac:dyDescent="0.2">
      <c r="A196" s="335">
        <v>11092.5</v>
      </c>
      <c r="B196" s="352">
        <f t="shared" si="89"/>
        <v>11.092499999999999</v>
      </c>
      <c r="C196" s="325">
        <f t="shared" si="62"/>
        <v>14.105421538147324</v>
      </c>
      <c r="D196" s="326">
        <f t="shared" si="63"/>
        <v>1.4998420788402498</v>
      </c>
      <c r="E196" s="326">
        <f t="shared" si="64"/>
        <v>1.0000971465789923</v>
      </c>
      <c r="F196" s="327">
        <f t="shared" si="65"/>
        <v>1.3938343882689604E-2</v>
      </c>
      <c r="G196" s="326">
        <f t="shared" si="66"/>
        <v>1</v>
      </c>
      <c r="H196" s="327">
        <f t="shared" si="67"/>
        <v>0</v>
      </c>
      <c r="I196" s="325">
        <f t="shared" si="68"/>
        <v>14722.696400793891</v>
      </c>
      <c r="J196" s="328">
        <f t="shared" si="69"/>
        <v>1.5707284044542094</v>
      </c>
      <c r="K196" s="336">
        <f t="shared" si="94"/>
        <v>3.0222064847114996</v>
      </c>
      <c r="L196" s="337">
        <f t="shared" si="95"/>
        <v>1.2335560581002405</v>
      </c>
      <c r="M196" s="325">
        <f t="shared" si="72"/>
        <v>1.0023180503499327</v>
      </c>
      <c r="N196" s="337">
        <f t="shared" si="73"/>
        <v>6.8023251784040423E-2</v>
      </c>
      <c r="O196" s="343">
        <f t="shared" si="74"/>
        <v>1.0020752547791927</v>
      </c>
      <c r="P196" s="691">
        <f t="shared" si="75"/>
        <v>6.436881576139955E-2</v>
      </c>
      <c r="Q196" s="336">
        <f t="shared" si="90"/>
        <v>15.130940729808172</v>
      </c>
      <c r="R196" s="692">
        <f t="shared" si="76"/>
        <v>3.0076208057822705E-2</v>
      </c>
      <c r="S196" s="329">
        <f t="shared" si="77"/>
        <v>0.99962513262446506</v>
      </c>
      <c r="T196" s="330">
        <f t="shared" si="78"/>
        <v>8.8166526664533562E-2</v>
      </c>
      <c r="U196" s="331">
        <f t="shared" si="79"/>
        <v>11.431368606983499</v>
      </c>
      <c r="V196" s="332">
        <f t="shared" si="80"/>
        <v>-111.43875873601075</v>
      </c>
      <c r="W196" s="334">
        <f t="shared" si="81"/>
        <v>68.561241263989245</v>
      </c>
      <c r="Y196" s="307">
        <f t="shared" si="82"/>
        <v>1000000000</v>
      </c>
      <c r="Z196" s="307">
        <f t="shared" si="83"/>
        <v>123043556.25</v>
      </c>
      <c r="AB196" s="333">
        <f t="shared" si="84"/>
        <v>23.933848902975058</v>
      </c>
      <c r="AC196" s="334">
        <f t="shared" si="85"/>
        <v>-23.215997677115034</v>
      </c>
      <c r="AE196" s="333">
        <f t="shared" si="86"/>
        <v>45.056231636119968</v>
      </c>
      <c r="AF196" s="334">
        <f t="shared" si="87"/>
        <v>-90.187582751053611</v>
      </c>
      <c r="AH196">
        <f t="shared" si="88"/>
        <v>0</v>
      </c>
      <c r="AI196">
        <f t="shared" si="93"/>
        <v>0</v>
      </c>
    </row>
    <row r="197" spans="1:35" x14ac:dyDescent="0.2">
      <c r="A197" s="335">
        <v>11156.25</v>
      </c>
      <c r="B197" s="352">
        <f t="shared" si="89"/>
        <v>11.15625</v>
      </c>
      <c r="C197" s="325">
        <f t="shared" si="62"/>
        <v>14.186080896514435</v>
      </c>
      <c r="D197" s="326">
        <f t="shared" si="63"/>
        <v>1.5002461838029839</v>
      </c>
      <c r="E197" s="326">
        <f t="shared" si="64"/>
        <v>1.0000982663600206</v>
      </c>
      <c r="F197" s="327">
        <f t="shared" si="65"/>
        <v>1.4018438842994059E-2</v>
      </c>
      <c r="G197" s="326">
        <f t="shared" si="66"/>
        <v>1</v>
      </c>
      <c r="H197" s="327">
        <f t="shared" si="67"/>
        <v>0</v>
      </c>
      <c r="I197" s="325">
        <f t="shared" si="68"/>
        <v>14807.30959811036</v>
      </c>
      <c r="J197" s="328">
        <f t="shared" si="69"/>
        <v>1.5707287925818694</v>
      </c>
      <c r="K197" s="336">
        <f t="shared" si="94"/>
        <v>3.0376786962840536</v>
      </c>
      <c r="L197" s="337">
        <f t="shared" si="95"/>
        <v>1.235341435135197</v>
      </c>
      <c r="M197" s="325">
        <f t="shared" si="72"/>
        <v>1.0023447399169625</v>
      </c>
      <c r="N197" s="337">
        <f t="shared" si="73"/>
        <v>6.8412974804058585E-2</v>
      </c>
      <c r="O197" s="343">
        <f t="shared" si="74"/>
        <v>1.0020991517712432</v>
      </c>
      <c r="P197" s="691">
        <f t="shared" si="75"/>
        <v>6.473772169407388E-2</v>
      </c>
      <c r="Q197" s="336">
        <f t="shared" si="90"/>
        <v>15.131017334005318</v>
      </c>
      <c r="R197" s="692">
        <f t="shared" si="76"/>
        <v>3.0248959227331753E-2</v>
      </c>
      <c r="S197" s="329">
        <f t="shared" si="77"/>
        <v>0.99962091632380901</v>
      </c>
      <c r="T197" s="330">
        <f t="shared" si="78"/>
        <v>8.8674934296332733E-2</v>
      </c>
      <c r="U197" s="331">
        <f t="shared" si="79"/>
        <v>11.3763976316328</v>
      </c>
      <c r="V197" s="332">
        <f t="shared" si="80"/>
        <v>-111.39527106649427</v>
      </c>
      <c r="W197" s="334">
        <f t="shared" si="81"/>
        <v>68.604728933505726</v>
      </c>
      <c r="Y197" s="307">
        <f t="shared" si="82"/>
        <v>1000000000</v>
      </c>
      <c r="Z197" s="307">
        <f t="shared" si="83"/>
        <v>124461914.0625</v>
      </c>
      <c r="AB197" s="333">
        <f t="shared" si="84"/>
        <v>23.928195658093895</v>
      </c>
      <c r="AC197" s="334">
        <f t="shared" si="85"/>
        <v>-23.136054830384055</v>
      </c>
      <c r="AE197" s="333">
        <f t="shared" si="86"/>
        <v>45.006750745738124</v>
      </c>
      <c r="AF197" s="334">
        <f t="shared" si="87"/>
        <v>-90.235276768341691</v>
      </c>
      <c r="AH197">
        <f t="shared" si="88"/>
        <v>0</v>
      </c>
      <c r="AI197">
        <f t="shared" si="93"/>
        <v>0</v>
      </c>
    </row>
    <row r="198" spans="1:35" x14ac:dyDescent="0.2">
      <c r="A198" s="335">
        <v>11220</v>
      </c>
      <c r="B198" s="352">
        <f t="shared" si="89"/>
        <v>11.22</v>
      </c>
      <c r="C198" s="325">
        <f t="shared" si="62"/>
        <v>14.266742545285446</v>
      </c>
      <c r="D198" s="326">
        <f t="shared" si="63"/>
        <v>1.5006457193538247</v>
      </c>
      <c r="E198" s="326">
        <f t="shared" si="64"/>
        <v>1.0000993925568675</v>
      </c>
      <c r="F198" s="327">
        <f t="shared" si="65"/>
        <v>1.4098533623424885E-2</v>
      </c>
      <c r="G198" s="326">
        <f t="shared" si="66"/>
        <v>1</v>
      </c>
      <c r="H198" s="327">
        <f t="shared" si="67"/>
        <v>0</v>
      </c>
      <c r="I198" s="325">
        <f t="shared" si="68"/>
        <v>14891.922795429035</v>
      </c>
      <c r="J198" s="328">
        <f t="shared" si="69"/>
        <v>1.5707291762989877</v>
      </c>
      <c r="K198" s="336">
        <f t="shared" si="94"/>
        <v>3.05316049251832</v>
      </c>
      <c r="L198" s="337">
        <f t="shared" si="95"/>
        <v>1.237108711375045</v>
      </c>
      <c r="M198" s="325">
        <f t="shared" si="72"/>
        <v>1.0023715817160324</v>
      </c>
      <c r="N198" s="337">
        <f t="shared" si="73"/>
        <v>6.8802677011029878E-2</v>
      </c>
      <c r="O198" s="343">
        <f t="shared" si="74"/>
        <v>1.0021231851340424</v>
      </c>
      <c r="P198" s="691">
        <f t="shared" si="75"/>
        <v>6.5106609982417338E-2</v>
      </c>
      <c r="Q198" s="336">
        <f t="shared" si="90"/>
        <v>15.131094376804171</v>
      </c>
      <c r="R198" s="692">
        <f t="shared" si="76"/>
        <v>3.0421708668551484E-2</v>
      </c>
      <c r="S198" s="329">
        <f t="shared" si="77"/>
        <v>0.99961667827337253</v>
      </c>
      <c r="T198" s="330">
        <f t="shared" si="78"/>
        <v>8.9183371144744922E-2</v>
      </c>
      <c r="U198" s="331">
        <f t="shared" si="79"/>
        <v>11.321791476326018</v>
      </c>
      <c r="V198" s="332">
        <f t="shared" si="80"/>
        <v>-111.35255983913929</v>
      </c>
      <c r="W198" s="334">
        <f t="shared" si="81"/>
        <v>68.647440160860711</v>
      </c>
      <c r="Y198" s="307">
        <f t="shared" si="82"/>
        <v>1000000000</v>
      </c>
      <c r="Z198" s="307">
        <f t="shared" si="83"/>
        <v>125888400</v>
      </c>
      <c r="AB198" s="333">
        <f t="shared" si="84"/>
        <v>23.922626651604514</v>
      </c>
      <c r="AC198" s="334">
        <f t="shared" si="85"/>
        <v>-23.057147637614655</v>
      </c>
      <c r="AE198" s="333">
        <f t="shared" si="86"/>
        <v>44.957549511509441</v>
      </c>
      <c r="AF198" s="334">
        <f t="shared" si="87"/>
        <v>-90.282710661907743</v>
      </c>
      <c r="AH198">
        <f t="shared" si="88"/>
        <v>0</v>
      </c>
      <c r="AI198">
        <f t="shared" si="93"/>
        <v>0</v>
      </c>
    </row>
    <row r="199" spans="1:35" x14ac:dyDescent="0.2">
      <c r="A199" s="335">
        <v>11285.5</v>
      </c>
      <c r="B199" s="352">
        <f t="shared" si="89"/>
        <v>11.285500000000001</v>
      </c>
      <c r="C199" s="325">
        <f t="shared" si="62"/>
        <v>14.349620780375567</v>
      </c>
      <c r="D199" s="326">
        <f t="shared" si="63"/>
        <v>1.501051544121188</v>
      </c>
      <c r="E199" s="326">
        <f t="shared" si="64"/>
        <v>1.0001005563513161</v>
      </c>
      <c r="F199" s="327">
        <f t="shared" si="65"/>
        <v>1.4180826895675364E-2</v>
      </c>
      <c r="G199" s="326">
        <f t="shared" si="66"/>
        <v>1</v>
      </c>
      <c r="H199" s="327">
        <f t="shared" si="67"/>
        <v>0</v>
      </c>
      <c r="I199" s="325">
        <f t="shared" si="68"/>
        <v>14978.858707970478</v>
      </c>
      <c r="J199" s="328">
        <f t="shared" si="69"/>
        <v>1.5707295660342646</v>
      </c>
      <c r="K199" s="336">
        <f t="shared" si="94"/>
        <v>3.0690771097148009</v>
      </c>
      <c r="L199" s="337">
        <f t="shared" si="95"/>
        <v>1.2389059245454883</v>
      </c>
      <c r="M199" s="325">
        <f t="shared" si="72"/>
        <v>1.0023993188937237</v>
      </c>
      <c r="N199" s="337">
        <f t="shared" si="73"/>
        <v>6.920305512509653E-2</v>
      </c>
      <c r="O199" s="343">
        <f t="shared" si="74"/>
        <v>1.0021480202632969</v>
      </c>
      <c r="P199" s="691">
        <f t="shared" si="75"/>
        <v>6.5485606134234986E-2</v>
      </c>
      <c r="Q199" s="336">
        <f t="shared" si="90"/>
        <v>15.131173991323388</v>
      </c>
      <c r="R199" s="692">
        <f t="shared" si="76"/>
        <v>3.0599198440846305E-2</v>
      </c>
      <c r="S199" s="329">
        <f t="shared" si="77"/>
        <v>0.99961230127424483</v>
      </c>
      <c r="T199" s="330">
        <f t="shared" si="78"/>
        <v>8.9705795687162429E-2</v>
      </c>
      <c r="U199" s="331">
        <f t="shared" si="79"/>
        <v>11.266061180749196</v>
      </c>
      <c r="V199" s="332">
        <f t="shared" si="80"/>
        <v>-111.30947366138273</v>
      </c>
      <c r="W199" s="334">
        <f t="shared" si="81"/>
        <v>68.690526338617275</v>
      </c>
      <c r="Y199" s="307">
        <f t="shared" si="82"/>
        <v>1000000000</v>
      </c>
      <c r="Z199" s="307">
        <f t="shared" si="83"/>
        <v>127362510.25</v>
      </c>
      <c r="AB199" s="333">
        <f t="shared" si="84"/>
        <v>23.916990660775884</v>
      </c>
      <c r="AC199" s="334">
        <f t="shared" si="85"/>
        <v>-22.977137214303426</v>
      </c>
      <c r="AE199" s="333">
        <f t="shared" si="86"/>
        <v>44.907285653258562</v>
      </c>
      <c r="AF199" s="334">
        <f t="shared" si="87"/>
        <v>-90.331180372567246</v>
      </c>
      <c r="AH199">
        <f t="shared" si="88"/>
        <v>0</v>
      </c>
      <c r="AI199">
        <f t="shared" si="93"/>
        <v>0</v>
      </c>
    </row>
    <row r="200" spans="1:35" x14ac:dyDescent="0.2">
      <c r="A200" s="335">
        <v>11351</v>
      </c>
      <c r="B200" s="352">
        <f t="shared" si="89"/>
        <v>11.351000000000001</v>
      </c>
      <c r="C200" s="325">
        <f t="shared" si="62"/>
        <v>14.432501351615915</v>
      </c>
      <c r="D200" s="326">
        <f t="shared" si="63"/>
        <v>1.5014527079478726</v>
      </c>
      <c r="E200" s="326">
        <f t="shared" si="64"/>
        <v>1.0001017269186123</v>
      </c>
      <c r="F200" s="327">
        <f t="shared" si="65"/>
        <v>1.4263119975843119E-2</v>
      </c>
      <c r="G200" s="326">
        <f t="shared" si="66"/>
        <v>1</v>
      </c>
      <c r="H200" s="327">
        <f t="shared" si="67"/>
        <v>0</v>
      </c>
      <c r="I200" s="325">
        <f t="shared" si="68"/>
        <v>15065.794620514172</v>
      </c>
      <c r="J200" s="328">
        <f t="shared" si="69"/>
        <v>1.5707299512716717</v>
      </c>
      <c r="K200" s="336">
        <f t="shared" si="94"/>
        <v>3.0850035376458629</v>
      </c>
      <c r="L200" s="337">
        <f t="shared" si="95"/>
        <v>1.2406845870724534</v>
      </c>
      <c r="M200" s="325">
        <f t="shared" si="72"/>
        <v>1.0024272167497592</v>
      </c>
      <c r="N200" s="337">
        <f t="shared" si="73"/>
        <v>6.9603411018047581E-2</v>
      </c>
      <c r="O200" s="343">
        <f t="shared" si="74"/>
        <v>1.0021729993320254</v>
      </c>
      <c r="P200" s="691">
        <f t="shared" si="75"/>
        <v>6.5864583447598338E-2</v>
      </c>
      <c r="Q200" s="336">
        <f t="shared" si="90"/>
        <v>15.131254068840551</v>
      </c>
      <c r="R200" s="692">
        <f t="shared" si="76"/>
        <v>3.0776686367602023E-2</v>
      </c>
      <c r="S200" s="329">
        <f t="shared" si="77"/>
        <v>0.99960790140368205</v>
      </c>
      <c r="T200" s="330">
        <f t="shared" si="78"/>
        <v>9.0228251425291298E-2</v>
      </c>
      <c r="U200" s="331">
        <f t="shared" si="79"/>
        <v>11.210705673394886</v>
      </c>
      <c r="V200" s="332">
        <f t="shared" si="80"/>
        <v>-111.26718454610156</v>
      </c>
      <c r="W200" s="334">
        <f t="shared" si="81"/>
        <v>68.732815453898439</v>
      </c>
      <c r="Y200" s="307">
        <f t="shared" si="82"/>
        <v>1000000000</v>
      </c>
      <c r="Z200" s="307">
        <f t="shared" si="83"/>
        <v>128845201</v>
      </c>
      <c r="AB200" s="333">
        <f t="shared" si="84"/>
        <v>23.911439880927922</v>
      </c>
      <c r="AC200" s="334">
        <f t="shared" si="85"/>
        <v>-22.898188133686862</v>
      </c>
      <c r="AE200" s="333">
        <f t="shared" si="86"/>
        <v>44.857310395589494</v>
      </c>
      <c r="AF200" s="334">
        <f t="shared" si="87"/>
        <v>-90.379384829385074</v>
      </c>
      <c r="AH200">
        <f t="shared" si="88"/>
        <v>0</v>
      </c>
      <c r="AI200">
        <f t="shared" si="93"/>
        <v>0</v>
      </c>
    </row>
    <row r="201" spans="1:35" x14ac:dyDescent="0.2">
      <c r="A201" s="335">
        <v>11416.5</v>
      </c>
      <c r="B201" s="352">
        <f t="shared" si="89"/>
        <v>11.416499999999999</v>
      </c>
      <c r="C201" s="325">
        <f t="shared" si="62"/>
        <v>14.515384218989338</v>
      </c>
      <c r="D201" s="326">
        <f t="shared" si="63"/>
        <v>1.5018492905455754</v>
      </c>
      <c r="E201" s="326">
        <f t="shared" si="64"/>
        <v>1.0001029042587328</v>
      </c>
      <c r="F201" s="327">
        <f t="shared" si="65"/>
        <v>1.4345412862814219E-2</v>
      </c>
      <c r="G201" s="326">
        <f t="shared" si="66"/>
        <v>1</v>
      </c>
      <c r="H201" s="327">
        <f t="shared" si="67"/>
        <v>0</v>
      </c>
      <c r="I201" s="325">
        <f t="shared" si="68"/>
        <v>15152.730533060076</v>
      </c>
      <c r="J201" s="328">
        <f t="shared" si="69"/>
        <v>1.5707303320886261</v>
      </c>
      <c r="K201" s="336">
        <f t="shared" si="94"/>
        <v>3.1009396251476931</v>
      </c>
      <c r="L201" s="337">
        <f t="shared" si="95"/>
        <v>1.2424449736160355</v>
      </c>
      <c r="M201" s="325">
        <f t="shared" si="72"/>
        <v>1.0024552752707236</v>
      </c>
      <c r="N201" s="337">
        <f t="shared" si="73"/>
        <v>7.0003744563401665E-2</v>
      </c>
      <c r="O201" s="343">
        <f t="shared" si="74"/>
        <v>1.0021981223294651</v>
      </c>
      <c r="P201" s="691">
        <f t="shared" si="75"/>
        <v>6.6243541815059745E-2</v>
      </c>
      <c r="Q201" s="336">
        <f t="shared" si="90"/>
        <v>15.131334609348315</v>
      </c>
      <c r="R201" s="692">
        <f t="shared" si="76"/>
        <v>3.095417243814658E-2</v>
      </c>
      <c r="S201" s="329">
        <f t="shared" si="77"/>
        <v>0.99960347870709743</v>
      </c>
      <c r="T201" s="330">
        <f t="shared" si="78"/>
        <v>9.0750738537980477E-2</v>
      </c>
      <c r="U201" s="331">
        <f t="shared" si="79"/>
        <v>11.155719872064155</v>
      </c>
      <c r="V201" s="332">
        <f t="shared" si="80"/>
        <v>-111.22568133662006</v>
      </c>
      <c r="W201" s="334">
        <f t="shared" si="81"/>
        <v>68.774318663379944</v>
      </c>
      <c r="Y201" s="307">
        <f t="shared" si="82"/>
        <v>1000000000</v>
      </c>
      <c r="Z201" s="307">
        <f t="shared" si="83"/>
        <v>130336472.25</v>
      </c>
      <c r="AB201" s="333">
        <f t="shared" si="84"/>
        <v>23.905972500652133</v>
      </c>
      <c r="AC201" s="334">
        <f t="shared" si="85"/>
        <v>-22.820284656089516</v>
      </c>
      <c r="AE201" s="333">
        <f t="shared" si="86"/>
        <v>44.807620467889663</v>
      </c>
      <c r="AF201" s="334">
        <f t="shared" si="87"/>
        <v>-90.427328609816257</v>
      </c>
      <c r="AH201">
        <f t="shared" si="88"/>
        <v>0</v>
      </c>
      <c r="AI201">
        <f t="shared" si="93"/>
        <v>0</v>
      </c>
    </row>
    <row r="202" spans="1:35" x14ac:dyDescent="0.2">
      <c r="A202" s="335">
        <v>11482</v>
      </c>
      <c r="B202" s="352">
        <f t="shared" si="89"/>
        <v>11.481999999999999</v>
      </c>
      <c r="C202" s="325">
        <f t="shared" si="62"/>
        <v>14.598269343386384</v>
      </c>
      <c r="D202" s="326">
        <f t="shared" si="63"/>
        <v>1.5022413698215054</v>
      </c>
      <c r="E202" s="326">
        <f t="shared" si="64"/>
        <v>1.0001040883716534</v>
      </c>
      <c r="F202" s="327">
        <f t="shared" si="65"/>
        <v>1.4427705555474757E-2</v>
      </c>
      <c r="G202" s="326">
        <f t="shared" si="66"/>
        <v>1</v>
      </c>
      <c r="H202" s="327">
        <f t="shared" si="67"/>
        <v>0</v>
      </c>
      <c r="I202" s="325">
        <f t="shared" si="68"/>
        <v>15239.666445608153</v>
      </c>
      <c r="J202" s="328">
        <f t="shared" si="69"/>
        <v>1.570730708560778</v>
      </c>
      <c r="K202" s="336">
        <f t="shared" si="94"/>
        <v>3.1168852240572207</v>
      </c>
      <c r="L202" s="337">
        <f t="shared" si="95"/>
        <v>1.2441873536740398</v>
      </c>
      <c r="M202" s="325">
        <f t="shared" si="72"/>
        <v>1.0024834944431267</v>
      </c>
      <c r="N202" s="337">
        <f t="shared" si="73"/>
        <v>7.0404055634720172E-2</v>
      </c>
      <c r="O202" s="343">
        <f t="shared" si="74"/>
        <v>1.0022233892447927</v>
      </c>
      <c r="P202" s="691">
        <f t="shared" si="75"/>
        <v>6.6622481129204131E-2</v>
      </c>
      <c r="Q202" s="336">
        <f t="shared" si="90"/>
        <v>15.131415612839296</v>
      </c>
      <c r="R202" s="692">
        <f t="shared" si="76"/>
        <v>3.1131656641808603E-2</v>
      </c>
      <c r="S202" s="329">
        <f t="shared" si="77"/>
        <v>0.99959903323016808</v>
      </c>
      <c r="T202" s="330">
        <f t="shared" si="78"/>
        <v>9.1273257204040073E-2</v>
      </c>
      <c r="U202" s="331">
        <f t="shared" si="79"/>
        <v>11.10109879592877</v>
      </c>
      <c r="V202" s="332">
        <f t="shared" si="80"/>
        <v>-111.18495306854759</v>
      </c>
      <c r="W202" s="334">
        <f t="shared" si="81"/>
        <v>68.815046931452414</v>
      </c>
      <c r="Y202" s="307">
        <f t="shared" si="82"/>
        <v>1000000000</v>
      </c>
      <c r="Z202" s="307">
        <f t="shared" si="83"/>
        <v>131836324</v>
      </c>
      <c r="AB202" s="333">
        <f t="shared" si="84"/>
        <v>23.900586754866882</v>
      </c>
      <c r="AC202" s="334">
        <f t="shared" si="85"/>
        <v>-22.743411337514583</v>
      </c>
      <c r="AE202" s="333">
        <f t="shared" si="86"/>
        <v>44.758212654591318</v>
      </c>
      <c r="AF202" s="334">
        <f t="shared" si="87"/>
        <v>-90.475016187923885</v>
      </c>
      <c r="AH202">
        <f t="shared" si="88"/>
        <v>0</v>
      </c>
      <c r="AI202">
        <f t="shared" si="93"/>
        <v>0</v>
      </c>
    </row>
    <row r="203" spans="1:35" x14ac:dyDescent="0.2">
      <c r="A203" s="335">
        <v>11548.75</v>
      </c>
      <c r="B203" s="352">
        <f t="shared" si="89"/>
        <v>11.54875</v>
      </c>
      <c r="C203" s="325">
        <f t="shared" si="62"/>
        <v>14.682738527436179</v>
      </c>
      <c r="D203" s="326">
        <f t="shared" si="63"/>
        <v>1.5026363773098308</v>
      </c>
      <c r="E203" s="326">
        <f t="shared" si="64"/>
        <v>1.0001053020500352</v>
      </c>
      <c r="F203" s="327">
        <f t="shared" si="65"/>
        <v>1.4511568518307729E-2</v>
      </c>
      <c r="G203" s="326">
        <f t="shared" si="66"/>
        <v>1</v>
      </c>
      <c r="H203" s="327">
        <f t="shared" si="67"/>
        <v>0</v>
      </c>
      <c r="I203" s="325">
        <f t="shared" si="68"/>
        <v>15328.26144045896</v>
      </c>
      <c r="J203" s="328">
        <f t="shared" si="69"/>
        <v>1.5707310878240848</v>
      </c>
      <c r="K203" s="336">
        <f t="shared" si="94"/>
        <v>3.133144763347953</v>
      </c>
      <c r="L203" s="337">
        <f t="shared" si="95"/>
        <v>1.2459447338170664</v>
      </c>
      <c r="M203" s="325">
        <f t="shared" si="72"/>
        <v>1.0025124174148017</v>
      </c>
      <c r="N203" s="337">
        <f t="shared" si="73"/>
        <v>7.0811982977967897E-2</v>
      </c>
      <c r="O203" s="343">
        <f t="shared" si="74"/>
        <v>1.0022492864057733</v>
      </c>
      <c r="P203" s="691">
        <f t="shared" si="75"/>
        <v>6.7008632396264409E-2</v>
      </c>
      <c r="Q203" s="336">
        <f t="shared" si="90"/>
        <v>15.131498638511593</v>
      </c>
      <c r="R203" s="692">
        <f t="shared" si="76"/>
        <v>3.1312526016882246E-2</v>
      </c>
      <c r="S203" s="329">
        <f t="shared" si="77"/>
        <v>0.99959447952685687</v>
      </c>
      <c r="T203" s="330">
        <f t="shared" si="78"/>
        <v>9.1805780247820365E-2</v>
      </c>
      <c r="U203" s="331">
        <f t="shared" si="79"/>
        <v>11.04580551087604</v>
      </c>
      <c r="V203" s="332">
        <f t="shared" si="80"/>
        <v>-111.1442336536185</v>
      </c>
      <c r="W203" s="334">
        <f t="shared" si="81"/>
        <v>68.8557663463815</v>
      </c>
      <c r="Y203" s="307">
        <f t="shared" si="82"/>
        <v>1000000000</v>
      </c>
      <c r="Z203" s="307">
        <f t="shared" si="83"/>
        <v>133373626.5625</v>
      </c>
      <c r="AB203" s="333">
        <f t="shared" si="84"/>
        <v>23.895180433154838</v>
      </c>
      <c r="AC203" s="334">
        <f t="shared" si="85"/>
        <v>-22.666115117533622</v>
      </c>
      <c r="AE203" s="333">
        <f t="shared" si="86"/>
        <v>44.70814891240061</v>
      </c>
      <c r="AF203" s="334">
        <f t="shared" si="87"/>
        <v>-90.523354779010504</v>
      </c>
      <c r="AH203">
        <f t="shared" si="88"/>
        <v>0</v>
      </c>
      <c r="AI203">
        <f t="shared" si="93"/>
        <v>0</v>
      </c>
    </row>
    <row r="204" spans="1:35" x14ac:dyDescent="0.2">
      <c r="A204" s="335">
        <v>11615.5</v>
      </c>
      <c r="B204" s="352">
        <f t="shared" si="89"/>
        <v>11.615500000000001</v>
      </c>
      <c r="C204" s="325">
        <f t="shared" si="62"/>
        <v>14.76720997623808</v>
      </c>
      <c r="D204" s="326">
        <f t="shared" si="63"/>
        <v>1.503026865811931</v>
      </c>
      <c r="E204" s="326">
        <f t="shared" si="64"/>
        <v>1.0001065227621371</v>
      </c>
      <c r="F204" s="327">
        <f t="shared" si="65"/>
        <v>1.4595431277007248E-2</v>
      </c>
      <c r="G204" s="326">
        <f t="shared" si="66"/>
        <v>1</v>
      </c>
      <c r="H204" s="327">
        <f t="shared" si="67"/>
        <v>0</v>
      </c>
      <c r="I204" s="325">
        <f t="shared" si="68"/>
        <v>15416.856435311949</v>
      </c>
      <c r="J204" s="328">
        <f t="shared" si="69"/>
        <v>1.5707314627284186</v>
      </c>
      <c r="K204" s="336">
        <f t="shared" si="94"/>
        <v>3.1494138790659165</v>
      </c>
      <c r="L204" s="337">
        <f t="shared" si="95"/>
        <v>1.2476839628778513</v>
      </c>
      <c r="M204" s="325">
        <f t="shared" si="72"/>
        <v>1.0025415071996304</v>
      </c>
      <c r="N204" s="337">
        <f t="shared" si="73"/>
        <v>7.1219886716216971E-2</v>
      </c>
      <c r="O204" s="343">
        <f t="shared" si="74"/>
        <v>1.0022753330072161</v>
      </c>
      <c r="P204" s="691">
        <f t="shared" si="75"/>
        <v>6.7394763650709386E-2</v>
      </c>
      <c r="Q204" s="336">
        <f t="shared" si="90"/>
        <v>15.131582144991215</v>
      </c>
      <c r="R204" s="692">
        <f t="shared" si="76"/>
        <v>3.1493393430763933E-2</v>
      </c>
      <c r="S204" s="329">
        <f t="shared" si="77"/>
        <v>0.99958990226204092</v>
      </c>
      <c r="T204" s="330">
        <f t="shared" si="78"/>
        <v>9.2338336435609569E-2</v>
      </c>
      <c r="U204" s="331">
        <f t="shared" si="79"/>
        <v>10.990880870636541</v>
      </c>
      <c r="V204" s="332">
        <f t="shared" si="80"/>
        <v>-111.10429664301857</v>
      </c>
      <c r="W204" s="334">
        <f t="shared" si="81"/>
        <v>68.895703356981429</v>
      </c>
      <c r="Y204" s="307">
        <f t="shared" si="82"/>
        <v>1000000000</v>
      </c>
      <c r="Z204" s="307">
        <f t="shared" si="83"/>
        <v>134919840.25</v>
      </c>
      <c r="AB204" s="333">
        <f t="shared" si="84"/>
        <v>23.889855331251386</v>
      </c>
      <c r="AC204" s="334">
        <f t="shared" si="85"/>
        <v>-22.589857275742339</v>
      </c>
      <c r="AE204" s="333">
        <f t="shared" si="86"/>
        <v>44.658371581670416</v>
      </c>
      <c r="AF204" s="334">
        <f t="shared" si="87"/>
        <v>-90.571436361966263</v>
      </c>
      <c r="AH204">
        <f t="shared" si="88"/>
        <v>0</v>
      </c>
      <c r="AI204">
        <f t="shared" si="93"/>
        <v>0</v>
      </c>
    </row>
    <row r="205" spans="1:35" x14ac:dyDescent="0.2">
      <c r="A205" s="335">
        <v>11682.25</v>
      </c>
      <c r="B205" s="352">
        <f t="shared" si="89"/>
        <v>11.68225</v>
      </c>
      <c r="C205" s="325">
        <f t="shared" ref="C205:C268" si="96">SQRT(1+(A205/pole1)^2)</f>
        <v>14.851683651148612</v>
      </c>
      <c r="D205" s="326">
        <f t="shared" ref="D205:D268" si="97">ATAN(A205/pole1)</f>
        <v>1.5034129123172084</v>
      </c>
      <c r="E205" s="326">
        <f t="shared" ref="E205:E268" si="98">SQRT(1+(A205/Zero1)^2)</f>
        <v>1.0001077505079332</v>
      </c>
      <c r="F205" s="327">
        <f t="shared" ref="F205:F268" si="99">ATAN(A205/Zero1)</f>
        <v>1.4679293830394452E-2</v>
      </c>
      <c r="G205" s="326">
        <f t="shared" ref="G205:G268" si="100">IF(VIN_nom&gt;Vout, 1, SQRT(1+(A205/z_RHP)^2))</f>
        <v>1</v>
      </c>
      <c r="H205" s="327">
        <f t="shared" ref="H205:H268" si="101">IF(VIN_nom&gt;Vout, 0, -ATAN(A205/z_RHP))</f>
        <v>0</v>
      </c>
      <c r="I205" s="325">
        <f t="shared" ref="I205:I268" si="102">SQRT(1+(A205/Pole2)^2)</f>
        <v>15505.451430167081</v>
      </c>
      <c r="J205" s="328">
        <f t="shared" ref="J205:J268" si="103">ATAN(A205/Pole2)</f>
        <v>1.5707318333484983</v>
      </c>
      <c r="K205" s="336">
        <f t="shared" si="94"/>
        <v>3.165692423565686</v>
      </c>
      <c r="L205" s="337">
        <f t="shared" si="95"/>
        <v>1.24940531026059</v>
      </c>
      <c r="M205" s="325">
        <f t="shared" ref="M205:M268" si="104">SQRT(1+(A205/pole4)^2)</f>
        <v>1.0025707637830925</v>
      </c>
      <c r="N205" s="337">
        <f t="shared" ref="N205:N268" si="105">ATAN(A205/pole4)</f>
        <v>7.1627766715789506E-2</v>
      </c>
      <c r="O205" s="343">
        <f t="shared" ref="O205:O268" si="106">IF(VOUT_setting=1,1,SQRT(1+(A205*zterm1)^2))</f>
        <v>1.0023015290374708</v>
      </c>
      <c r="P205" s="691">
        <f t="shared" ref="P205:P268" si="107">IF(VOUT_setting=1,0,ATAN(((A205*zterm1))))</f>
        <v>6.7780874778961456E-2</v>
      </c>
      <c r="Q205" s="336">
        <f t="shared" si="90"/>
        <v>15.131666132270208</v>
      </c>
      <c r="R205" s="692">
        <f t="shared" ref="R205:R268" si="108">IF(VOUT_setting=1,0,ATAN(A205*$Q$4/(1+Afbr-$Q$5*(A205)^2)))</f>
        <v>3.1674258872161812E-2</v>
      </c>
      <c r="S205" s="329">
        <f t="shared" ref="S205:S268" si="109">SQRT((1-(Z205/pterm2))^2+(A205/pterm1)^2)</f>
        <v>0.9995853014849081</v>
      </c>
      <c r="T205" s="330">
        <f t="shared" ref="T205:T268" si="110">IF((ATAN((A205/pterm1)/(1-A205^2/pterm2))&gt;0),ATAN((A205/pterm1)/(1-A205^2/pterm2)),PI()+ATAN((A205/pterm1)/(1-A205^2/pterm2)))</f>
        <v>9.2870925956525366E-2</v>
      </c>
      <c r="U205" s="331">
        <f t="shared" ref="U205:U268" si="111">20*LOG10(((E205*K205*G205*O205)/(C205*I205*S205*M205*Q205))*Adc)</f>
        <v>10.936319912143235</v>
      </c>
      <c r="V205" s="332">
        <f t="shared" ref="V205:V268" si="112">((F205+L205+H205+P205)-(D205+J205+T205+N205+R205))*radconv</f>
        <v>-111.06513102557794</v>
      </c>
      <c r="W205" s="334">
        <f t="shared" ref="W205:W268" si="113">IF(V205&gt;0,V205,V205+180)</f>
        <v>68.934868974422059</v>
      </c>
      <c r="Y205" s="307">
        <f t="shared" ref="Y205:Y268" si="114">IF(U205&lt;0,A205,1000000000)</f>
        <v>1000000000</v>
      </c>
      <c r="Z205" s="307">
        <f t="shared" ref="Z205:Z268" si="115">A205^2</f>
        <v>136474965.0625</v>
      </c>
      <c r="AB205" s="333">
        <f t="shared" ref="AB205:AB268" si="116">20*LOG10((K205/(I205*M205))*AEA)</f>
        <v>23.884609720797535</v>
      </c>
      <c r="AC205" s="334">
        <f t="shared" ref="AC205:AC268" si="117">(L205-(J205+N205))*radconv</f>
        <v>-22.514622373039224</v>
      </c>
      <c r="AE205" s="333">
        <f t="shared" ref="AE205:AE268" si="118">20*LOG10((E205*G205/(C205*S205))*Acs*Am)</f>
        <v>44.60887742788514</v>
      </c>
      <c r="AF205" s="334">
        <f t="shared" ref="AF205:AF268" si="119">(F205+H205-(D205+T205))*radconv</f>
        <v>-90.619265358862194</v>
      </c>
      <c r="AH205">
        <f t="shared" ref="AH205:AH268" si="120">SUM((U206&lt;0)*(U205&gt;0))*A205</f>
        <v>0</v>
      </c>
      <c r="AI205">
        <f t="shared" si="93"/>
        <v>0</v>
      </c>
    </row>
    <row r="206" spans="1:35" x14ac:dyDescent="0.2">
      <c r="A206" s="335">
        <v>11749</v>
      </c>
      <c r="B206" s="352">
        <f t="shared" ref="B206:B269" si="121">A206/1000</f>
        <v>11.749000000000001</v>
      </c>
      <c r="C206" s="325">
        <f t="shared" si="96"/>
        <v>14.936159514397506</v>
      </c>
      <c r="D206" s="326">
        <f t="shared" si="97"/>
        <v>1.5037945920786855</v>
      </c>
      <c r="E206" s="326">
        <f t="shared" si="98"/>
        <v>1.0001089852873979</v>
      </c>
      <c r="F206" s="327">
        <f t="shared" si="99"/>
        <v>1.4763156177290506E-2</v>
      </c>
      <c r="G206" s="326">
        <f t="shared" si="100"/>
        <v>1</v>
      </c>
      <c r="H206" s="327">
        <f t="shared" si="101"/>
        <v>0</v>
      </c>
      <c r="I206" s="325">
        <f t="shared" si="102"/>
        <v>15594.046425024315</v>
      </c>
      <c r="J206" s="328">
        <f t="shared" si="103"/>
        <v>1.5707321997573447</v>
      </c>
      <c r="K206" s="336">
        <f t="shared" si="94"/>
        <v>3.181980252138469</v>
      </c>
      <c r="L206" s="337">
        <f t="shared" si="95"/>
        <v>1.2511090402820841</v>
      </c>
      <c r="M206" s="325">
        <f t="shared" si="104"/>
        <v>1.0026001871505859</v>
      </c>
      <c r="N206" s="337">
        <f t="shared" si="105"/>
        <v>7.2035622843054814E-2</v>
      </c>
      <c r="O206" s="343">
        <f t="shared" si="106"/>
        <v>1.0023278744848216</v>
      </c>
      <c r="P206" s="691">
        <f t="shared" si="107"/>
        <v>6.8166965667478888E-2</v>
      </c>
      <c r="Q206" s="336">
        <f t="shared" si="90"/>
        <v>15.131750600340578</v>
      </c>
      <c r="R206" s="692">
        <f t="shared" si="108"/>
        <v>3.1855122329784769E-2</v>
      </c>
      <c r="S206" s="329">
        <f t="shared" si="109"/>
        <v>0.99958067724493116</v>
      </c>
      <c r="T206" s="330">
        <f t="shared" si="110"/>
        <v>9.3403548999642455E-2</v>
      </c>
      <c r="U206" s="331">
        <f t="shared" si="111"/>
        <v>10.882117770808421</v>
      </c>
      <c r="V206" s="332">
        <f t="shared" si="112"/>
        <v>-111.02672598202652</v>
      </c>
      <c r="W206" s="334">
        <f t="shared" si="113"/>
        <v>68.97327401797348</v>
      </c>
      <c r="Y206" s="307">
        <f t="shared" si="114"/>
        <v>1000000000</v>
      </c>
      <c r="Z206" s="307">
        <f t="shared" si="115"/>
        <v>138039001</v>
      </c>
      <c r="AB206" s="333">
        <f t="shared" si="116"/>
        <v>23.879441917652692</v>
      </c>
      <c r="AC206" s="334">
        <f t="shared" si="117"/>
        <v>-22.440395261714386</v>
      </c>
      <c r="AE206" s="333">
        <f t="shared" si="118"/>
        <v>44.559663270791276</v>
      </c>
      <c r="AF206" s="334">
        <f t="shared" si="119"/>
        <v>-90.66684609227957</v>
      </c>
      <c r="AH206">
        <f t="shared" si="120"/>
        <v>0</v>
      </c>
      <c r="AI206">
        <f t="shared" si="93"/>
        <v>0</v>
      </c>
    </row>
    <row r="207" spans="1:35" x14ac:dyDescent="0.2">
      <c r="A207" s="335">
        <v>11817.5</v>
      </c>
      <c r="B207" s="352">
        <f t="shared" si="121"/>
        <v>11.817500000000001</v>
      </c>
      <c r="C207" s="325">
        <f t="shared" si="96"/>
        <v>15.022852337085636</v>
      </c>
      <c r="D207" s="326">
        <f t="shared" si="97"/>
        <v>1.5041818155958635</v>
      </c>
      <c r="E207" s="326">
        <f t="shared" si="98"/>
        <v>1.0001102597520208</v>
      </c>
      <c r="F207" s="327">
        <f t="shared" si="99"/>
        <v>1.4849216946575844E-2</v>
      </c>
      <c r="G207" s="326">
        <f t="shared" si="100"/>
        <v>1</v>
      </c>
      <c r="H207" s="327">
        <f t="shared" si="101"/>
        <v>0</v>
      </c>
      <c r="I207" s="325">
        <f t="shared" si="102"/>
        <v>15684.964135104678</v>
      </c>
      <c r="J207" s="328">
        <f t="shared" si="103"/>
        <v>1.5707325714689639</v>
      </c>
      <c r="K207" s="336">
        <f t="shared" si="94"/>
        <v>3.1987046060628952</v>
      </c>
      <c r="L207" s="337">
        <f t="shared" si="95"/>
        <v>1.2528393931033317</v>
      </c>
      <c r="M207" s="325">
        <f t="shared" si="104"/>
        <v>1.0026305553021002</v>
      </c>
      <c r="N207" s="337">
        <f t="shared" si="105"/>
        <v>7.2454146868183328E-2</v>
      </c>
      <c r="O207" s="343">
        <f t="shared" si="106"/>
        <v>1.0023550659688276</v>
      </c>
      <c r="P207" s="691">
        <f t="shared" si="107"/>
        <v>6.8563157627354057E-2</v>
      </c>
      <c r="Q207" s="336">
        <f t="shared" ref="Q207:Q270" si="122">IF(VOUT_setting=1,1,SQRT((1+Afbr-$Q$5*(A207)^2)^2+(A207*$Q$4)^2))</f>
        <v>15.131837782785338</v>
      </c>
      <c r="R207" s="692">
        <f t="shared" si="108"/>
        <v>3.2040725451685979E-2</v>
      </c>
      <c r="S207" s="329">
        <f t="shared" si="109"/>
        <v>0.99957590742877944</v>
      </c>
      <c r="T207" s="330">
        <f t="shared" si="110"/>
        <v>9.3950170993024495E-2</v>
      </c>
      <c r="U207" s="331">
        <f t="shared" si="111"/>
        <v>10.826862650323527</v>
      </c>
      <c r="V207" s="332">
        <f t="shared" si="112"/>
        <v>-110.98809366201017</v>
      </c>
      <c r="W207" s="334">
        <f t="shared" si="113"/>
        <v>69.011906337989828</v>
      </c>
      <c r="Y207" s="307">
        <f t="shared" si="114"/>
        <v>1000000000</v>
      </c>
      <c r="Z207" s="307">
        <f t="shared" si="115"/>
        <v>139653306.25</v>
      </c>
      <c r="AB207" s="333">
        <f t="shared" si="116"/>
        <v>23.874217801936911</v>
      </c>
      <c r="AC207" s="334">
        <f t="shared" si="117"/>
        <v>-22.365254305674164</v>
      </c>
      <c r="AE207" s="333">
        <f t="shared" si="118"/>
        <v>44.509446679619543</v>
      </c>
      <c r="AF207" s="334">
        <f t="shared" si="119"/>
        <v>-90.715420579945686</v>
      </c>
      <c r="AH207">
        <f t="shared" si="120"/>
        <v>0</v>
      </c>
      <c r="AI207">
        <f t="shared" si="93"/>
        <v>0</v>
      </c>
    </row>
    <row r="208" spans="1:35" x14ac:dyDescent="0.2">
      <c r="A208" s="335">
        <v>11886</v>
      </c>
      <c r="B208" s="352">
        <f t="shared" si="121"/>
        <v>11.885999999999999</v>
      </c>
      <c r="C208" s="325">
        <f t="shared" si="96"/>
        <v>15.109547386482252</v>
      </c>
      <c r="D208" s="326">
        <f t="shared" si="97"/>
        <v>1.5045645955739171</v>
      </c>
      <c r="E208" s="326">
        <f t="shared" si="98"/>
        <v>1.0001115416238977</v>
      </c>
      <c r="F208" s="327">
        <f t="shared" si="99"/>
        <v>1.4935277495885432E-2</v>
      </c>
      <c r="G208" s="326">
        <f t="shared" si="100"/>
        <v>1</v>
      </c>
      <c r="H208" s="327">
        <f t="shared" si="101"/>
        <v>0</v>
      </c>
      <c r="I208" s="325">
        <f t="shared" si="102"/>
        <v>15775.881845187185</v>
      </c>
      <c r="J208" s="328">
        <f t="shared" si="103"/>
        <v>1.5707329388961735</v>
      </c>
      <c r="K208" s="336">
        <f t="shared" si="94"/>
        <v>3.2154384376506884</v>
      </c>
      <c r="L208" s="337">
        <f t="shared" si="95"/>
        <v>1.2545517407524385</v>
      </c>
      <c r="M208" s="325">
        <f t="shared" si="104"/>
        <v>1.0026610990660922</v>
      </c>
      <c r="N208" s="337">
        <f t="shared" si="105"/>
        <v>7.2872645467869923E-2</v>
      </c>
      <c r="O208" s="343">
        <f t="shared" si="106"/>
        <v>1.0023824147820224</v>
      </c>
      <c r="P208" s="691">
        <f t="shared" si="107"/>
        <v>6.8959328030158765E-2</v>
      </c>
      <c r="Q208" s="336">
        <f t="shared" si="122"/>
        <v>15.13192547154476</v>
      </c>
      <c r="R208" s="692">
        <f t="shared" si="108"/>
        <v>3.2226326460339481E-2</v>
      </c>
      <c r="S208" s="329">
        <f t="shared" si="109"/>
        <v>0.99957111300988277</v>
      </c>
      <c r="T208" s="330">
        <f t="shared" si="110"/>
        <v>9.4496828692684984E-2</v>
      </c>
      <c r="U208" s="331">
        <f t="shared" si="111"/>
        <v>10.771975335208348</v>
      </c>
      <c r="V208" s="332">
        <f t="shared" si="112"/>
        <v>-110.95023983655243</v>
      </c>
      <c r="W208" s="334">
        <f t="shared" si="113"/>
        <v>69.049760163447573</v>
      </c>
      <c r="Y208" s="307">
        <f t="shared" si="114"/>
        <v>1000000000</v>
      </c>
      <c r="Z208" s="307">
        <f t="shared" si="115"/>
        <v>141276996</v>
      </c>
      <c r="AB208" s="333">
        <f t="shared" si="116"/>
        <v>23.869072170338409</v>
      </c>
      <c r="AC208" s="334">
        <f t="shared" si="117"/>
        <v>-22.291143267759068</v>
      </c>
      <c r="AE208" s="333">
        <f t="shared" si="118"/>
        <v>44.459518343137901</v>
      </c>
      <c r="AF208" s="334">
        <f t="shared" si="119"/>
        <v>-90.76374252999635</v>
      </c>
      <c r="AH208">
        <f t="shared" si="120"/>
        <v>0</v>
      </c>
      <c r="AI208">
        <f t="shared" si="93"/>
        <v>0</v>
      </c>
    </row>
    <row r="209" spans="1:35" x14ac:dyDescent="0.2">
      <c r="A209" s="335">
        <v>11954.5</v>
      </c>
      <c r="B209" s="352">
        <f t="shared" si="121"/>
        <v>11.954499999999999</v>
      </c>
      <c r="C209" s="325">
        <f t="shared" si="96"/>
        <v>15.196244624477027</v>
      </c>
      <c r="D209" s="326">
        <f t="shared" si="97"/>
        <v>1.5049430079532127</v>
      </c>
      <c r="E209" s="326">
        <f t="shared" si="98"/>
        <v>1.0001128309029996</v>
      </c>
      <c r="F209" s="327">
        <f t="shared" si="99"/>
        <v>1.5021337823945316E-2</v>
      </c>
      <c r="G209" s="326">
        <f t="shared" si="100"/>
        <v>1</v>
      </c>
      <c r="H209" s="327">
        <f t="shared" si="101"/>
        <v>0</v>
      </c>
      <c r="I209" s="325">
        <f t="shared" si="102"/>
        <v>15866.799555271797</v>
      </c>
      <c r="J209" s="328">
        <f t="shared" si="103"/>
        <v>1.5707333021126235</v>
      </c>
      <c r="K209" s="336">
        <f t="shared" si="94"/>
        <v>3.2321815996969843</v>
      </c>
      <c r="L209" s="337">
        <f t="shared" si="95"/>
        <v>1.2562463529170931</v>
      </c>
      <c r="M209" s="325">
        <f t="shared" si="104"/>
        <v>1.0026918184265134</v>
      </c>
      <c r="N209" s="337">
        <f t="shared" si="105"/>
        <v>7.3291118497852234E-2</v>
      </c>
      <c r="O209" s="343">
        <f t="shared" si="106"/>
        <v>1.0024099209115285</v>
      </c>
      <c r="P209" s="691">
        <f t="shared" si="107"/>
        <v>6.9355476753303835E-2</v>
      </c>
      <c r="Q209" s="336">
        <f t="shared" si="122"/>
        <v>15.132013666610048</v>
      </c>
      <c r="R209" s="692">
        <f t="shared" si="108"/>
        <v>3.2411925343545089E-2</v>
      </c>
      <c r="S209" s="329">
        <f t="shared" si="109"/>
        <v>0.99956629404264241</v>
      </c>
      <c r="T209" s="330">
        <f t="shared" si="110"/>
        <v>9.5043522302819969E-2</v>
      </c>
      <c r="U209" s="331">
        <f t="shared" si="111"/>
        <v>10.717450875175595</v>
      </c>
      <c r="V209" s="332">
        <f t="shared" si="112"/>
        <v>-110.91315341880114</v>
      </c>
      <c r="W209" s="334">
        <f t="shared" si="113"/>
        <v>69.086846581198856</v>
      </c>
      <c r="Y209" s="307">
        <f t="shared" si="114"/>
        <v>1000000000</v>
      </c>
      <c r="Z209" s="307">
        <f t="shared" si="115"/>
        <v>142910070.25</v>
      </c>
      <c r="AB209" s="333">
        <f t="shared" si="116"/>
        <v>23.864003339380339</v>
      </c>
      <c r="AC209" s="334">
        <f t="shared" si="117"/>
        <v>-22.218046691956982</v>
      </c>
      <c r="AE209" s="333">
        <f t="shared" si="118"/>
        <v>44.409874994748634</v>
      </c>
      <c r="AF209" s="334">
        <f t="shared" si="119"/>
        <v>-90.811816305266589</v>
      </c>
      <c r="AH209">
        <f t="shared" si="120"/>
        <v>0</v>
      </c>
      <c r="AI209">
        <f t="shared" si="93"/>
        <v>0</v>
      </c>
    </row>
    <row r="210" spans="1:35" x14ac:dyDescent="0.2">
      <c r="A210" s="335">
        <v>12023</v>
      </c>
      <c r="B210" s="352">
        <f t="shared" si="121"/>
        <v>12.023</v>
      </c>
      <c r="C210" s="325">
        <f t="shared" si="96"/>
        <v>15.282944013823455</v>
      </c>
      <c r="D210" s="326">
        <f t="shared" si="97"/>
        <v>1.5053171269559618</v>
      </c>
      <c r="E210" s="326">
        <f t="shared" si="98"/>
        <v>1.0001141275892984</v>
      </c>
      <c r="F210" s="327">
        <f t="shared" si="99"/>
        <v>1.5107397929481568E-2</v>
      </c>
      <c r="G210" s="326">
        <f t="shared" si="100"/>
        <v>1</v>
      </c>
      <c r="H210" s="327">
        <f t="shared" si="101"/>
        <v>0</v>
      </c>
      <c r="I210" s="325">
        <f t="shared" si="102"/>
        <v>15957.717265358477</v>
      </c>
      <c r="J210" s="328">
        <f t="shared" si="103"/>
        <v>1.5707336611902851</v>
      </c>
      <c r="K210" s="336">
        <f t="shared" si="94"/>
        <v>3.2489339479501185</v>
      </c>
      <c r="L210" s="337">
        <f t="shared" si="95"/>
        <v>1.2579234941347781</v>
      </c>
      <c r="M210" s="325">
        <f t="shared" si="104"/>
        <v>1.002722713367225</v>
      </c>
      <c r="N210" s="337">
        <f t="shared" si="105"/>
        <v>7.3709565813921379E-2</v>
      </c>
      <c r="O210" s="343">
        <f t="shared" si="106"/>
        <v>1.0024375843443962</v>
      </c>
      <c r="P210" s="691">
        <f t="shared" si="107"/>
        <v>6.9751603674240811E-2</v>
      </c>
      <c r="Q210" s="336">
        <f t="shared" si="122"/>
        <v>15.132102367972356</v>
      </c>
      <c r="R210" s="692">
        <f t="shared" si="108"/>
        <v>3.2597522089103513E-2</v>
      </c>
      <c r="S210" s="329">
        <f t="shared" si="109"/>
        <v>0.99956145058177581</v>
      </c>
      <c r="T210" s="330">
        <f t="shared" si="110"/>
        <v>9.5590252027576539E-2</v>
      </c>
      <c r="U210" s="331">
        <f t="shared" si="111"/>
        <v>10.663284418314456</v>
      </c>
      <c r="V210" s="332">
        <f t="shared" si="112"/>
        <v>-110.87682351844776</v>
      </c>
      <c r="W210" s="334">
        <f t="shared" si="113"/>
        <v>69.123176481552235</v>
      </c>
      <c r="Y210" s="307">
        <f t="shared" si="114"/>
        <v>1000000000</v>
      </c>
      <c r="Z210" s="307">
        <f t="shared" si="115"/>
        <v>144552529</v>
      </c>
      <c r="AB210" s="333">
        <f t="shared" si="116"/>
        <v>23.859009668962116</v>
      </c>
      <c r="AC210" s="334">
        <f t="shared" si="117"/>
        <v>-22.145949417247678</v>
      </c>
      <c r="AE210" s="333">
        <f t="shared" si="118"/>
        <v>44.360513422855412</v>
      </c>
      <c r="AF210" s="334">
        <f t="shared" si="119"/>
        <v>-90.859646170145624</v>
      </c>
      <c r="AH210">
        <f t="shared" si="120"/>
        <v>0</v>
      </c>
      <c r="AI210">
        <f t="shared" si="93"/>
        <v>0</v>
      </c>
    </row>
    <row r="211" spans="1:35" x14ac:dyDescent="0.2">
      <c r="A211" s="335">
        <v>12093</v>
      </c>
      <c r="B211" s="352">
        <f t="shared" si="121"/>
        <v>12.093</v>
      </c>
      <c r="C211" s="325">
        <f t="shared" si="96"/>
        <v>15.371544114594752</v>
      </c>
      <c r="D211" s="326">
        <f t="shared" si="97"/>
        <v>1.5056950784070089</v>
      </c>
      <c r="E211" s="326">
        <f t="shared" si="98"/>
        <v>1.000115460322432</v>
      </c>
      <c r="F211" s="327">
        <f t="shared" si="99"/>
        <v>1.519534233166445E-2</v>
      </c>
      <c r="G211" s="326">
        <f t="shared" si="100"/>
        <v>1</v>
      </c>
      <c r="H211" s="327">
        <f t="shared" si="101"/>
        <v>0</v>
      </c>
      <c r="I211" s="325">
        <f t="shared" si="102"/>
        <v>16050.625874208283</v>
      </c>
      <c r="J211" s="328">
        <f t="shared" si="103"/>
        <v>1.5707340239284238</v>
      </c>
      <c r="K211" s="336">
        <f t="shared" si="94"/>
        <v>3.2660624789945816</v>
      </c>
      <c r="L211" s="337">
        <f t="shared" si="95"/>
        <v>1.2596195820924507</v>
      </c>
      <c r="M211" s="325">
        <f t="shared" si="104"/>
        <v>1.002754466212219</v>
      </c>
      <c r="N211" s="337">
        <f t="shared" si="105"/>
        <v>7.4137149495197105E-2</v>
      </c>
      <c r="O211" s="343">
        <f t="shared" si="106"/>
        <v>1.0024660160402894</v>
      </c>
      <c r="P211" s="691">
        <f t="shared" si="107"/>
        <v>7.0156382256264249E-2</v>
      </c>
      <c r="Q211" s="336">
        <f t="shared" si="122"/>
        <v>15.132193534739608</v>
      </c>
      <c r="R211" s="692">
        <f t="shared" si="108"/>
        <v>3.2787180775904999E-2</v>
      </c>
      <c r="S211" s="329">
        <f t="shared" si="109"/>
        <v>0.99955647581295881</v>
      </c>
      <c r="T211" s="330">
        <f t="shared" si="110"/>
        <v>9.6148991458003499E-2</v>
      </c>
      <c r="U211" s="331">
        <f t="shared" si="111"/>
        <v>10.608296734133123</v>
      </c>
      <c r="V211" s="332">
        <f t="shared" si="112"/>
        <v>-110.84046848949322</v>
      </c>
      <c r="W211" s="334">
        <f t="shared" si="113"/>
        <v>69.159531510506781</v>
      </c>
      <c r="Y211" s="307">
        <f t="shared" si="114"/>
        <v>1000000000</v>
      </c>
      <c r="Z211" s="307">
        <f t="shared" si="115"/>
        <v>146240649</v>
      </c>
      <c r="AB211" s="333">
        <f t="shared" si="116"/>
        <v>23.853982632706408</v>
      </c>
      <c r="AC211" s="334">
        <f t="shared" si="117"/>
        <v>-22.073290259197226</v>
      </c>
      <c r="AE211" s="333">
        <f t="shared" si="118"/>
        <v>44.310358754304993</v>
      </c>
      <c r="AF211" s="334">
        <f t="shared" si="119"/>
        <v>-90.908275761341187</v>
      </c>
      <c r="AH211">
        <f t="shared" si="120"/>
        <v>0</v>
      </c>
      <c r="AI211">
        <f t="shared" si="93"/>
        <v>0</v>
      </c>
    </row>
    <row r="212" spans="1:35" x14ac:dyDescent="0.2">
      <c r="A212" s="335">
        <v>12163</v>
      </c>
      <c r="B212" s="352">
        <f t="shared" si="121"/>
        <v>12.163</v>
      </c>
      <c r="C212" s="325">
        <f t="shared" si="96"/>
        <v>15.460146385981924</v>
      </c>
      <c r="D212" s="326">
        <f t="shared" si="97"/>
        <v>1.5060686978229545</v>
      </c>
      <c r="E212" s="326">
        <f t="shared" si="98"/>
        <v>1.0001168007906562</v>
      </c>
      <c r="F212" s="327">
        <f t="shared" si="99"/>
        <v>1.5283286498781691E-2</v>
      </c>
      <c r="G212" s="326">
        <f t="shared" si="100"/>
        <v>1</v>
      </c>
      <c r="H212" s="327">
        <f t="shared" si="101"/>
        <v>0</v>
      </c>
      <c r="I212" s="325">
        <f t="shared" si="102"/>
        <v>16143.534483060173</v>
      </c>
      <c r="J212" s="328">
        <f t="shared" si="103"/>
        <v>1.5707343824913311</v>
      </c>
      <c r="K212" s="336">
        <f t="shared" si="94"/>
        <v>3.2832003075188312</v>
      </c>
      <c r="L212" s="337">
        <f t="shared" si="95"/>
        <v>1.2612979681710923</v>
      </c>
      <c r="M212" s="325">
        <f t="shared" si="104"/>
        <v>1.0027864023769808</v>
      </c>
      <c r="N212" s="337">
        <f t="shared" si="105"/>
        <v>7.4564706019759452E-2</v>
      </c>
      <c r="O212" s="343">
        <f t="shared" si="106"/>
        <v>1.0024946119765972</v>
      </c>
      <c r="P212" s="691">
        <f t="shared" si="107"/>
        <v>7.0561137812163582E-2</v>
      </c>
      <c r="Q212" s="336">
        <f t="shared" si="122"/>
        <v>15.132285230201411</v>
      </c>
      <c r="R212" s="692">
        <f t="shared" si="108"/>
        <v>3.2976837204659604E-2</v>
      </c>
      <c r="S212" s="329">
        <f t="shared" si="109"/>
        <v>0.99955147558259638</v>
      </c>
      <c r="T212" s="330">
        <f t="shared" si="110"/>
        <v>9.670776903291417E-2</v>
      </c>
      <c r="U212" s="331">
        <f t="shared" si="111"/>
        <v>10.553672962789332</v>
      </c>
      <c r="V212" s="332">
        <f t="shared" si="112"/>
        <v>-110.8048810898907</v>
      </c>
      <c r="W212" s="334">
        <f t="shared" si="113"/>
        <v>69.195118910109301</v>
      </c>
      <c r="Y212" s="307">
        <f t="shared" si="114"/>
        <v>1000000000</v>
      </c>
      <c r="Z212" s="307">
        <f t="shared" si="115"/>
        <v>147938569</v>
      </c>
      <c r="AB212" s="333">
        <f t="shared" si="116"/>
        <v>23.84903075476366</v>
      </c>
      <c r="AC212" s="334">
        <f t="shared" si="117"/>
        <v>-22.00164354891767</v>
      </c>
      <c r="AE212" s="333">
        <f t="shared" si="118"/>
        <v>44.260491727395589</v>
      </c>
      <c r="AF212" s="334">
        <f t="shared" si="119"/>
        <v>-90.956659344194605</v>
      </c>
      <c r="AH212">
        <f t="shared" si="120"/>
        <v>0</v>
      </c>
      <c r="AI212">
        <f t="shared" si="93"/>
        <v>0</v>
      </c>
    </row>
    <row r="213" spans="1:35" x14ac:dyDescent="0.2">
      <c r="A213" s="335">
        <v>12233</v>
      </c>
      <c r="B213" s="352">
        <f t="shared" si="121"/>
        <v>12.233000000000001</v>
      </c>
      <c r="C213" s="325">
        <f t="shared" si="96"/>
        <v>15.548750790878168</v>
      </c>
      <c r="D213" s="326">
        <f t="shared" si="97"/>
        <v>1.5064380591567677</v>
      </c>
      <c r="E213" s="326">
        <f t="shared" si="98"/>
        <v>1.0001181489939392</v>
      </c>
      <c r="F213" s="327">
        <f t="shared" si="99"/>
        <v>1.537123042947389E-2</v>
      </c>
      <c r="G213" s="326">
        <f t="shared" si="100"/>
        <v>1</v>
      </c>
      <c r="H213" s="327">
        <f t="shared" si="101"/>
        <v>0</v>
      </c>
      <c r="I213" s="325">
        <f t="shared" si="102"/>
        <v>16236.443091914118</v>
      </c>
      <c r="J213" s="328">
        <f t="shared" si="103"/>
        <v>1.5707347369506819</v>
      </c>
      <c r="K213" s="336">
        <f t="shared" si="94"/>
        <v>3.3003472886848271</v>
      </c>
      <c r="L213" s="337">
        <f t="shared" si="95"/>
        <v>1.2629589187511474</v>
      </c>
      <c r="M213" s="325">
        <f t="shared" si="104"/>
        <v>1.002818521843996</v>
      </c>
      <c r="N213" s="337">
        <f t="shared" si="105"/>
        <v>7.4992235233891882E-2</v>
      </c>
      <c r="O213" s="343">
        <f t="shared" si="106"/>
        <v>1.0025233721392648</v>
      </c>
      <c r="P213" s="691">
        <f t="shared" si="107"/>
        <v>7.0965870211295065E-2</v>
      </c>
      <c r="Q213" s="336">
        <f t="shared" si="122"/>
        <v>15.132377454348164</v>
      </c>
      <c r="R213" s="692">
        <f t="shared" si="108"/>
        <v>3.316649136235171E-2</v>
      </c>
      <c r="S213" s="329">
        <f t="shared" si="109"/>
        <v>0.99954644995010145</v>
      </c>
      <c r="T213" s="330">
        <f t="shared" si="110"/>
        <v>9.7266584970002373E-2</v>
      </c>
      <c r="U213" s="331">
        <f t="shared" si="111"/>
        <v>10.499408228781682</v>
      </c>
      <c r="V213" s="332">
        <f t="shared" si="112"/>
        <v>-110.77005030894766</v>
      </c>
      <c r="W213" s="334">
        <f t="shared" si="113"/>
        <v>69.22994969105234</v>
      </c>
      <c r="Y213" s="307">
        <f t="shared" si="114"/>
        <v>1000000000</v>
      </c>
      <c r="Z213" s="307">
        <f t="shared" si="115"/>
        <v>149646289</v>
      </c>
      <c r="AB213" s="333">
        <f t="shared" si="116"/>
        <v>23.844152416922494</v>
      </c>
      <c r="AC213" s="334">
        <f t="shared" si="117"/>
        <v>-21.930994019233122</v>
      </c>
      <c r="AE213" s="333">
        <f t="shared" si="118"/>
        <v>44.210909085069289</v>
      </c>
      <c r="AF213" s="334">
        <f t="shared" si="119"/>
        <v>-91.004801168449774</v>
      </c>
      <c r="AH213">
        <f t="shared" si="120"/>
        <v>0</v>
      </c>
      <c r="AI213">
        <f t="shared" si="93"/>
        <v>0</v>
      </c>
    </row>
    <row r="214" spans="1:35" x14ac:dyDescent="0.2">
      <c r="A214" s="335">
        <v>12303</v>
      </c>
      <c r="B214" s="352">
        <f t="shared" si="121"/>
        <v>12.303000000000001</v>
      </c>
      <c r="C214" s="325">
        <f t="shared" si="96"/>
        <v>15.637357293016812</v>
      </c>
      <c r="D214" s="326">
        <f t="shared" si="97"/>
        <v>1.5068032346899569</v>
      </c>
      <c r="E214" s="326">
        <f t="shared" si="98"/>
        <v>1.0001195049322502</v>
      </c>
      <c r="F214" s="327">
        <f t="shared" si="99"/>
        <v>1.5459174122381663E-2</v>
      </c>
      <c r="G214" s="326">
        <f t="shared" si="100"/>
        <v>1</v>
      </c>
      <c r="H214" s="327">
        <f t="shared" si="101"/>
        <v>0</v>
      </c>
      <c r="I214" s="325">
        <f t="shared" si="102"/>
        <v>16329.351700770078</v>
      </c>
      <c r="J214" s="328">
        <f t="shared" si="103"/>
        <v>1.5707350873765198</v>
      </c>
      <c r="K214" s="336">
        <f t="shared" si="94"/>
        <v>3.3175032805724332</v>
      </c>
      <c r="L214" s="337">
        <f t="shared" si="95"/>
        <v>1.2646026950920966</v>
      </c>
      <c r="M214" s="325">
        <f t="shared" si="104"/>
        <v>1.0028508245956524</v>
      </c>
      <c r="N214" s="337">
        <f t="shared" si="105"/>
        <v>7.5419736983937405E-2</v>
      </c>
      <c r="O214" s="343">
        <f t="shared" si="106"/>
        <v>1.0025522965141589</v>
      </c>
      <c r="P214" s="691">
        <f t="shared" si="107"/>
        <v>7.1370579323060263E-2</v>
      </c>
      <c r="Q214" s="336">
        <f t="shared" si="122"/>
        <v>15.13247020717021</v>
      </c>
      <c r="R214" s="692">
        <f t="shared" si="108"/>
        <v>3.3356143235966661E-2</v>
      </c>
      <c r="S214" s="329">
        <f t="shared" si="109"/>
        <v>0.99954139897523142</v>
      </c>
      <c r="T214" s="330">
        <f t="shared" si="110"/>
        <v>9.7825439486907306E-2</v>
      </c>
      <c r="U214" s="331">
        <f t="shared" si="111"/>
        <v>10.44549775322608</v>
      </c>
      <c r="V214" s="332">
        <f t="shared" si="112"/>
        <v>-110.73596533351797</v>
      </c>
      <c r="W214" s="334">
        <f t="shared" si="113"/>
        <v>69.264034666482033</v>
      </c>
      <c r="Y214" s="307">
        <f t="shared" si="114"/>
        <v>1000000000</v>
      </c>
      <c r="Z214" s="307">
        <f t="shared" si="115"/>
        <v>151363809</v>
      </c>
      <c r="AB214" s="333">
        <f t="shared" si="116"/>
        <v>23.839346042780942</v>
      </c>
      <c r="AC214" s="334">
        <f t="shared" si="117"/>
        <v>-21.861326696287279</v>
      </c>
      <c r="AE214" s="333">
        <f t="shared" si="118"/>
        <v>44.161607625077401</v>
      </c>
      <c r="AF214" s="334">
        <f t="shared" si="119"/>
        <v>-91.052705388079772</v>
      </c>
      <c r="AH214">
        <f t="shared" si="120"/>
        <v>0</v>
      </c>
      <c r="AI214">
        <f t="shared" si="93"/>
        <v>0</v>
      </c>
    </row>
    <row r="215" spans="1:35" x14ac:dyDescent="0.2">
      <c r="A215" s="335">
        <v>12374.5</v>
      </c>
      <c r="B215" s="352">
        <f t="shared" si="121"/>
        <v>12.374499999999999</v>
      </c>
      <c r="C215" s="325">
        <f t="shared" si="96"/>
        <v>15.727864634196111</v>
      </c>
      <c r="D215" s="326">
        <f t="shared" si="97"/>
        <v>1.5071719875643659</v>
      </c>
      <c r="E215" s="326">
        <f t="shared" si="98"/>
        <v>1.000120897911779</v>
      </c>
      <c r="F215" s="327">
        <f t="shared" si="99"/>
        <v>1.5549002076099125E-2</v>
      </c>
      <c r="G215" s="326">
        <f t="shared" si="100"/>
        <v>1</v>
      </c>
      <c r="H215" s="327">
        <f t="shared" si="101"/>
        <v>0</v>
      </c>
      <c r="I215" s="325">
        <f t="shared" si="102"/>
        <v>16424.251208389283</v>
      </c>
      <c r="J215" s="328">
        <f t="shared" si="103"/>
        <v>1.5707354412185663</v>
      </c>
      <c r="K215" s="336">
        <f t="shared" ref="K215:K278" si="123">SQRT(1+(A215/Zero2)^2)</f>
        <v>3.3350360586928405</v>
      </c>
      <c r="L215" s="337">
        <f t="shared" ref="L215:L278" si="124">ATAN(A215/Zero2)</f>
        <v>1.2662642314141614</v>
      </c>
      <c r="M215" s="325">
        <f t="shared" si="104"/>
        <v>1.0028840087487283</v>
      </c>
      <c r="N215" s="337">
        <f t="shared" si="105"/>
        <v>7.5856370972901266E-2</v>
      </c>
      <c r="O215" s="343">
        <f t="shared" si="106"/>
        <v>1.0025820102104872</v>
      </c>
      <c r="P215" s="691">
        <f t="shared" si="107"/>
        <v>7.1783936595957665E-2</v>
      </c>
      <c r="Q215" s="336">
        <f t="shared" si="122"/>
        <v>15.132565493332434</v>
      </c>
      <c r="R215" s="692">
        <f t="shared" si="108"/>
        <v>3.3549856706752652E-2</v>
      </c>
      <c r="S215" s="329">
        <f t="shared" si="109"/>
        <v>0.99953621366490852</v>
      </c>
      <c r="T215" s="330">
        <f t="shared" si="110"/>
        <v>9.8396309512717925E-2</v>
      </c>
      <c r="U215" s="331">
        <f t="shared" si="111"/>
        <v>10.390792909416209</v>
      </c>
      <c r="V215" s="332">
        <f t="shared" si="112"/>
        <v>-110.70190887416146</v>
      </c>
      <c r="W215" s="334">
        <f t="shared" si="113"/>
        <v>69.298091125838539</v>
      </c>
      <c r="Y215" s="307">
        <f t="shared" si="114"/>
        <v>1000000000</v>
      </c>
      <c r="Z215" s="307">
        <f t="shared" si="115"/>
        <v>153128250.25</v>
      </c>
      <c r="AB215" s="333">
        <f t="shared" si="116"/>
        <v>23.834509371561321</v>
      </c>
      <c r="AC215" s="334">
        <f t="shared" si="117"/>
        <v>-21.791165235860571</v>
      </c>
      <c r="AE215" s="333">
        <f t="shared" si="118"/>
        <v>44.111536716611226</v>
      </c>
      <c r="AF215" s="334">
        <f t="shared" si="119"/>
        <v>-91.10139505202153</v>
      </c>
      <c r="AH215">
        <f t="shared" si="120"/>
        <v>0</v>
      </c>
      <c r="AI215">
        <f t="shared" si="93"/>
        <v>0</v>
      </c>
    </row>
    <row r="216" spans="1:35" x14ac:dyDescent="0.2">
      <c r="A216" s="335">
        <v>12446</v>
      </c>
      <c r="B216" s="352">
        <f t="shared" si="121"/>
        <v>12.446</v>
      </c>
      <c r="C216" s="325">
        <f t="shared" si="96"/>
        <v>15.818374089556249</v>
      </c>
      <c r="D216" s="326">
        <f t="shared" si="97"/>
        <v>1.507536520632957</v>
      </c>
      <c r="E216" s="326">
        <f t="shared" si="98"/>
        <v>1.0001222989613221</v>
      </c>
      <c r="F216" s="327">
        <f t="shared" si="99"/>
        <v>1.5638829778865364E-2</v>
      </c>
      <c r="G216" s="326">
        <f t="shared" si="100"/>
        <v>1</v>
      </c>
      <c r="H216" s="327">
        <f t="shared" si="101"/>
        <v>0</v>
      </c>
      <c r="I216" s="325">
        <f t="shared" si="102"/>
        <v>16519.150716010521</v>
      </c>
      <c r="J216" s="328">
        <f t="shared" si="103"/>
        <v>1.5707357909950965</v>
      </c>
      <c r="K216" s="336">
        <f t="shared" si="123"/>
        <v>3.3525779475433315</v>
      </c>
      <c r="L216" s="337">
        <f t="shared" si="124"/>
        <v>1.2679083847292214</v>
      </c>
      <c r="M216" s="325">
        <f t="shared" si="104"/>
        <v>1.0029173840882049</v>
      </c>
      <c r="N216" s="337">
        <f t="shared" si="105"/>
        <v>7.6292975984265321E-2</v>
      </c>
      <c r="O216" s="343">
        <f t="shared" si="106"/>
        <v>1.0026118952020528</v>
      </c>
      <c r="P216" s="691">
        <f t="shared" si="107"/>
        <v>7.2197269297480438E-2</v>
      </c>
      <c r="Q216" s="336">
        <f t="shared" si="122"/>
        <v>15.132661331049675</v>
      </c>
      <c r="R216" s="692">
        <f t="shared" si="108"/>
        <v>3.3743567767078958E-2</v>
      </c>
      <c r="S216" s="329">
        <f t="shared" si="109"/>
        <v>0.99953100204159817</v>
      </c>
      <c r="T216" s="330">
        <f t="shared" si="110"/>
        <v>9.8967220248304164E-2</v>
      </c>
      <c r="U216" s="331">
        <f t="shared" si="111"/>
        <v>10.336447888244004</v>
      </c>
      <c r="V216" s="332">
        <f t="shared" si="112"/>
        <v>-110.66860833405126</v>
      </c>
      <c r="W216" s="334">
        <f t="shared" si="113"/>
        <v>69.331391665948743</v>
      </c>
      <c r="Y216" s="307">
        <f t="shared" si="114"/>
        <v>1000000000</v>
      </c>
      <c r="Z216" s="307">
        <f t="shared" si="115"/>
        <v>154902916</v>
      </c>
      <c r="AB216" s="333">
        <f t="shared" si="116"/>
        <v>23.82974458460593</v>
      </c>
      <c r="AC216" s="334">
        <f t="shared" si="117"/>
        <v>-21.721997855140543</v>
      </c>
      <c r="AE216" s="333">
        <f t="shared" si="118"/>
        <v>44.061752586410982</v>
      </c>
      <c r="AF216" s="334">
        <f t="shared" si="119"/>
        <v>-91.149845285776038</v>
      </c>
      <c r="AH216">
        <f t="shared" si="120"/>
        <v>0</v>
      </c>
      <c r="AI216">
        <f t="shared" si="93"/>
        <v>0</v>
      </c>
    </row>
    <row r="217" spans="1:35" x14ac:dyDescent="0.2">
      <c r="A217" s="335">
        <v>12517.5</v>
      </c>
      <c r="B217" s="352">
        <f t="shared" si="121"/>
        <v>12.5175</v>
      </c>
      <c r="C217" s="325">
        <f t="shared" si="96"/>
        <v>15.908885623012987</v>
      </c>
      <c r="D217" s="326">
        <f t="shared" si="97"/>
        <v>1.5078969058221197</v>
      </c>
      <c r="E217" s="326">
        <f t="shared" si="98"/>
        <v>1.0001237080808456</v>
      </c>
      <c r="F217" s="327">
        <f t="shared" si="99"/>
        <v>1.5728657229231793E-2</v>
      </c>
      <c r="G217" s="326">
        <f t="shared" si="100"/>
        <v>1</v>
      </c>
      <c r="H217" s="327">
        <f t="shared" si="101"/>
        <v>0</v>
      </c>
      <c r="I217" s="325">
        <f t="shared" si="102"/>
        <v>16614.050223633756</v>
      </c>
      <c r="J217" s="328">
        <f t="shared" si="103"/>
        <v>1.5707361367757777</v>
      </c>
      <c r="K217" s="336">
        <f t="shared" si="123"/>
        <v>3.3701288048568712</v>
      </c>
      <c r="L217" s="337">
        <f t="shared" si="124"/>
        <v>1.2695354176582478</v>
      </c>
      <c r="M217" s="325">
        <f t="shared" si="104"/>
        <v>1.0029509505949954</v>
      </c>
      <c r="N217" s="337">
        <f t="shared" si="105"/>
        <v>7.672955185447608E-2</v>
      </c>
      <c r="O217" s="343">
        <f t="shared" si="106"/>
        <v>1.002641951473539</v>
      </c>
      <c r="P217" s="691">
        <f t="shared" si="107"/>
        <v>7.2610577288601277E-2</v>
      </c>
      <c r="Q217" s="336">
        <f t="shared" si="122"/>
        <v>15.132757720311471</v>
      </c>
      <c r="R217" s="692">
        <f t="shared" si="108"/>
        <v>3.3937276403079288E-2</v>
      </c>
      <c r="S217" s="329">
        <f t="shared" si="109"/>
        <v>0.99952576417009553</v>
      </c>
      <c r="T217" s="330">
        <f t="shared" si="110"/>
        <v>9.9538171925419444E-2</v>
      </c>
      <c r="U217" s="331">
        <f t="shared" si="111"/>
        <v>10.282457893298124</v>
      </c>
      <c r="V217" s="332">
        <f t="shared" si="112"/>
        <v>-110.63605280234613</v>
      </c>
      <c r="W217" s="334">
        <f t="shared" si="113"/>
        <v>69.363947197653872</v>
      </c>
      <c r="Y217" s="307">
        <f t="shared" si="114"/>
        <v>1000000000</v>
      </c>
      <c r="Z217" s="307">
        <f t="shared" si="115"/>
        <v>156687806.25</v>
      </c>
      <c r="AB217" s="333">
        <f t="shared" si="116"/>
        <v>23.825050128997173</v>
      </c>
      <c r="AC217" s="334">
        <f t="shared" si="117"/>
        <v>-21.653809501674598</v>
      </c>
      <c r="AE217" s="333">
        <f t="shared" si="118"/>
        <v>44.012251991235814</v>
      </c>
      <c r="AF217" s="334">
        <f t="shared" si="119"/>
        <v>-91.198060223783386</v>
      </c>
      <c r="AH217">
        <f t="shared" si="120"/>
        <v>0</v>
      </c>
      <c r="AI217">
        <f t="shared" si="93"/>
        <v>0</v>
      </c>
    </row>
    <row r="218" spans="1:35" x14ac:dyDescent="0.2">
      <c r="A218" s="335">
        <v>12589</v>
      </c>
      <c r="B218" s="352">
        <f t="shared" si="121"/>
        <v>12.589</v>
      </c>
      <c r="C218" s="325">
        <f t="shared" si="96"/>
        <v>15.999399199297804</v>
      </c>
      <c r="D218" s="326">
        <f t="shared" si="97"/>
        <v>1.5082532134349693</v>
      </c>
      <c r="E218" s="326">
        <f t="shared" si="98"/>
        <v>1.0001251252703154</v>
      </c>
      <c r="F218" s="327">
        <f t="shared" si="99"/>
        <v>1.5818484425749853E-2</v>
      </c>
      <c r="G218" s="326">
        <f t="shared" si="100"/>
        <v>1</v>
      </c>
      <c r="H218" s="327">
        <f t="shared" si="101"/>
        <v>0</v>
      </c>
      <c r="I218" s="325">
        <f t="shared" si="102"/>
        <v>16708.949731258963</v>
      </c>
      <c r="J218" s="328">
        <f t="shared" si="103"/>
        <v>1.5707364786286935</v>
      </c>
      <c r="K218" s="336">
        <f t="shared" si="123"/>
        <v>3.3876884912426521</v>
      </c>
      <c r="L218" s="337">
        <f t="shared" si="124"/>
        <v>1.2711455877439137</v>
      </c>
      <c r="M218" s="325">
        <f t="shared" si="104"/>
        <v>1.0029847082499068</v>
      </c>
      <c r="N218" s="337">
        <f t="shared" si="105"/>
        <v>7.7166098420046292E-2</v>
      </c>
      <c r="O218" s="343">
        <f t="shared" si="106"/>
        <v>1.0026721790095425</v>
      </c>
      <c r="P218" s="691">
        <f t="shared" si="107"/>
        <v>7.3023860430343326E-2</v>
      </c>
      <c r="Q218" s="336">
        <f t="shared" si="122"/>
        <v>15.132854661107281</v>
      </c>
      <c r="R218" s="692">
        <f t="shared" si="108"/>
        <v>3.4130982600888468E-2</v>
      </c>
      <c r="S218" s="329">
        <f t="shared" si="109"/>
        <v>0.99952050011556992</v>
      </c>
      <c r="T218" s="330">
        <f t="shared" si="110"/>
        <v>0.10010916477575617</v>
      </c>
      <c r="U218" s="331">
        <f t="shared" si="111"/>
        <v>10.228818222895706</v>
      </c>
      <c r="V218" s="332">
        <f t="shared" si="112"/>
        <v>-110.60423156606967</v>
      </c>
      <c r="W218" s="334">
        <f t="shared" si="113"/>
        <v>69.395768433930328</v>
      </c>
      <c r="Y218" s="307">
        <f t="shared" si="114"/>
        <v>1000000000</v>
      </c>
      <c r="Z218" s="307">
        <f t="shared" si="115"/>
        <v>158482921</v>
      </c>
      <c r="AB218" s="333">
        <f t="shared" si="116"/>
        <v>23.820424492027158</v>
      </c>
      <c r="AC218" s="334">
        <f t="shared" si="117"/>
        <v>-21.58658541388829</v>
      </c>
      <c r="AE218" s="333">
        <f t="shared" si="118"/>
        <v>43.963031742365104</v>
      </c>
      <c r="AF218" s="334">
        <f t="shared" si="119"/>
        <v>-91.24604390747335</v>
      </c>
      <c r="AH218">
        <f t="shared" si="120"/>
        <v>0</v>
      </c>
      <c r="AI218">
        <f t="shared" ref="AI218:AI281" si="125">IF(AH218&gt;0,W218,0)</f>
        <v>0</v>
      </c>
    </row>
    <row r="219" spans="1:35" x14ac:dyDescent="0.2">
      <c r="A219" s="335">
        <v>12662.25</v>
      </c>
      <c r="B219" s="352">
        <f t="shared" si="121"/>
        <v>12.66225</v>
      </c>
      <c r="C219" s="325">
        <f t="shared" si="96"/>
        <v>16.092130225234776</v>
      </c>
      <c r="D219" s="326">
        <f t="shared" si="97"/>
        <v>1.5086140852052583</v>
      </c>
      <c r="E219" s="326">
        <f t="shared" si="98"/>
        <v>1.0001265855148425</v>
      </c>
      <c r="F219" s="327">
        <f t="shared" si="99"/>
        <v>1.5910509925256444E-2</v>
      </c>
      <c r="G219" s="326">
        <f t="shared" si="100"/>
        <v>1</v>
      </c>
      <c r="H219" s="327">
        <f t="shared" si="101"/>
        <v>0</v>
      </c>
      <c r="I219" s="325">
        <f t="shared" si="102"/>
        <v>16806.171954107758</v>
      </c>
      <c r="J219" s="328">
        <f t="shared" si="103"/>
        <v>1.5707368248450582</v>
      </c>
      <c r="K219" s="336">
        <f t="shared" si="123"/>
        <v>3.4056869732449488</v>
      </c>
      <c r="L219" s="337">
        <f t="shared" si="124"/>
        <v>1.272777944638473</v>
      </c>
      <c r="M219" s="325">
        <f t="shared" si="104"/>
        <v>1.0030194903439995</v>
      </c>
      <c r="N219" s="337">
        <f t="shared" si="105"/>
        <v>7.761329913162765E-2</v>
      </c>
      <c r="O219" s="343">
        <f t="shared" si="106"/>
        <v>1.0027033239676486</v>
      </c>
      <c r="P219" s="691">
        <f t="shared" si="107"/>
        <v>7.3447232979368879E-2</v>
      </c>
      <c r="Q219" s="336">
        <f t="shared" si="122"/>
        <v>15.132954546516688</v>
      </c>
      <c r="R219" s="692">
        <f t="shared" si="108"/>
        <v>3.4329427316553113E-2</v>
      </c>
      <c r="S219" s="329">
        <f t="shared" si="109"/>
        <v>0.99951508013694668</v>
      </c>
      <c r="T219" s="330">
        <f t="shared" si="110"/>
        <v>0.1006941759148985</v>
      </c>
      <c r="U219" s="331">
        <f t="shared" si="111"/>
        <v>10.174224166052174</v>
      </c>
      <c r="V219" s="332">
        <f t="shared" si="112"/>
        <v>-110.57238196576937</v>
      </c>
      <c r="W219" s="334">
        <f t="shared" si="113"/>
        <v>69.427618034230633</v>
      </c>
      <c r="Y219" s="307">
        <f t="shared" si="114"/>
        <v>1000000000</v>
      </c>
      <c r="Z219" s="307">
        <f t="shared" si="115"/>
        <v>160332575.0625</v>
      </c>
      <c r="AB219" s="333">
        <f t="shared" si="116"/>
        <v>23.815755465481828</v>
      </c>
      <c r="AC219" s="334">
        <f t="shared" si="117"/>
        <v>-21.518700803198747</v>
      </c>
      <c r="AE219" s="333">
        <f t="shared" si="118"/>
        <v>43.912894247144578</v>
      </c>
      <c r="AF219" s="334">
        <f t="shared" si="119"/>
        <v>-91.294966333423929</v>
      </c>
      <c r="AH219">
        <f t="shared" si="120"/>
        <v>0</v>
      </c>
      <c r="AI219">
        <f t="shared" si="125"/>
        <v>0</v>
      </c>
    </row>
    <row r="220" spans="1:35" x14ac:dyDescent="0.2">
      <c r="A220" s="335">
        <v>12735.5</v>
      </c>
      <c r="B220" s="352">
        <f t="shared" si="121"/>
        <v>12.7355</v>
      </c>
      <c r="C220" s="325">
        <f t="shared" si="96"/>
        <v>16.184863322810468</v>
      </c>
      <c r="D220" s="326">
        <f t="shared" si="97"/>
        <v>1.508970821706185</v>
      </c>
      <c r="E220" s="326">
        <f t="shared" si="98"/>
        <v>1.0001280542291093</v>
      </c>
      <c r="F220" s="327">
        <f t="shared" si="99"/>
        <v>1.6002535155258648E-2</v>
      </c>
      <c r="G220" s="326">
        <f t="shared" si="100"/>
        <v>1</v>
      </c>
      <c r="H220" s="327">
        <f t="shared" si="101"/>
        <v>0</v>
      </c>
      <c r="I220" s="325">
        <f t="shared" si="102"/>
        <v>16903.394176958551</v>
      </c>
      <c r="J220" s="328">
        <f t="shared" si="103"/>
        <v>1.5707371670787997</v>
      </c>
      <c r="K220" s="336">
        <f t="shared" si="123"/>
        <v>3.4236944345767548</v>
      </c>
      <c r="L220" s="337">
        <f t="shared" si="124"/>
        <v>1.274393134521679</v>
      </c>
      <c r="M220" s="325">
        <f t="shared" si="104"/>
        <v>1.003054473016497</v>
      </c>
      <c r="N220" s="337">
        <f t="shared" si="105"/>
        <v>7.806046873935954E-2</v>
      </c>
      <c r="O220" s="343">
        <f t="shared" si="106"/>
        <v>1.0027346486434421</v>
      </c>
      <c r="P220" s="691">
        <f t="shared" si="107"/>
        <v>7.3870579152593263E-2</v>
      </c>
      <c r="Q220" s="336">
        <f t="shared" si="122"/>
        <v>15.13305501076611</v>
      </c>
      <c r="R220" s="692">
        <f t="shared" si="108"/>
        <v>3.4527869443756784E-2</v>
      </c>
      <c r="S220" s="329">
        <f t="shared" si="109"/>
        <v>0.99950963281760796</v>
      </c>
      <c r="T220" s="330">
        <f t="shared" si="110"/>
        <v>0.10127923075949903</v>
      </c>
      <c r="U220" s="331">
        <f t="shared" si="111"/>
        <v>10.119988096633907</v>
      </c>
      <c r="V220" s="332">
        <f t="shared" si="112"/>
        <v>-110.5412809014728</v>
      </c>
      <c r="W220" s="334">
        <f t="shared" si="113"/>
        <v>69.458719098527197</v>
      </c>
      <c r="Y220" s="307">
        <f t="shared" si="114"/>
        <v>1000000000</v>
      </c>
      <c r="Z220" s="307">
        <f t="shared" si="115"/>
        <v>162192960.25</v>
      </c>
      <c r="AB220" s="333">
        <f t="shared" si="116"/>
        <v>23.811155577489899</v>
      </c>
      <c r="AC220" s="334">
        <f t="shared" si="117"/>
        <v>-21.451797779500929</v>
      </c>
      <c r="AE220" s="333">
        <f t="shared" si="118"/>
        <v>43.863044384282219</v>
      </c>
      <c r="AF220" s="334">
        <f t="shared" si="119"/>
        <v>-91.343654345472359</v>
      </c>
      <c r="AH220">
        <f t="shared" si="120"/>
        <v>0</v>
      </c>
      <c r="AI220">
        <f t="shared" si="125"/>
        <v>0</v>
      </c>
    </row>
    <row r="221" spans="1:35" x14ac:dyDescent="0.2">
      <c r="A221" s="335">
        <v>12808.75</v>
      </c>
      <c r="B221" s="352">
        <f t="shared" si="121"/>
        <v>12.80875</v>
      </c>
      <c r="C221" s="325">
        <f t="shared" si="96"/>
        <v>16.277598456618652</v>
      </c>
      <c r="D221" s="326">
        <f t="shared" si="97"/>
        <v>1.5093234935233173</v>
      </c>
      <c r="E221" s="326">
        <f t="shared" si="98"/>
        <v>1.0001295314130787</v>
      </c>
      <c r="F221" s="327">
        <f t="shared" si="99"/>
        <v>1.6094560114199002E-2</v>
      </c>
      <c r="G221" s="326">
        <f t="shared" si="100"/>
        <v>1</v>
      </c>
      <c r="H221" s="327">
        <f t="shared" si="101"/>
        <v>0</v>
      </c>
      <c r="I221" s="325">
        <f t="shared" si="102"/>
        <v>17000.616399811293</v>
      </c>
      <c r="J221" s="328">
        <f t="shared" si="103"/>
        <v>1.5707375053982449</v>
      </c>
      <c r="K221" s="336">
        <f t="shared" si="123"/>
        <v>3.4417107342951461</v>
      </c>
      <c r="L221" s="337">
        <f t="shared" si="124"/>
        <v>1.2759914184913139</v>
      </c>
      <c r="M221" s="325">
        <f t="shared" si="104"/>
        <v>1.0030896562464138</v>
      </c>
      <c r="N221" s="337">
        <f t="shared" si="105"/>
        <v>7.850760706767293E-2</v>
      </c>
      <c r="O221" s="343">
        <f t="shared" si="106"/>
        <v>1.0027661530200802</v>
      </c>
      <c r="P221" s="691">
        <f t="shared" si="107"/>
        <v>7.4293898800749533E-2</v>
      </c>
      <c r="Q221" s="336">
        <f t="shared" si="122"/>
        <v>15.133156053844035</v>
      </c>
      <c r="R221" s="692">
        <f t="shared" si="108"/>
        <v>3.4726308967594599E-2</v>
      </c>
      <c r="S221" s="329">
        <f t="shared" si="109"/>
        <v>0.99950415822885119</v>
      </c>
      <c r="T221" s="330">
        <f t="shared" si="110"/>
        <v>0.10186432955848063</v>
      </c>
      <c r="U221" s="331">
        <f t="shared" si="111"/>
        <v>10.066105252791292</v>
      </c>
      <c r="V221" s="332">
        <f t="shared" si="112"/>
        <v>-110.51091747353958</v>
      </c>
      <c r="W221" s="334">
        <f t="shared" si="113"/>
        <v>69.489082526460422</v>
      </c>
      <c r="Y221" s="307">
        <f t="shared" si="114"/>
        <v>1000000000</v>
      </c>
      <c r="Z221" s="307">
        <f t="shared" si="115"/>
        <v>164064076.5625</v>
      </c>
      <c r="AB221" s="333">
        <f t="shared" si="116"/>
        <v>23.806623324933355</v>
      </c>
      <c r="AC221" s="334">
        <f t="shared" si="117"/>
        <v>-21.385861376849313</v>
      </c>
      <c r="AE221" s="333">
        <f t="shared" si="118"/>
        <v>43.813478895324458</v>
      </c>
      <c r="AF221" s="334">
        <f t="shared" si="119"/>
        <v>-91.392112002225289</v>
      </c>
      <c r="AH221">
        <f t="shared" si="120"/>
        <v>0</v>
      </c>
      <c r="AI221">
        <f t="shared" si="125"/>
        <v>0</v>
      </c>
    </row>
    <row r="222" spans="1:35" x14ac:dyDescent="0.2">
      <c r="A222" s="335">
        <v>12882</v>
      </c>
      <c r="B222" s="352">
        <f t="shared" si="121"/>
        <v>12.882</v>
      </c>
      <c r="C222" s="325">
        <f t="shared" si="96"/>
        <v>16.370335592054605</v>
      </c>
      <c r="D222" s="326">
        <f t="shared" si="97"/>
        <v>1.509672169646866</v>
      </c>
      <c r="E222" s="326">
        <f t="shared" si="98"/>
        <v>1.0001310170667128</v>
      </c>
      <c r="F222" s="327">
        <f t="shared" si="99"/>
        <v>1.6186584800520064E-2</v>
      </c>
      <c r="G222" s="326">
        <f t="shared" si="100"/>
        <v>1</v>
      </c>
      <c r="H222" s="327">
        <f t="shared" si="101"/>
        <v>0</v>
      </c>
      <c r="I222" s="325">
        <f t="shared" si="102"/>
        <v>17097.838622665964</v>
      </c>
      <c r="J222" s="328">
        <f t="shared" si="103"/>
        <v>1.5707378398701666</v>
      </c>
      <c r="K222" s="336">
        <f t="shared" si="123"/>
        <v>3.4597357343245303</v>
      </c>
      <c r="L222" s="337">
        <f t="shared" si="124"/>
        <v>1.2775730525534583</v>
      </c>
      <c r="M222" s="325">
        <f t="shared" si="104"/>
        <v>1.0031250400126468</v>
      </c>
      <c r="N222" s="337">
        <f t="shared" si="105"/>
        <v>7.8954713941073382E-2</v>
      </c>
      <c r="O222" s="343">
        <f t="shared" si="106"/>
        <v>1.0027978370806268</v>
      </c>
      <c r="P222" s="691">
        <f t="shared" si="107"/>
        <v>7.4717191774627503E-2</v>
      </c>
      <c r="Q222" s="336">
        <f t="shared" si="122"/>
        <v>15.133257675738873</v>
      </c>
      <c r="R222" s="692">
        <f t="shared" si="108"/>
        <v>3.4924745873162827E-2</v>
      </c>
      <c r="S222" s="329">
        <f t="shared" si="109"/>
        <v>0.99949865644238722</v>
      </c>
      <c r="T222" s="330">
        <f t="shared" si="110"/>
        <v>0.10244947256069732</v>
      </c>
      <c r="U222" s="331">
        <f t="shared" si="111"/>
        <v>10.012570966666763</v>
      </c>
      <c r="V222" s="332">
        <f t="shared" si="112"/>
        <v>-110.48128098256304</v>
      </c>
      <c r="W222" s="334">
        <f t="shared" si="113"/>
        <v>69.518719017436965</v>
      </c>
      <c r="Y222" s="307">
        <f t="shared" si="114"/>
        <v>1000000000</v>
      </c>
      <c r="Z222" s="307">
        <f t="shared" si="115"/>
        <v>165945924</v>
      </c>
      <c r="AB222" s="333">
        <f t="shared" si="116"/>
        <v>23.802157243808352</v>
      </c>
      <c r="AC222" s="334">
        <f t="shared" si="117"/>
        <v>-21.320876920946667</v>
      </c>
      <c r="AE222" s="333">
        <f t="shared" si="118"/>
        <v>43.764194576697157</v>
      </c>
      <c r="AF222" s="334">
        <f t="shared" si="119"/>
        <v>-91.440343270878145</v>
      </c>
      <c r="AH222">
        <f t="shared" si="120"/>
        <v>0</v>
      </c>
      <c r="AI222">
        <f t="shared" si="125"/>
        <v>0</v>
      </c>
    </row>
    <row r="223" spans="1:35" x14ac:dyDescent="0.2">
      <c r="A223" s="335">
        <v>12957.25</v>
      </c>
      <c r="B223" s="352">
        <f t="shared" si="121"/>
        <v>12.95725</v>
      </c>
      <c r="C223" s="325">
        <f t="shared" si="96"/>
        <v>16.465606848260833</v>
      </c>
      <c r="D223" s="326">
        <f t="shared" si="97"/>
        <v>1.5100262759635557</v>
      </c>
      <c r="E223" s="326">
        <f t="shared" si="98"/>
        <v>1.0001325521039319</v>
      </c>
      <c r="F223" s="327">
        <f t="shared" si="99"/>
        <v>1.6281121820740117E-2</v>
      </c>
      <c r="G223" s="326">
        <f t="shared" si="100"/>
        <v>1</v>
      </c>
      <c r="H223" s="327">
        <f t="shared" si="101"/>
        <v>0</v>
      </c>
      <c r="I223" s="325">
        <f t="shared" si="102"/>
        <v>17197.71537720464</v>
      </c>
      <c r="J223" s="328">
        <f t="shared" si="103"/>
        <v>1.5707381795364597</v>
      </c>
      <c r="K223" s="336">
        <f t="shared" si="123"/>
        <v>3.4782618022737677</v>
      </c>
      <c r="L223" s="337">
        <f t="shared" si="124"/>
        <v>1.2791807968943214</v>
      </c>
      <c r="M223" s="325">
        <f t="shared" si="104"/>
        <v>1.0031615986903966</v>
      </c>
      <c r="N223" s="337">
        <f t="shared" si="105"/>
        <v>7.9413995571451193E-2</v>
      </c>
      <c r="O223" s="343">
        <f t="shared" si="106"/>
        <v>1.0028305733270324</v>
      </c>
      <c r="P223" s="691">
        <f t="shared" si="107"/>
        <v>7.5152014302433262E-2</v>
      </c>
      <c r="Q223" s="336">
        <f t="shared" si="122"/>
        <v>15.133362675019198</v>
      </c>
      <c r="R223" s="692">
        <f t="shared" si="108"/>
        <v>3.512859810909999E-2</v>
      </c>
      <c r="S223" s="329">
        <f t="shared" si="109"/>
        <v>0.99949297619054434</v>
      </c>
      <c r="T223" s="330">
        <f t="shared" si="110"/>
        <v>0.1030506384551642</v>
      </c>
      <c r="U223" s="331">
        <f t="shared" si="111"/>
        <v>9.9579331484497828</v>
      </c>
      <c r="V223" s="332">
        <f t="shared" si="112"/>
        <v>-110.45158124853724</v>
      </c>
      <c r="W223" s="334">
        <f t="shared" si="113"/>
        <v>69.548418751462762</v>
      </c>
      <c r="Y223" s="307">
        <f t="shared" si="114"/>
        <v>1000000000</v>
      </c>
      <c r="Z223" s="307">
        <f t="shared" si="115"/>
        <v>167890327.5625</v>
      </c>
      <c r="AB223" s="333">
        <f t="shared" si="116"/>
        <v>23.797636629815631</v>
      </c>
      <c r="AC223" s="334">
        <f t="shared" si="117"/>
        <v>-21.255094316077578</v>
      </c>
      <c r="AE223" s="333">
        <f t="shared" si="118"/>
        <v>43.713854092217552</v>
      </c>
      <c r="AF223" s="334">
        <f t="shared" si="119"/>
        <v>-91.489659764653538</v>
      </c>
      <c r="AH223">
        <f t="shared" si="120"/>
        <v>0</v>
      </c>
      <c r="AI223">
        <f t="shared" si="125"/>
        <v>0</v>
      </c>
    </row>
    <row r="224" spans="1:35" x14ac:dyDescent="0.2">
      <c r="A224" s="335">
        <v>13032.5</v>
      </c>
      <c r="B224" s="352">
        <f t="shared" si="121"/>
        <v>13.032500000000001</v>
      </c>
      <c r="C224" s="325">
        <f t="shared" si="96"/>
        <v>16.560880145355569</v>
      </c>
      <c r="D224" s="326">
        <f t="shared" si="97"/>
        <v>1.5103763080382899</v>
      </c>
      <c r="E224" s="326">
        <f t="shared" si="98"/>
        <v>1.0001340960795559</v>
      </c>
      <c r="F224" s="327">
        <f t="shared" si="99"/>
        <v>1.6375658549918497E-2</v>
      </c>
      <c r="G224" s="326">
        <f t="shared" si="100"/>
        <v>1</v>
      </c>
      <c r="H224" s="327">
        <f t="shared" si="101"/>
        <v>0</v>
      </c>
      <c r="I224" s="325">
        <f t="shared" si="102"/>
        <v>17297.592131745281</v>
      </c>
      <c r="J224" s="328">
        <f t="shared" si="103"/>
        <v>1.5707385152802684</v>
      </c>
      <c r="K224" s="336">
        <f t="shared" si="123"/>
        <v>3.4967967657000001</v>
      </c>
      <c r="L224" s="337">
        <f t="shared" si="124"/>
        <v>1.2807715014361973</v>
      </c>
      <c r="M224" s="325">
        <f t="shared" si="104"/>
        <v>1.0031983689592199</v>
      </c>
      <c r="N224" s="337">
        <f t="shared" si="105"/>
        <v>7.987324363056178E-2</v>
      </c>
      <c r="O224" s="343">
        <f t="shared" si="106"/>
        <v>1.0028634991668477</v>
      </c>
      <c r="P224" s="691">
        <f t="shared" si="107"/>
        <v>7.5586808360406252E-2</v>
      </c>
      <c r="Q224" s="336">
        <f t="shared" si="122"/>
        <v>15.133468285130689</v>
      </c>
      <c r="R224" s="692">
        <f t="shared" si="108"/>
        <v>3.5332447549955584E-2</v>
      </c>
      <c r="S224" s="329">
        <f t="shared" si="109"/>
        <v>0.99948726739028626</v>
      </c>
      <c r="T224" s="330">
        <f t="shared" si="110"/>
        <v>0.10365185153185109</v>
      </c>
      <c r="U224" s="331">
        <f t="shared" si="111"/>
        <v>9.9036534890715142</v>
      </c>
      <c r="V224" s="332">
        <f t="shared" si="112"/>
        <v>-110.42262642904795</v>
      </c>
      <c r="W224" s="334">
        <f t="shared" si="113"/>
        <v>69.577373570952048</v>
      </c>
      <c r="Y224" s="307">
        <f t="shared" si="114"/>
        <v>1000000000</v>
      </c>
      <c r="Z224" s="307">
        <f t="shared" si="115"/>
        <v>169846056.25</v>
      </c>
      <c r="AB224" s="333">
        <f t="shared" si="116"/>
        <v>23.793182839458559</v>
      </c>
      <c r="AC224" s="334">
        <f t="shared" si="117"/>
        <v>-21.190285871541594</v>
      </c>
      <c r="AE224" s="333">
        <f t="shared" si="118"/>
        <v>43.663803660281253</v>
      </c>
      <c r="AF224" s="334">
        <f t="shared" si="119"/>
        <v>-91.53874554157747</v>
      </c>
      <c r="AH224">
        <f t="shared" si="120"/>
        <v>0</v>
      </c>
      <c r="AI224">
        <f t="shared" si="125"/>
        <v>0</v>
      </c>
    </row>
    <row r="225" spans="1:35" x14ac:dyDescent="0.2">
      <c r="A225" s="335">
        <v>13107.75</v>
      </c>
      <c r="B225" s="352">
        <f t="shared" si="121"/>
        <v>13.107749999999999</v>
      </c>
      <c r="C225" s="325">
        <f t="shared" si="96"/>
        <v>16.656155448317133</v>
      </c>
      <c r="D225" s="326">
        <f t="shared" si="97"/>
        <v>1.5107223357000792</v>
      </c>
      <c r="E225" s="326">
        <f t="shared" si="98"/>
        <v>1.0001356489935442</v>
      </c>
      <c r="F225" s="327">
        <f t="shared" si="99"/>
        <v>1.647019498636677E-2</v>
      </c>
      <c r="G225" s="326">
        <f t="shared" si="100"/>
        <v>1</v>
      </c>
      <c r="H225" s="327">
        <f t="shared" si="101"/>
        <v>0</v>
      </c>
      <c r="I225" s="325">
        <f t="shared" si="102"/>
        <v>17397.468886287847</v>
      </c>
      <c r="J225" s="328">
        <f t="shared" si="103"/>
        <v>1.5707388471691484</v>
      </c>
      <c r="K225" s="336">
        <f t="shared" si="123"/>
        <v>3.5153404838965141</v>
      </c>
      <c r="L225" s="337">
        <f t="shared" si="124"/>
        <v>1.2823454277238766</v>
      </c>
      <c r="M225" s="325">
        <f t="shared" si="104"/>
        <v>1.0032353507958514</v>
      </c>
      <c r="N225" s="337">
        <f t="shared" si="105"/>
        <v>8.0332457928388307E-2</v>
      </c>
      <c r="O225" s="343">
        <f t="shared" si="106"/>
        <v>1.0028966145813989</v>
      </c>
      <c r="P225" s="691">
        <f t="shared" si="107"/>
        <v>7.6021573786966626E-2</v>
      </c>
      <c r="Q225" s="336">
        <f t="shared" si="122"/>
        <v>15.13357450606058</v>
      </c>
      <c r="R225" s="692">
        <f t="shared" si="108"/>
        <v>3.5536294179575482E-2</v>
      </c>
      <c r="S225" s="329">
        <f t="shared" si="109"/>
        <v>0.99948153012072161</v>
      </c>
      <c r="T225" s="330">
        <f t="shared" si="110"/>
        <v>0.10425311206032764</v>
      </c>
      <c r="U225" s="331">
        <f t="shared" si="111"/>
        <v>9.8497272218828975</v>
      </c>
      <c r="V225" s="332">
        <f t="shared" si="112"/>
        <v>-110.39440555644778</v>
      </c>
      <c r="W225" s="334">
        <f t="shared" si="113"/>
        <v>69.605594443552221</v>
      </c>
      <c r="Y225" s="307">
        <f t="shared" si="114"/>
        <v>1000000000</v>
      </c>
      <c r="Z225" s="307">
        <f t="shared" si="115"/>
        <v>171813110.0625</v>
      </c>
      <c r="AB225" s="333">
        <f t="shared" si="116"/>
        <v>23.788794406668043</v>
      </c>
      <c r="AC225" s="334">
        <f t="shared" si="117"/>
        <v>-21.126436594909531</v>
      </c>
      <c r="AE225" s="333">
        <f t="shared" si="118"/>
        <v>43.614039980616475</v>
      </c>
      <c r="AF225" s="334">
        <f t="shared" si="119"/>
        <v>-91.587604618099405</v>
      </c>
      <c r="AH225">
        <f t="shared" si="120"/>
        <v>0</v>
      </c>
      <c r="AI225">
        <f t="shared" si="125"/>
        <v>0</v>
      </c>
    </row>
    <row r="226" spans="1:35" x14ac:dyDescent="0.2">
      <c r="A226" s="335">
        <v>13183</v>
      </c>
      <c r="B226" s="352">
        <f t="shared" si="121"/>
        <v>13.183</v>
      </c>
      <c r="C226" s="325">
        <f t="shared" si="96"/>
        <v>16.751432722919869</v>
      </c>
      <c r="D226" s="326">
        <f t="shared" si="97"/>
        <v>1.5110644271931515</v>
      </c>
      <c r="E226" s="326">
        <f t="shared" si="98"/>
        <v>1.0001372108458548</v>
      </c>
      <c r="F226" s="327">
        <f t="shared" si="99"/>
        <v>1.6564731128396536E-2</v>
      </c>
      <c r="G226" s="326">
        <f t="shared" si="100"/>
        <v>1</v>
      </c>
      <c r="H226" s="327">
        <f t="shared" si="101"/>
        <v>0</v>
      </c>
      <c r="I226" s="325">
        <f t="shared" si="102"/>
        <v>17497.345640832311</v>
      </c>
      <c r="J226" s="328">
        <f t="shared" si="103"/>
        <v>1.5707391752691127</v>
      </c>
      <c r="K226" s="336">
        <f t="shared" si="123"/>
        <v>3.5338928190441958</v>
      </c>
      <c r="L226" s="337">
        <f t="shared" si="124"/>
        <v>1.2839028321463004</v>
      </c>
      <c r="M226" s="325">
        <f t="shared" si="104"/>
        <v>1.003272544176895</v>
      </c>
      <c r="N226" s="337">
        <f t="shared" si="105"/>
        <v>8.0791638274998787E-2</v>
      </c>
      <c r="O226" s="343">
        <f t="shared" si="106"/>
        <v>1.0029299195519077</v>
      </c>
      <c r="P226" s="691">
        <f t="shared" si="107"/>
        <v>7.6456310420599097E-2</v>
      </c>
      <c r="Q226" s="336">
        <f t="shared" si="122"/>
        <v>15.133681337796014</v>
      </c>
      <c r="R226" s="692">
        <f t="shared" si="108"/>
        <v>3.5740137981806884E-2</v>
      </c>
      <c r="S226" s="329">
        <f t="shared" si="109"/>
        <v>0.99947576446141984</v>
      </c>
      <c r="T226" s="330">
        <f t="shared" si="110"/>
        <v>0.1048544203100847</v>
      </c>
      <c r="U226" s="331">
        <f t="shared" si="111"/>
        <v>9.7961496745064398</v>
      </c>
      <c r="V226" s="332">
        <f t="shared" si="112"/>
        <v>-110.36690786760479</v>
      </c>
      <c r="W226" s="334">
        <f t="shared" si="113"/>
        <v>69.633092132395205</v>
      </c>
      <c r="Y226" s="307">
        <f t="shared" si="114"/>
        <v>1000000000</v>
      </c>
      <c r="Z226" s="307">
        <f t="shared" si="115"/>
        <v>173791489</v>
      </c>
      <c r="AB226" s="333">
        <f t="shared" si="116"/>
        <v>23.784469903812312</v>
      </c>
      <c r="AC226" s="334">
        <f t="shared" si="117"/>
        <v>-21.063531789077096</v>
      </c>
      <c r="AE226" s="333">
        <f t="shared" si="118"/>
        <v>43.564559808787415</v>
      </c>
      <c r="AF226" s="334">
        <f t="shared" si="119"/>
        <v>-91.636240919863084</v>
      </c>
      <c r="AH226">
        <f t="shared" si="120"/>
        <v>0</v>
      </c>
      <c r="AI226">
        <f t="shared" si="125"/>
        <v>0</v>
      </c>
    </row>
    <row r="227" spans="1:35" x14ac:dyDescent="0.2">
      <c r="A227" s="335">
        <v>13259.75</v>
      </c>
      <c r="B227" s="352">
        <f t="shared" si="121"/>
        <v>13.25975</v>
      </c>
      <c r="C227" s="325">
        <f t="shared" si="96"/>
        <v>16.848611208600335</v>
      </c>
      <c r="D227" s="326">
        <f t="shared" si="97"/>
        <v>1.5114093523028755</v>
      </c>
      <c r="E227" s="326">
        <f t="shared" si="98"/>
        <v>1.0001388130387474</v>
      </c>
      <c r="F227" s="327">
        <f t="shared" si="99"/>
        <v>1.6661151406764704E-2</v>
      </c>
      <c r="G227" s="326">
        <f t="shared" si="100"/>
        <v>1</v>
      </c>
      <c r="H227" s="327">
        <f t="shared" si="101"/>
        <v>0</v>
      </c>
      <c r="I227" s="325">
        <f t="shared" si="102"/>
        <v>17599.213294140372</v>
      </c>
      <c r="J227" s="328">
        <f t="shared" si="103"/>
        <v>1.5707395060732072</v>
      </c>
      <c r="K227" s="336">
        <f t="shared" si="123"/>
        <v>3.5528237045176119</v>
      </c>
      <c r="L227" s="337">
        <f t="shared" si="124"/>
        <v>1.2854745226335675</v>
      </c>
      <c r="M227" s="325">
        <f t="shared" si="104"/>
        <v>1.0033106968415308</v>
      </c>
      <c r="N227" s="337">
        <f t="shared" si="105"/>
        <v>8.1259936548245801E-2</v>
      </c>
      <c r="O227" s="343">
        <f t="shared" si="106"/>
        <v>1.0029640836506934</v>
      </c>
      <c r="P227" s="691">
        <f t="shared" si="107"/>
        <v>7.689968307376821E-2</v>
      </c>
      <c r="Q227" s="336">
        <f t="shared" si="122"/>
        <v>15.133790928244482</v>
      </c>
      <c r="R227" s="692">
        <f t="shared" si="108"/>
        <v>3.5948042186406064E-2</v>
      </c>
      <c r="S227" s="329">
        <f t="shared" si="109"/>
        <v>0.99946985471078076</v>
      </c>
      <c r="T227" s="330">
        <f t="shared" si="110"/>
        <v>0.1054677642078083</v>
      </c>
      <c r="U227" s="331">
        <f t="shared" si="111"/>
        <v>9.7418586027869143</v>
      </c>
      <c r="V227" s="332">
        <f t="shared" si="112"/>
        <v>-110.33959605068455</v>
      </c>
      <c r="W227" s="334">
        <f t="shared" si="113"/>
        <v>69.660403949315452</v>
      </c>
      <c r="Y227" s="307">
        <f t="shared" si="114"/>
        <v>1000000000</v>
      </c>
      <c r="Z227" s="307">
        <f t="shared" si="115"/>
        <v>175820970.0625</v>
      </c>
      <c r="AB227" s="333">
        <f t="shared" si="116"/>
        <v>23.780123610845262</v>
      </c>
      <c r="AC227" s="334">
        <f t="shared" si="117"/>
        <v>-21.000331025672402</v>
      </c>
      <c r="AE227" s="333">
        <f t="shared" si="118"/>
        <v>43.514382054965246</v>
      </c>
      <c r="AF227" s="334">
        <f t="shared" si="119"/>
        <v>-91.685621214674484</v>
      </c>
      <c r="AH227">
        <f t="shared" si="120"/>
        <v>0</v>
      </c>
      <c r="AI227">
        <f t="shared" si="125"/>
        <v>0</v>
      </c>
    </row>
    <row r="228" spans="1:35" x14ac:dyDescent="0.2">
      <c r="A228" s="335">
        <v>13336.5</v>
      </c>
      <c r="B228" s="352">
        <f t="shared" si="121"/>
        <v>13.336499999999999</v>
      </c>
      <c r="C228" s="325">
        <f t="shared" si="96"/>
        <v>16.945791675825372</v>
      </c>
      <c r="D228" s="326">
        <f t="shared" si="97"/>
        <v>1.5117503213102794</v>
      </c>
      <c r="E228" s="326">
        <f t="shared" si="98"/>
        <v>1.0001404245297709</v>
      </c>
      <c r="F228" s="327">
        <f t="shared" si="99"/>
        <v>1.6757571375312079E-2</v>
      </c>
      <c r="G228" s="326">
        <f t="shared" si="100"/>
        <v>1</v>
      </c>
      <c r="H228" s="327">
        <f t="shared" si="101"/>
        <v>0</v>
      </c>
      <c r="I228" s="325">
        <f t="shared" si="102"/>
        <v>17701.080947450337</v>
      </c>
      <c r="J228" s="328">
        <f t="shared" si="103"/>
        <v>1.5707398330698241</v>
      </c>
      <c r="K228" s="336">
        <f t="shared" si="123"/>
        <v>3.5717632731719817</v>
      </c>
      <c r="L228" s="337">
        <f t="shared" si="124"/>
        <v>1.2870295488919423</v>
      </c>
      <c r="M228" s="325">
        <f t="shared" si="104"/>
        <v>1.0033490695187246</v>
      </c>
      <c r="N228" s="337">
        <f t="shared" si="105"/>
        <v>8.1728199104423693E-2</v>
      </c>
      <c r="O228" s="343">
        <f t="shared" si="106"/>
        <v>1.0029984448980123</v>
      </c>
      <c r="P228" s="691">
        <f t="shared" si="107"/>
        <v>7.7343025435498022E-2</v>
      </c>
      <c r="Q228" s="336">
        <f t="shared" si="122"/>
        <v>15.133901154065013</v>
      </c>
      <c r="R228" s="692">
        <f t="shared" si="108"/>
        <v>3.6155943415836549E-2</v>
      </c>
      <c r="S228" s="329">
        <f t="shared" si="109"/>
        <v>0.99946391559596515</v>
      </c>
      <c r="T228" s="330">
        <f t="shared" si="110"/>
        <v>0.10608115831430369</v>
      </c>
      <c r="U228" s="331">
        <f t="shared" si="111"/>
        <v>9.6879207631339543</v>
      </c>
      <c r="V228" s="332">
        <f t="shared" si="112"/>
        <v>-110.31301455080262</v>
      </c>
      <c r="W228" s="334">
        <f t="shared" si="113"/>
        <v>69.68698544919738</v>
      </c>
      <c r="Y228" s="307">
        <f t="shared" si="114"/>
        <v>1000000000</v>
      </c>
      <c r="Z228" s="307">
        <f t="shared" si="115"/>
        <v>177862232.25</v>
      </c>
      <c r="AB228" s="333">
        <f t="shared" si="116"/>
        <v>23.775840939162759</v>
      </c>
      <c r="AC228" s="334">
        <f t="shared" si="117"/>
        <v>-20.93808278766344</v>
      </c>
      <c r="AE228" s="333">
        <f t="shared" si="118"/>
        <v>43.464492578919341</v>
      </c>
      <c r="AF228" s="334">
        <f t="shared" si="119"/>
        <v>-91.734777736021499</v>
      </c>
      <c r="AH228">
        <f t="shared" si="120"/>
        <v>0</v>
      </c>
      <c r="AI228">
        <f t="shared" si="125"/>
        <v>0</v>
      </c>
    </row>
    <row r="229" spans="1:35" x14ac:dyDescent="0.2">
      <c r="A229" s="335">
        <v>13413.25</v>
      </c>
      <c r="B229" s="352">
        <f t="shared" si="121"/>
        <v>13.41325</v>
      </c>
      <c r="C229" s="325">
        <f t="shared" si="96"/>
        <v>17.042974090698188</v>
      </c>
      <c r="D229" s="326">
        <f t="shared" si="97"/>
        <v>1.5120874018108323</v>
      </c>
      <c r="E229" s="326">
        <f t="shared" si="98"/>
        <v>1.0001420453188803</v>
      </c>
      <c r="F229" s="327">
        <f t="shared" si="99"/>
        <v>1.685399103224737E-2</v>
      </c>
      <c r="G229" s="326">
        <f t="shared" si="100"/>
        <v>1</v>
      </c>
      <c r="H229" s="327">
        <f t="shared" si="101"/>
        <v>0</v>
      </c>
      <c r="I229" s="325">
        <f t="shared" si="102"/>
        <v>17802.948600762178</v>
      </c>
      <c r="J229" s="328">
        <f t="shared" si="103"/>
        <v>1.5707401563243217</v>
      </c>
      <c r="K229" s="336">
        <f t="shared" si="123"/>
        <v>3.5907113876063717</v>
      </c>
      <c r="L229" s="337">
        <f t="shared" si="124"/>
        <v>1.2885681671513296</v>
      </c>
      <c r="M229" s="325">
        <f t="shared" si="104"/>
        <v>1.0033876621832345</v>
      </c>
      <c r="N229" s="337">
        <f t="shared" si="105"/>
        <v>8.2196425742290399E-2</v>
      </c>
      <c r="O229" s="343">
        <f t="shared" si="106"/>
        <v>1.003033003273603</v>
      </c>
      <c r="P229" s="691">
        <f t="shared" si="107"/>
        <v>7.7786337334630612E-2</v>
      </c>
      <c r="Q229" s="336">
        <f t="shared" si="122"/>
        <v>15.134012015243735</v>
      </c>
      <c r="R229" s="692">
        <f t="shared" si="108"/>
        <v>3.6363841652964662E-2</v>
      </c>
      <c r="S229" s="329">
        <f t="shared" si="109"/>
        <v>0.99945794720287617</v>
      </c>
      <c r="T229" s="330">
        <f t="shared" si="110"/>
        <v>0.10669460291524467</v>
      </c>
      <c r="U229" s="331">
        <f t="shared" si="111"/>
        <v>9.6343314857587252</v>
      </c>
      <c r="V229" s="332">
        <f t="shared" si="112"/>
        <v>-110.287152577512</v>
      </c>
      <c r="W229" s="334">
        <f t="shared" si="113"/>
        <v>69.712847422487997</v>
      </c>
      <c r="Y229" s="307">
        <f t="shared" si="114"/>
        <v>1000000000</v>
      </c>
      <c r="Z229" s="307">
        <f t="shared" si="115"/>
        <v>179915275.5625</v>
      </c>
      <c r="AB229" s="333">
        <f t="shared" si="116"/>
        <v>23.771620490102627</v>
      </c>
      <c r="AC229" s="334">
        <f t="shared" si="117"/>
        <v>-20.876772386372519</v>
      </c>
      <c r="AE229" s="333">
        <f t="shared" si="118"/>
        <v>43.414888109857358</v>
      </c>
      <c r="AF229" s="334">
        <f t="shared" si="119"/>
        <v>-91.783714373309763</v>
      </c>
      <c r="AH229">
        <f t="shared" si="120"/>
        <v>0</v>
      </c>
      <c r="AI229">
        <f t="shared" si="125"/>
        <v>0</v>
      </c>
    </row>
    <row r="230" spans="1:35" x14ac:dyDescent="0.2">
      <c r="A230" s="335">
        <v>13490</v>
      </c>
      <c r="B230" s="352">
        <f t="shared" si="121"/>
        <v>13.49</v>
      </c>
      <c r="C230" s="325">
        <f t="shared" si="96"/>
        <v>17.140158420090071</v>
      </c>
      <c r="D230" s="326">
        <f t="shared" si="97"/>
        <v>1.5124206598705257</v>
      </c>
      <c r="E230" s="326">
        <f t="shared" si="98"/>
        <v>1.00014367540603</v>
      </c>
      <c r="F230" s="327">
        <f t="shared" si="99"/>
        <v>1.6950410375779313E-2</v>
      </c>
      <c r="G230" s="326">
        <f t="shared" si="100"/>
        <v>1</v>
      </c>
      <c r="H230" s="327">
        <f t="shared" si="101"/>
        <v>0</v>
      </c>
      <c r="I230" s="325">
        <f t="shared" si="102"/>
        <v>17904.816254075857</v>
      </c>
      <c r="J230" s="328">
        <f t="shared" si="103"/>
        <v>1.5707404759005714</v>
      </c>
      <c r="K230" s="336">
        <f t="shared" si="123"/>
        <v>3.6096679132435154</v>
      </c>
      <c r="L230" s="337">
        <f t="shared" si="124"/>
        <v>1.29009062857357</v>
      </c>
      <c r="M230" s="325">
        <f t="shared" si="104"/>
        <v>1.0034264748096775</v>
      </c>
      <c r="N230" s="337">
        <f t="shared" si="105"/>
        <v>8.2664616260697765E-2</v>
      </c>
      <c r="O230" s="343">
        <f t="shared" si="106"/>
        <v>1.0030677587570904</v>
      </c>
      <c r="P230" s="691">
        <f t="shared" si="107"/>
        <v>7.8229618600079417E-2</v>
      </c>
      <c r="Q230" s="336">
        <f t="shared" si="122"/>
        <v>15.134123511766699</v>
      </c>
      <c r="R230" s="692">
        <f t="shared" si="108"/>
        <v>3.6571736880658207E-2</v>
      </c>
      <c r="S230" s="329">
        <f t="shared" si="109"/>
        <v>0.99945194961791517</v>
      </c>
      <c r="T230" s="330">
        <f t="shared" si="110"/>
        <v>0.10730809829621776</v>
      </c>
      <c r="U230" s="331">
        <f t="shared" si="111"/>
        <v>9.5810861927406243</v>
      </c>
      <c r="V230" s="332">
        <f t="shared" si="112"/>
        <v>-110.2619995430227</v>
      </c>
      <c r="W230" s="334">
        <f t="shared" si="113"/>
        <v>69.738000456977304</v>
      </c>
      <c r="Y230" s="307">
        <f t="shared" si="114"/>
        <v>1000000000</v>
      </c>
      <c r="Z230" s="307">
        <f t="shared" si="115"/>
        <v>181980100</v>
      </c>
      <c r="AB230" s="333">
        <f t="shared" si="116"/>
        <v>23.76746090168205</v>
      </c>
      <c r="AC230" s="334">
        <f t="shared" si="117"/>
        <v>-20.816385423420765</v>
      </c>
      <c r="AE230" s="333">
        <f t="shared" si="118"/>
        <v>43.365565432177668</v>
      </c>
      <c r="AF230" s="334">
        <f t="shared" si="119"/>
        <v>-91.832434928307308</v>
      </c>
      <c r="AH230">
        <f t="shared" si="120"/>
        <v>0</v>
      </c>
      <c r="AI230">
        <f t="shared" si="125"/>
        <v>0</v>
      </c>
    </row>
    <row r="231" spans="1:35" x14ac:dyDescent="0.2">
      <c r="A231" s="335">
        <v>13568.5</v>
      </c>
      <c r="B231" s="352">
        <f t="shared" si="121"/>
        <v>13.5685</v>
      </c>
      <c r="C231" s="325">
        <f t="shared" si="96"/>
        <v>17.239560625565201</v>
      </c>
      <c r="D231" s="326">
        <f t="shared" si="97"/>
        <v>1.5127576297828682</v>
      </c>
      <c r="E231" s="326">
        <f t="shared" si="98"/>
        <v>1.0001453522797124</v>
      </c>
      <c r="F231" s="327">
        <f t="shared" si="99"/>
        <v>1.7049027879900737E-2</v>
      </c>
      <c r="G231" s="326">
        <f t="shared" si="100"/>
        <v>1</v>
      </c>
      <c r="H231" s="327">
        <f t="shared" si="101"/>
        <v>0</v>
      </c>
      <c r="I231" s="325">
        <f t="shared" si="102"/>
        <v>18009.006622613539</v>
      </c>
      <c r="J231" s="328">
        <f t="shared" si="103"/>
        <v>1.5707407990236282</v>
      </c>
      <c r="K231" s="336">
        <f t="shared" si="123"/>
        <v>3.6290652360455447</v>
      </c>
      <c r="L231" s="337">
        <f t="shared" si="124"/>
        <v>1.2916313470736061</v>
      </c>
      <c r="M231" s="325">
        <f t="shared" si="104"/>
        <v>1.0034663999302094</v>
      </c>
      <c r="N231" s="337">
        <f t="shared" si="105"/>
        <v>8.3143444559177604E-2</v>
      </c>
      <c r="O231" s="343">
        <f t="shared" si="106"/>
        <v>1.0031035105901396</v>
      </c>
      <c r="P231" s="691">
        <f t="shared" si="107"/>
        <v>7.8682975388314425E-2</v>
      </c>
      <c r="Q231" s="336">
        <f t="shared" si="122"/>
        <v>15.134238207780445</v>
      </c>
      <c r="R231" s="692">
        <f t="shared" si="108"/>
        <v>3.678436925941532E-2</v>
      </c>
      <c r="S231" s="329">
        <f t="shared" si="109"/>
        <v>0.99944578517290317</v>
      </c>
      <c r="T231" s="330">
        <f t="shared" si="110"/>
        <v>0.10793563499881001</v>
      </c>
      <c r="U231" s="331">
        <f t="shared" si="111"/>
        <v>9.5269779985153829</v>
      </c>
      <c r="V231" s="332">
        <f t="shared" si="112"/>
        <v>-110.23699552861319</v>
      </c>
      <c r="W231" s="334">
        <f t="shared" si="113"/>
        <v>69.763004471386807</v>
      </c>
      <c r="Y231" s="307">
        <f t="shared" si="114"/>
        <v>1000000000</v>
      </c>
      <c r="Z231" s="307">
        <f t="shared" si="115"/>
        <v>184104192.25</v>
      </c>
      <c r="AB231" s="333">
        <f t="shared" si="116"/>
        <v>23.763268044867786</v>
      </c>
      <c r="AC231" s="334">
        <f t="shared" si="117"/>
        <v>-20.755562110083225</v>
      </c>
      <c r="AE231" s="333">
        <f t="shared" si="118"/>
        <v>43.31540634049172</v>
      </c>
      <c r="AF231" s="334">
        <f t="shared" si="119"/>
        <v>-91.882046719939936</v>
      </c>
      <c r="AH231">
        <f t="shared" si="120"/>
        <v>0</v>
      </c>
      <c r="AI231">
        <f t="shared" si="125"/>
        <v>0</v>
      </c>
    </row>
    <row r="232" spans="1:35" x14ac:dyDescent="0.2">
      <c r="A232" s="335">
        <v>13647</v>
      </c>
      <c r="B232" s="352">
        <f t="shared" si="121"/>
        <v>13.647</v>
      </c>
      <c r="C232" s="325">
        <f t="shared" si="96"/>
        <v>17.338964766125713</v>
      </c>
      <c r="D232" s="326">
        <f t="shared" si="97"/>
        <v>1.5130907360412733</v>
      </c>
      <c r="E232" s="326">
        <f t="shared" si="98"/>
        <v>1.0001470388801876</v>
      </c>
      <c r="F232" s="327">
        <f t="shared" si="99"/>
        <v>1.7147645052373494E-2</v>
      </c>
      <c r="G232" s="326">
        <f t="shared" si="100"/>
        <v>1</v>
      </c>
      <c r="H232" s="327">
        <f t="shared" si="101"/>
        <v>0</v>
      </c>
      <c r="I232" s="325">
        <f t="shared" si="102"/>
        <v>18113.19699115308</v>
      </c>
      <c r="J232" s="328">
        <f t="shared" si="103"/>
        <v>1.5707411184293609</v>
      </c>
      <c r="K232" s="336">
        <f t="shared" si="123"/>
        <v>3.6484710819583257</v>
      </c>
      <c r="L232" s="337">
        <f t="shared" si="124"/>
        <v>1.2931556793107088</v>
      </c>
      <c r="M232" s="325">
        <f t="shared" si="104"/>
        <v>1.0035065551037068</v>
      </c>
      <c r="N232" s="337">
        <f t="shared" si="105"/>
        <v>8.3622234646931595E-2</v>
      </c>
      <c r="O232" s="343">
        <f t="shared" si="106"/>
        <v>1.0031394685787178</v>
      </c>
      <c r="P232" s="691">
        <f t="shared" si="107"/>
        <v>7.9136299768157906E-2</v>
      </c>
      <c r="Q232" s="336">
        <f t="shared" si="122"/>
        <v>15.134353568412324</v>
      </c>
      <c r="R232" s="692">
        <f t="shared" si="108"/>
        <v>3.6996998453686661E-2</v>
      </c>
      <c r="S232" s="329">
        <f t="shared" si="109"/>
        <v>0.99943959037404617</v>
      </c>
      <c r="T232" s="330">
        <f t="shared" si="110"/>
        <v>0.10856322542758377</v>
      </c>
      <c r="U232" s="331">
        <f t="shared" si="111"/>
        <v>9.4732202508433598</v>
      </c>
      <c r="V232" s="332">
        <f t="shared" si="112"/>
        <v>-110.21271137624009</v>
      </c>
      <c r="W232" s="334">
        <f t="shared" si="113"/>
        <v>69.787288623759906</v>
      </c>
      <c r="Y232" s="307">
        <f t="shared" si="114"/>
        <v>1000000000</v>
      </c>
      <c r="Z232" s="307">
        <f t="shared" si="115"/>
        <v>186240609</v>
      </c>
      <c r="AB232" s="333">
        <f t="shared" si="116"/>
        <v>23.759136086278264</v>
      </c>
      <c r="AC232" s="334">
        <f t="shared" si="117"/>
        <v>-20.695675258154502</v>
      </c>
      <c r="AE232" s="333">
        <f t="shared" si="118"/>
        <v>43.265535404065574</v>
      </c>
      <c r="AF232" s="334">
        <f t="shared" si="119"/>
        <v>-91.931440237793709</v>
      </c>
      <c r="AH232">
        <f t="shared" si="120"/>
        <v>0</v>
      </c>
      <c r="AI232">
        <f t="shared" si="125"/>
        <v>0</v>
      </c>
    </row>
    <row r="233" spans="1:35" x14ac:dyDescent="0.2">
      <c r="A233" s="335">
        <v>13725.5</v>
      </c>
      <c r="B233" s="352">
        <f t="shared" si="121"/>
        <v>13.7255</v>
      </c>
      <c r="C233" s="325">
        <f t="shared" si="96"/>
        <v>17.438370808679828</v>
      </c>
      <c r="D233" s="326">
        <f t="shared" si="97"/>
        <v>1.5134200446445327</v>
      </c>
      <c r="E233" s="326">
        <f t="shared" si="98"/>
        <v>1.0001487352074068</v>
      </c>
      <c r="F233" s="327">
        <f t="shared" si="99"/>
        <v>1.7246261891281103E-2</v>
      </c>
      <c r="G233" s="326">
        <f t="shared" si="100"/>
        <v>1</v>
      </c>
      <c r="H233" s="327">
        <f t="shared" si="101"/>
        <v>0</v>
      </c>
      <c r="I233" s="325">
        <f t="shared" si="102"/>
        <v>18217.387359694447</v>
      </c>
      <c r="J233" s="328">
        <f t="shared" si="103"/>
        <v>1.5707414341815511</v>
      </c>
      <c r="K233" s="336">
        <f t="shared" si="123"/>
        <v>3.6678853157010436</v>
      </c>
      <c r="L233" s="337">
        <f t="shared" si="124"/>
        <v>1.2946638783432864</v>
      </c>
      <c r="M233" s="325">
        <f t="shared" si="104"/>
        <v>1.0035469403025548</v>
      </c>
      <c r="N233" s="337">
        <f t="shared" si="105"/>
        <v>8.410098630904414E-2</v>
      </c>
      <c r="O233" s="343">
        <f t="shared" si="106"/>
        <v>1.0031756327006565</v>
      </c>
      <c r="P233" s="691">
        <f t="shared" si="107"/>
        <v>7.9589591556785869E-2</v>
      </c>
      <c r="Q233" s="336">
        <f t="shared" si="122"/>
        <v>15.134469593647156</v>
      </c>
      <c r="R233" s="692">
        <f t="shared" si="108"/>
        <v>3.7209624445146167E-2</v>
      </c>
      <c r="S233" s="329">
        <f t="shared" si="109"/>
        <v>0.99943336531540938</v>
      </c>
      <c r="T233" s="330">
        <f t="shared" si="110"/>
        <v>0.10919086988782255</v>
      </c>
      <c r="U233" s="331">
        <f t="shared" si="111"/>
        <v>9.4198083345464099</v>
      </c>
      <c r="V233" s="332">
        <f t="shared" si="112"/>
        <v>-110.18913638654382</v>
      </c>
      <c r="W233" s="334">
        <f t="shared" si="113"/>
        <v>69.810863613456178</v>
      </c>
      <c r="Y233" s="307">
        <f t="shared" si="114"/>
        <v>1000000000</v>
      </c>
      <c r="Z233" s="307">
        <f t="shared" si="115"/>
        <v>188389350.25</v>
      </c>
      <c r="AB233" s="333">
        <f t="shared" si="116"/>
        <v>23.755063680455287</v>
      </c>
      <c r="AC233" s="334">
        <f t="shared" si="117"/>
        <v>-20.636710359796506</v>
      </c>
      <c r="AE233" s="333">
        <f t="shared" si="118"/>
        <v>43.215949353544985</v>
      </c>
      <c r="AF233" s="334">
        <f t="shared" si="119"/>
        <v>-91.980619280922141</v>
      </c>
      <c r="AH233">
        <f t="shared" si="120"/>
        <v>0</v>
      </c>
      <c r="AI233">
        <f t="shared" si="125"/>
        <v>0</v>
      </c>
    </row>
    <row r="234" spans="1:35" x14ac:dyDescent="0.2">
      <c r="A234" s="335">
        <v>13804</v>
      </c>
      <c r="B234" s="352">
        <f t="shared" si="121"/>
        <v>13.804</v>
      </c>
      <c r="C234" s="325">
        <f t="shared" si="96"/>
        <v>17.537778720885431</v>
      </c>
      <c r="D234" s="326">
        <f t="shared" si="97"/>
        <v>1.5137456200983939</v>
      </c>
      <c r="E234" s="326">
        <f t="shared" si="98"/>
        <v>1.0001504412613202</v>
      </c>
      <c r="F234" s="327">
        <f t="shared" si="99"/>
        <v>1.7344878394707108E-2</v>
      </c>
      <c r="G234" s="326">
        <f t="shared" si="100"/>
        <v>1</v>
      </c>
      <c r="H234" s="327">
        <f t="shared" si="101"/>
        <v>0</v>
      </c>
      <c r="I234" s="325">
        <f t="shared" si="102"/>
        <v>18321.577728237611</v>
      </c>
      <c r="J234" s="328">
        <f t="shared" si="103"/>
        <v>1.5707417463425291</v>
      </c>
      <c r="K234" s="336">
        <f t="shared" si="123"/>
        <v>3.687307804784119</v>
      </c>
      <c r="L234" s="337">
        <f t="shared" si="124"/>
        <v>1.2961561921949658</v>
      </c>
      <c r="M234" s="325">
        <f t="shared" si="104"/>
        <v>1.0035875554989837</v>
      </c>
      <c r="N234" s="337">
        <f t="shared" si="105"/>
        <v>8.4579699330704639E-2</v>
      </c>
      <c r="O234" s="343">
        <f t="shared" si="106"/>
        <v>1.0032120029336631</v>
      </c>
      <c r="P234" s="691">
        <f t="shared" si="107"/>
        <v>8.0042850571454133E-2</v>
      </c>
      <c r="Q234" s="336">
        <f t="shared" si="122"/>
        <v>15.134586283469663</v>
      </c>
      <c r="R234" s="692">
        <f t="shared" si="108"/>
        <v>3.7422247215469447E-2</v>
      </c>
      <c r="S234" s="329">
        <f t="shared" si="109"/>
        <v>0.99942711009160312</v>
      </c>
      <c r="T234" s="330">
        <f t="shared" si="110"/>
        <v>0.10981856868471183</v>
      </c>
      <c r="U234" s="331">
        <f t="shared" si="111"/>
        <v>9.36673772500626</v>
      </c>
      <c r="V234" s="332">
        <f t="shared" si="112"/>
        <v>-110.16626006300426</v>
      </c>
      <c r="W234" s="334">
        <f t="shared" si="113"/>
        <v>69.833739936995741</v>
      </c>
      <c r="Y234" s="307">
        <f t="shared" si="114"/>
        <v>1000000000</v>
      </c>
      <c r="Z234" s="307">
        <f t="shared" si="115"/>
        <v>190550416</v>
      </c>
      <c r="AB234" s="333">
        <f t="shared" si="116"/>
        <v>23.751049517328262</v>
      </c>
      <c r="AC234" s="334">
        <f t="shared" si="117"/>
        <v>-20.5786531955657</v>
      </c>
      <c r="AE234" s="333">
        <f t="shared" si="118"/>
        <v>43.166644974749957</v>
      </c>
      <c r="AF234" s="334">
        <f t="shared" si="119"/>
        <v>-92.029587562827942</v>
      </c>
      <c r="AH234">
        <f t="shared" si="120"/>
        <v>0</v>
      </c>
      <c r="AI234">
        <f t="shared" si="125"/>
        <v>0</v>
      </c>
    </row>
    <row r="235" spans="1:35" x14ac:dyDescent="0.2">
      <c r="A235" s="335">
        <v>13884.25</v>
      </c>
      <c r="B235" s="352">
        <f t="shared" si="121"/>
        <v>13.88425</v>
      </c>
      <c r="C235" s="325">
        <f t="shared" si="96"/>
        <v>17.639404632763664</v>
      </c>
      <c r="D235" s="326">
        <f t="shared" si="97"/>
        <v>1.5140746603470532</v>
      </c>
      <c r="E235" s="326">
        <f t="shared" si="98"/>
        <v>1.000152195402598</v>
      </c>
      <c r="F235" s="327">
        <f t="shared" si="99"/>
        <v>1.7445693006436867E-2</v>
      </c>
      <c r="G235" s="326">
        <f t="shared" si="100"/>
        <v>1</v>
      </c>
      <c r="H235" s="327">
        <f t="shared" si="101"/>
        <v>0</v>
      </c>
      <c r="I235" s="325">
        <f t="shared" si="102"/>
        <v>18428.090812004899</v>
      </c>
      <c r="J235" s="328">
        <f t="shared" si="103"/>
        <v>1.5707420618137495</v>
      </c>
      <c r="K235" s="336">
        <f t="shared" si="123"/>
        <v>3.7071716776172776</v>
      </c>
      <c r="L235" s="337">
        <f t="shared" si="124"/>
        <v>1.2976656070080261</v>
      </c>
      <c r="M235" s="325">
        <f t="shared" si="104"/>
        <v>1.0036293138463839</v>
      </c>
      <c r="N235" s="337">
        <f t="shared" si="105"/>
        <v>8.5069044132950355E-2</v>
      </c>
      <c r="O235" s="343">
        <f t="shared" si="106"/>
        <v>1.0032493969992318</v>
      </c>
      <c r="P235" s="691">
        <f t="shared" si="107"/>
        <v>8.0506180018181162E-2</v>
      </c>
      <c r="Q235" s="336">
        <f t="shared" si="122"/>
        <v>15.134706261617939</v>
      </c>
      <c r="R235" s="692">
        <f t="shared" si="108"/>
        <v>3.7639606635126763E-2</v>
      </c>
      <c r="S235" s="329">
        <f t="shared" si="109"/>
        <v>0.99942068433785547</v>
      </c>
      <c r="T235" s="330">
        <f t="shared" si="110"/>
        <v>0.11046031725173204</v>
      </c>
      <c r="U235" s="331">
        <f t="shared" si="111"/>
        <v>9.3128321979824147</v>
      </c>
      <c r="V235" s="332">
        <f t="shared" si="112"/>
        <v>-110.14358523745405</v>
      </c>
      <c r="W235" s="334">
        <f t="shared" si="113"/>
        <v>69.856414762545953</v>
      </c>
      <c r="Y235" s="307">
        <f t="shared" si="114"/>
        <v>1000000000</v>
      </c>
      <c r="Z235" s="307">
        <f t="shared" si="115"/>
        <v>192772398.0625</v>
      </c>
      <c r="AB235" s="333">
        <f t="shared" si="116"/>
        <v>23.747004742898881</v>
      </c>
      <c r="AC235" s="334">
        <f t="shared" si="117"/>
        <v>-20.520225564240878</v>
      </c>
      <c r="AE235" s="333">
        <f t="shared" si="118"/>
        <v>43.116529323763338</v>
      </c>
      <c r="AF235" s="334">
        <f t="shared" si="119"/>
        <v>-92.079433413056478</v>
      </c>
      <c r="AH235">
        <f t="shared" si="120"/>
        <v>0</v>
      </c>
      <c r="AI235">
        <f t="shared" si="125"/>
        <v>0</v>
      </c>
    </row>
    <row r="236" spans="1:35" x14ac:dyDescent="0.2">
      <c r="A236" s="335">
        <v>13964.5</v>
      </c>
      <c r="B236" s="352">
        <f t="shared" si="121"/>
        <v>13.964499999999999</v>
      </c>
      <c r="C236" s="325">
        <f t="shared" si="96"/>
        <v>17.741032432536247</v>
      </c>
      <c r="D236" s="326">
        <f t="shared" si="97"/>
        <v>1.5143999308796914</v>
      </c>
      <c r="E236" s="326">
        <f t="shared" si="98"/>
        <v>1.0001539597089728</v>
      </c>
      <c r="F236" s="327">
        <f t="shared" si="99"/>
        <v>1.7546507263510293E-2</v>
      </c>
      <c r="G236" s="326">
        <f t="shared" si="100"/>
        <v>1</v>
      </c>
      <c r="H236" s="327">
        <f t="shared" si="101"/>
        <v>0</v>
      </c>
      <c r="I236" s="325">
        <f t="shared" si="102"/>
        <v>18534.603895774002</v>
      </c>
      <c r="J236" s="328">
        <f t="shared" si="103"/>
        <v>1.5707423736591237</v>
      </c>
      <c r="K236" s="336">
        <f t="shared" si="123"/>
        <v>3.7270439065807093</v>
      </c>
      <c r="L236" s="337">
        <f t="shared" si="124"/>
        <v>1.299158929092642</v>
      </c>
      <c r="M236" s="325">
        <f t="shared" si="104"/>
        <v>1.0036713125011574</v>
      </c>
      <c r="N236" s="337">
        <f t="shared" si="105"/>
        <v>8.5558348099061335E-2</v>
      </c>
      <c r="O236" s="343">
        <f t="shared" si="106"/>
        <v>1.0032870064204571</v>
      </c>
      <c r="P236" s="691">
        <f t="shared" si="107"/>
        <v>8.0969474827435259E-2</v>
      </c>
      <c r="Q236" s="336">
        <f t="shared" si="122"/>
        <v>15.13482693428292</v>
      </c>
      <c r="R236" s="692">
        <f t="shared" si="108"/>
        <v>3.785696264970697E-2</v>
      </c>
      <c r="S236" s="329">
        <f t="shared" si="109"/>
        <v>0.99941422726070395</v>
      </c>
      <c r="T236" s="330">
        <f t="shared" si="110"/>
        <v>0.11110212324974249</v>
      </c>
      <c r="U236" s="331">
        <f t="shared" si="111"/>
        <v>9.2592740818849446</v>
      </c>
      <c r="V236" s="332">
        <f t="shared" si="112"/>
        <v>-110.12161902138169</v>
      </c>
      <c r="W236" s="334">
        <f t="shared" si="113"/>
        <v>69.87838097861831</v>
      </c>
      <c r="Y236" s="307">
        <f t="shared" si="114"/>
        <v>1000000000</v>
      </c>
      <c r="Z236" s="307">
        <f t="shared" si="115"/>
        <v>195007260.25</v>
      </c>
      <c r="AB236" s="333">
        <f t="shared" si="116"/>
        <v>23.743018176623046</v>
      </c>
      <c r="AC236" s="334">
        <f t="shared" si="117"/>
        <v>-20.462717430853981</v>
      </c>
      <c r="AE236" s="333">
        <f t="shared" si="118"/>
        <v>43.066701421227208</v>
      </c>
      <c r="AF236" s="334">
        <f t="shared" si="119"/>
        <v>-92.129066585340453</v>
      </c>
      <c r="AH236">
        <f t="shared" si="120"/>
        <v>0</v>
      </c>
      <c r="AI236">
        <f t="shared" si="125"/>
        <v>0</v>
      </c>
    </row>
    <row r="237" spans="1:35" x14ac:dyDescent="0.2">
      <c r="A237" s="335">
        <v>14044.75</v>
      </c>
      <c r="B237" s="352">
        <f t="shared" si="121"/>
        <v>14.044750000000001</v>
      </c>
      <c r="C237" s="325">
        <f t="shared" si="96"/>
        <v>17.842662087944117</v>
      </c>
      <c r="D237" s="326">
        <f t="shared" si="97"/>
        <v>1.5147214960424316</v>
      </c>
      <c r="E237" s="326">
        <f t="shared" si="98"/>
        <v>1.0001557341803908</v>
      </c>
      <c r="F237" s="327">
        <f t="shared" si="99"/>
        <v>1.7647321163880014E-2</v>
      </c>
      <c r="G237" s="326">
        <f t="shared" si="100"/>
        <v>1</v>
      </c>
      <c r="H237" s="327">
        <f t="shared" si="101"/>
        <v>0</v>
      </c>
      <c r="I237" s="325">
        <f t="shared" si="102"/>
        <v>18641.116979544884</v>
      </c>
      <c r="J237" s="328">
        <f t="shared" si="103"/>
        <v>1.5707426819408046</v>
      </c>
      <c r="K237" s="336">
        <f t="shared" si="123"/>
        <v>3.7469243587214232</v>
      </c>
      <c r="L237" s="337">
        <f t="shared" si="124"/>
        <v>1.3006364078897079</v>
      </c>
      <c r="M237" s="325">
        <f t="shared" si="104"/>
        <v>1.0037135514331386</v>
      </c>
      <c r="N237" s="337">
        <f t="shared" si="105"/>
        <v>8.6047610999881827E-2</v>
      </c>
      <c r="O237" s="343">
        <f t="shared" si="106"/>
        <v>1.0033248311731209</v>
      </c>
      <c r="P237" s="691">
        <f t="shared" si="107"/>
        <v>8.1432734804237669E-2</v>
      </c>
      <c r="Q237" s="336">
        <f t="shared" si="122"/>
        <v>15.134948301448011</v>
      </c>
      <c r="R237" s="692">
        <f t="shared" si="108"/>
        <v>3.8074315239638147E-2</v>
      </c>
      <c r="S237" s="329">
        <f t="shared" si="109"/>
        <v>0.99940773896299706</v>
      </c>
      <c r="T237" s="330">
        <f t="shared" si="110"/>
        <v>0.1117439870044758</v>
      </c>
      <c r="U237" s="331">
        <f t="shared" si="111"/>
        <v>9.2060588212835945</v>
      </c>
      <c r="V237" s="332">
        <f t="shared" si="112"/>
        <v>-110.10035082889985</v>
      </c>
      <c r="W237" s="334">
        <f t="shared" si="113"/>
        <v>69.899649171100151</v>
      </c>
      <c r="Y237" s="307">
        <f t="shared" si="114"/>
        <v>1000000000</v>
      </c>
      <c r="Z237" s="307">
        <f t="shared" si="115"/>
        <v>197255002.5625</v>
      </c>
      <c r="AB237" s="333">
        <f t="shared" si="116"/>
        <v>23.739088526528363</v>
      </c>
      <c r="AC237" s="334">
        <f t="shared" si="117"/>
        <v>-20.406114493925912</v>
      </c>
      <c r="AE237" s="333">
        <f t="shared" si="118"/>
        <v>43.017158004083086</v>
      </c>
      <c r="AF237" s="334">
        <f t="shared" si="119"/>
        <v>-92.178490785221584</v>
      </c>
      <c r="AH237">
        <f t="shared" si="120"/>
        <v>0</v>
      </c>
      <c r="AI237">
        <f t="shared" si="125"/>
        <v>0</v>
      </c>
    </row>
    <row r="238" spans="1:35" x14ac:dyDescent="0.2">
      <c r="A238" s="335">
        <v>14125</v>
      </c>
      <c r="B238" s="352">
        <f t="shared" si="121"/>
        <v>14.125</v>
      </c>
      <c r="C238" s="325">
        <f t="shared" si="96"/>
        <v>17.944293567458438</v>
      </c>
      <c r="D238" s="326">
        <f t="shared" si="97"/>
        <v>1.5150394187267482</v>
      </c>
      <c r="E238" s="326">
        <f t="shared" si="98"/>
        <v>1.0001575188167982</v>
      </c>
      <c r="F238" s="327">
        <f t="shared" si="99"/>
        <v>1.77481347054987E-2</v>
      </c>
      <c r="G238" s="326">
        <f t="shared" si="100"/>
        <v>1</v>
      </c>
      <c r="H238" s="327">
        <f t="shared" si="101"/>
        <v>0</v>
      </c>
      <c r="I238" s="325">
        <f t="shared" si="102"/>
        <v>18747.630063317516</v>
      </c>
      <c r="J238" s="328">
        <f t="shared" si="103"/>
        <v>1.5707429867195326</v>
      </c>
      <c r="K238" s="336">
        <f t="shared" si="123"/>
        <v>3.7668129038387845</v>
      </c>
      <c r="L238" s="337">
        <f t="shared" si="124"/>
        <v>1.3020982878519471</v>
      </c>
      <c r="M238" s="325">
        <f t="shared" si="104"/>
        <v>1.0037560306119944</v>
      </c>
      <c r="N238" s="337">
        <f t="shared" si="105"/>
        <v>8.6536832606373099E-2</v>
      </c>
      <c r="O238" s="343">
        <f t="shared" si="106"/>
        <v>1.0033628712328708</v>
      </c>
      <c r="P238" s="691">
        <f t="shared" si="107"/>
        <v>8.1895959753698774E-2</v>
      </c>
      <c r="Q238" s="336">
        <f t="shared" si="122"/>
        <v>15.135070363096517</v>
      </c>
      <c r="R238" s="692">
        <f t="shared" si="108"/>
        <v>3.8291664385350269E-2</v>
      </c>
      <c r="S238" s="329">
        <f t="shared" si="109"/>
        <v>0.99940121954817918</v>
      </c>
      <c r="T238" s="330">
        <f t="shared" si="110"/>
        <v>0.11238590884155486</v>
      </c>
      <c r="U238" s="331">
        <f t="shared" si="111"/>
        <v>9.1531819498537104</v>
      </c>
      <c r="V238" s="332">
        <f t="shared" si="112"/>
        <v>-110.07977027649162</v>
      </c>
      <c r="W238" s="334">
        <f t="shared" si="113"/>
        <v>69.920229723508385</v>
      </c>
      <c r="Y238" s="307">
        <f t="shared" si="114"/>
        <v>1000000000</v>
      </c>
      <c r="Z238" s="307">
        <f t="shared" si="115"/>
        <v>199515625</v>
      </c>
      <c r="AB238" s="333">
        <f t="shared" si="116"/>
        <v>23.735214534702447</v>
      </c>
      <c r="AC238" s="334">
        <f t="shared" si="117"/>
        <v>-20.350402737704563</v>
      </c>
      <c r="AE238" s="333">
        <f t="shared" si="118"/>
        <v>42.967895864320255</v>
      </c>
      <c r="AF238" s="334">
        <f t="shared" si="119"/>
        <v>-92.227709634890047</v>
      </c>
      <c r="AH238">
        <f t="shared" si="120"/>
        <v>0</v>
      </c>
      <c r="AI238">
        <f t="shared" si="125"/>
        <v>0</v>
      </c>
    </row>
    <row r="239" spans="1:35" x14ac:dyDescent="0.2">
      <c r="A239" s="335">
        <v>14207.25</v>
      </c>
      <c r="B239" s="352">
        <f t="shared" si="121"/>
        <v>14.20725</v>
      </c>
      <c r="C239" s="325">
        <f t="shared" si="96"/>
        <v>18.0484597793582</v>
      </c>
      <c r="D239" s="326">
        <f t="shared" si="97"/>
        <v>1.5153615492567454</v>
      </c>
      <c r="E239" s="326">
        <f t="shared" si="98"/>
        <v>1.0001593584782138</v>
      </c>
      <c r="F239" s="327">
        <f t="shared" si="99"/>
        <v>1.7851460359720121E-2</v>
      </c>
      <c r="G239" s="326">
        <f t="shared" si="100"/>
        <v>1</v>
      </c>
      <c r="H239" s="327">
        <f t="shared" si="101"/>
        <v>0</v>
      </c>
      <c r="I239" s="325">
        <f t="shared" si="102"/>
        <v>18856.797678774747</v>
      </c>
      <c r="J239" s="328">
        <f t="shared" si="103"/>
        <v>1.5707432955211085</v>
      </c>
      <c r="K239" s="336">
        <f t="shared" si="123"/>
        <v>3.7872053782566377</v>
      </c>
      <c r="L239" s="337">
        <f t="shared" si="124"/>
        <v>1.3035806647964323</v>
      </c>
      <c r="M239" s="325">
        <f t="shared" si="104"/>
        <v>1.0037998177327361</v>
      </c>
      <c r="N239" s="337">
        <f t="shared" si="105"/>
        <v>8.7038203561266306E-2</v>
      </c>
      <c r="O239" s="343">
        <f t="shared" si="106"/>
        <v>1.0034020827286843</v>
      </c>
      <c r="P239" s="691">
        <f t="shared" si="107"/>
        <v>8.2370692698712916E-2</v>
      </c>
      <c r="Q239" s="336">
        <f t="shared" si="122"/>
        <v>15.135196187423398</v>
      </c>
      <c r="R239" s="692">
        <f t="shared" si="108"/>
        <v>3.8514426737682711E-2</v>
      </c>
      <c r="S239" s="329">
        <f t="shared" si="109"/>
        <v>0.99939450547456499</v>
      </c>
      <c r="T239" s="330">
        <f t="shared" si="110"/>
        <v>0.11304388934292207</v>
      </c>
      <c r="U239" s="331">
        <f t="shared" si="111"/>
        <v>9.0993338373124359</v>
      </c>
      <c r="V239" s="332">
        <f t="shared" si="112"/>
        <v>-110.05937971674165</v>
      </c>
      <c r="W239" s="334">
        <f t="shared" si="113"/>
        <v>69.940620283258355</v>
      </c>
      <c r="Y239" s="307">
        <f t="shared" si="114"/>
        <v>1000000000</v>
      </c>
      <c r="Z239" s="307">
        <f t="shared" si="115"/>
        <v>201845952.5625</v>
      </c>
      <c r="AB239" s="333">
        <f t="shared" si="116"/>
        <v>23.731300469598175</v>
      </c>
      <c r="AC239" s="334">
        <f t="shared" si="117"/>
        <v>-20.294212927786685</v>
      </c>
      <c r="AE239" s="333">
        <f t="shared" si="118"/>
        <v>42.917694587524423</v>
      </c>
      <c r="AF239" s="334">
        <f t="shared" si="119"/>
        <v>-92.277945736596521</v>
      </c>
      <c r="AH239">
        <f t="shared" si="120"/>
        <v>0</v>
      </c>
      <c r="AI239">
        <f t="shared" si="125"/>
        <v>0</v>
      </c>
    </row>
    <row r="240" spans="1:35" x14ac:dyDescent="0.2">
      <c r="A240" s="335">
        <v>14289.5</v>
      </c>
      <c r="B240" s="352">
        <f t="shared" si="121"/>
        <v>14.2895</v>
      </c>
      <c r="C240" s="325">
        <f t="shared" si="96"/>
        <v>18.152627842617644</v>
      </c>
      <c r="D240" s="326">
        <f t="shared" si="97"/>
        <v>1.515679982755473</v>
      </c>
      <c r="E240" s="326">
        <f t="shared" si="98"/>
        <v>1.0001612088174823</v>
      </c>
      <c r="F240" s="327">
        <f t="shared" si="99"/>
        <v>1.7954785632731261E-2</v>
      </c>
      <c r="G240" s="326">
        <f t="shared" si="100"/>
        <v>1</v>
      </c>
      <c r="H240" s="327">
        <f t="shared" si="101"/>
        <v>0</v>
      </c>
      <c r="I240" s="325">
        <f t="shared" si="102"/>
        <v>18965.965294233753</v>
      </c>
      <c r="J240" s="328">
        <f t="shared" si="103"/>
        <v>1.5707436007677764</v>
      </c>
      <c r="K240" s="336">
        <f t="shared" si="123"/>
        <v>3.8076060856834508</v>
      </c>
      <c r="L240" s="337">
        <f t="shared" si="124"/>
        <v>1.3050471601306664</v>
      </c>
      <c r="M240" s="325">
        <f t="shared" si="104"/>
        <v>1.0038438571594333</v>
      </c>
      <c r="N240" s="337">
        <f t="shared" si="105"/>
        <v>8.7539530651086939E-2</v>
      </c>
      <c r="O240" s="343">
        <f t="shared" si="106"/>
        <v>1.0034415203448956</v>
      </c>
      <c r="P240" s="691">
        <f t="shared" si="107"/>
        <v>8.2845388434456116E-2</v>
      </c>
      <c r="Q240" s="336">
        <f t="shared" si="122"/>
        <v>15.135322741245227</v>
      </c>
      <c r="R240" s="692">
        <f t="shared" si="108"/>
        <v>3.8737185430360872E-2</v>
      </c>
      <c r="S240" s="329">
        <f t="shared" si="109"/>
        <v>0.99938775893546183</v>
      </c>
      <c r="T240" s="330">
        <f t="shared" si="110"/>
        <v>0.11370193155005992</v>
      </c>
      <c r="U240" s="331">
        <f t="shared" si="111"/>
        <v>9.0458319677459258</v>
      </c>
      <c r="V240" s="332">
        <f t="shared" si="112"/>
        <v>-110.03969004455195</v>
      </c>
      <c r="W240" s="334">
        <f t="shared" si="113"/>
        <v>69.960309955448054</v>
      </c>
      <c r="Y240" s="307">
        <f t="shared" si="114"/>
        <v>1000000000</v>
      </c>
      <c r="Z240" s="307">
        <f t="shared" si="115"/>
        <v>204189810.25</v>
      </c>
      <c r="AB240" s="333">
        <f t="shared" si="116"/>
        <v>23.727442301043688</v>
      </c>
      <c r="AC240" s="334">
        <f t="shared" si="117"/>
        <v>-20.238930350144358</v>
      </c>
      <c r="AE240" s="333">
        <f t="shared" si="118"/>
        <v>42.867782131140963</v>
      </c>
      <c r="AF240" s="334">
        <f t="shared" si="119"/>
        <v>-92.327973571336273</v>
      </c>
      <c r="AH240">
        <f t="shared" si="120"/>
        <v>0</v>
      </c>
      <c r="AI240">
        <f t="shared" si="125"/>
        <v>0</v>
      </c>
    </row>
    <row r="241" spans="1:35" x14ac:dyDescent="0.2">
      <c r="A241" s="335">
        <v>14371.75</v>
      </c>
      <c r="B241" s="352">
        <f t="shared" si="121"/>
        <v>14.37175</v>
      </c>
      <c r="C241" s="325">
        <f t="shared" si="96"/>
        <v>18.256797725546775</v>
      </c>
      <c r="D241" s="326">
        <f t="shared" si="97"/>
        <v>1.5159947824415068</v>
      </c>
      <c r="E241" s="326">
        <f t="shared" si="98"/>
        <v>1.0001630698345443</v>
      </c>
      <c r="F241" s="327">
        <f t="shared" si="99"/>
        <v>1.8058110522328016E-2</v>
      </c>
      <c r="G241" s="326">
        <f t="shared" si="100"/>
        <v>1</v>
      </c>
      <c r="H241" s="327">
        <f t="shared" si="101"/>
        <v>0</v>
      </c>
      <c r="I241" s="325">
        <f t="shared" si="102"/>
        <v>19075.132909694501</v>
      </c>
      <c r="J241" s="328">
        <f t="shared" si="103"/>
        <v>1.5707439025205709</v>
      </c>
      <c r="K241" s="336">
        <f t="shared" si="123"/>
        <v>3.8280148944902659</v>
      </c>
      <c r="L241" s="337">
        <f t="shared" si="124"/>
        <v>1.3064980215112669</v>
      </c>
      <c r="M241" s="325">
        <f t="shared" si="104"/>
        <v>1.0038881488588811</v>
      </c>
      <c r="N241" s="337">
        <f t="shared" si="105"/>
        <v>8.8040813629628664E-2</v>
      </c>
      <c r="O241" s="343">
        <f t="shared" si="106"/>
        <v>1.0034811840548445</v>
      </c>
      <c r="P241" s="691">
        <f t="shared" si="107"/>
        <v>8.3320046751396024E-2</v>
      </c>
      <c r="Q241" s="336">
        <f t="shared" si="122"/>
        <v>15.135450024543726</v>
      </c>
      <c r="R241" s="692">
        <f t="shared" si="108"/>
        <v>3.8959940442321025E-2</v>
      </c>
      <c r="S241" s="329">
        <f t="shared" si="109"/>
        <v>0.99938098004419174</v>
      </c>
      <c r="T241" s="330">
        <f t="shared" si="110"/>
        <v>0.11436003581318503</v>
      </c>
      <c r="U241" s="331">
        <f t="shared" si="111"/>
        <v>8.992671809108586</v>
      </c>
      <c r="V241" s="332">
        <f t="shared" si="112"/>
        <v>-110.02069071278218</v>
      </c>
      <c r="W241" s="334">
        <f t="shared" si="113"/>
        <v>69.979309287217816</v>
      </c>
      <c r="Y241" s="307">
        <f t="shared" si="114"/>
        <v>1000000000</v>
      </c>
      <c r="Z241" s="307">
        <f t="shared" si="115"/>
        <v>206547198.0625</v>
      </c>
      <c r="AB241" s="333">
        <f t="shared" si="116"/>
        <v>23.723638779268192</v>
      </c>
      <c r="AC241" s="334">
        <f t="shared" si="117"/>
        <v>-20.184540804489046</v>
      </c>
      <c r="AE241" s="333">
        <f t="shared" si="118"/>
        <v>42.81815521333457</v>
      </c>
      <c r="AF241" s="334">
        <f t="shared" si="119"/>
        <v>-92.377796781459068</v>
      </c>
      <c r="AH241">
        <f t="shared" si="120"/>
        <v>0</v>
      </c>
      <c r="AI241">
        <f t="shared" si="125"/>
        <v>0</v>
      </c>
    </row>
    <row r="242" spans="1:35" x14ac:dyDescent="0.2">
      <c r="A242" s="335">
        <v>14454</v>
      </c>
      <c r="B242" s="352">
        <f t="shared" si="121"/>
        <v>14.454000000000001</v>
      </c>
      <c r="C242" s="325">
        <f t="shared" si="96"/>
        <v>18.36096939717423</v>
      </c>
      <c r="D242" s="326">
        <f t="shared" si="97"/>
        <v>1.5163060101016483</v>
      </c>
      <c r="E242" s="326">
        <f t="shared" si="98"/>
        <v>1.0001649415293403</v>
      </c>
      <c r="F242" s="327">
        <f t="shared" si="99"/>
        <v>1.8161435026306336E-2</v>
      </c>
      <c r="G242" s="326">
        <f t="shared" si="100"/>
        <v>1</v>
      </c>
      <c r="H242" s="327">
        <f t="shared" si="101"/>
        <v>0</v>
      </c>
      <c r="I242" s="325">
        <f t="shared" si="102"/>
        <v>19184.300525156974</v>
      </c>
      <c r="J242" s="328">
        <f t="shared" si="103"/>
        <v>1.570744200839137</v>
      </c>
      <c r="K242" s="336">
        <f t="shared" si="123"/>
        <v>3.848431675788595</v>
      </c>
      <c r="L242" s="337">
        <f t="shared" si="124"/>
        <v>1.3079334916057761</v>
      </c>
      <c r="M242" s="325">
        <f t="shared" si="104"/>
        <v>1.0039326927976897</v>
      </c>
      <c r="N242" s="337">
        <f t="shared" si="105"/>
        <v>8.8542052250817155E-2</v>
      </c>
      <c r="O242" s="343">
        <f t="shared" si="106"/>
        <v>1.0035210738317224</v>
      </c>
      <c r="P242" s="691">
        <f t="shared" si="107"/>
        <v>8.3794667440100737E-2</v>
      </c>
      <c r="Q242" s="336">
        <f t="shared" si="122"/>
        <v>15.135578037300503</v>
      </c>
      <c r="R242" s="692">
        <f t="shared" si="108"/>
        <v>3.9182691752501532E-2</v>
      </c>
      <c r="S242" s="329">
        <f t="shared" si="109"/>
        <v>0.99937416891473507</v>
      </c>
      <c r="T242" s="330">
        <f t="shared" si="110"/>
        <v>0.11501820248238971</v>
      </c>
      <c r="U242" s="331">
        <f t="shared" si="111"/>
        <v>8.9398489179394272</v>
      </c>
      <c r="V242" s="332">
        <f t="shared" si="112"/>
        <v>-110.00237137802567</v>
      </c>
      <c r="W242" s="334">
        <f t="shared" si="113"/>
        <v>69.997628621974329</v>
      </c>
      <c r="Y242" s="307">
        <f t="shared" si="114"/>
        <v>1000000000</v>
      </c>
      <c r="Z242" s="307">
        <f t="shared" si="115"/>
        <v>208918116</v>
      </c>
      <c r="AB242" s="333">
        <f t="shared" si="116"/>
        <v>23.719888687604687</v>
      </c>
      <c r="AC242" s="334">
        <f t="shared" si="117"/>
        <v>-20.131030376313124</v>
      </c>
      <c r="AE242" s="333">
        <f t="shared" si="118"/>
        <v>42.768810607753181</v>
      </c>
      <c r="AF242" s="334">
        <f t="shared" si="119"/>
        <v>-92.427418927272981</v>
      </c>
      <c r="AH242">
        <f t="shared" si="120"/>
        <v>0</v>
      </c>
      <c r="AI242">
        <f t="shared" si="125"/>
        <v>0</v>
      </c>
    </row>
    <row r="243" spans="1:35" x14ac:dyDescent="0.2">
      <c r="A243" s="335">
        <v>14622.5</v>
      </c>
      <c r="B243" s="352">
        <f t="shared" si="121"/>
        <v>14.6225</v>
      </c>
      <c r="C243" s="325">
        <f t="shared" si="96"/>
        <v>18.57438429881239</v>
      </c>
      <c r="D243" s="326">
        <f t="shared" si="97"/>
        <v>1.5169326995533021</v>
      </c>
      <c r="E243" s="326">
        <f t="shared" si="98"/>
        <v>1.0001688092873837</v>
      </c>
      <c r="F243" s="327">
        <f t="shared" si="99"/>
        <v>1.8373107720669177E-2</v>
      </c>
      <c r="G243" s="326">
        <f t="shared" si="100"/>
        <v>1</v>
      </c>
      <c r="H243" s="327">
        <f t="shared" si="101"/>
        <v>0</v>
      </c>
      <c r="I243" s="325">
        <f t="shared" si="102"/>
        <v>19407.944819453107</v>
      </c>
      <c r="J243" s="328">
        <f t="shared" si="103"/>
        <v>1.5707448015041074</v>
      </c>
      <c r="K243" s="336">
        <f t="shared" si="123"/>
        <v>3.8902825189194852</v>
      </c>
      <c r="L243" s="337">
        <f t="shared" si="124"/>
        <v>1.3108271754656569</v>
      </c>
      <c r="M243" s="325">
        <f t="shared" si="104"/>
        <v>1.0040247344879611</v>
      </c>
      <c r="N243" s="337">
        <f t="shared" si="105"/>
        <v>8.9568766285681764E-2</v>
      </c>
      <c r="O243" s="343">
        <f t="shared" si="106"/>
        <v>1.003603499153529</v>
      </c>
      <c r="P243" s="691">
        <f t="shared" si="107"/>
        <v>8.4766872288575087E-2</v>
      </c>
      <c r="Q243" s="336">
        <f t="shared" si="122"/>
        <v>15.135842566205799</v>
      </c>
      <c r="R243" s="692">
        <f t="shared" si="108"/>
        <v>3.9639015614797685E-2</v>
      </c>
      <c r="S243" s="329">
        <f t="shared" si="109"/>
        <v>0.99936011522711021</v>
      </c>
      <c r="T243" s="330">
        <f t="shared" si="110"/>
        <v>0.11636674028042455</v>
      </c>
      <c r="U243" s="331">
        <f t="shared" si="111"/>
        <v>8.8326691781292954</v>
      </c>
      <c r="V243" s="332">
        <f t="shared" si="112"/>
        <v>-109.96692273182337</v>
      </c>
      <c r="W243" s="334">
        <f t="shared" si="113"/>
        <v>70.033077268176626</v>
      </c>
      <c r="Y243" s="307">
        <f t="shared" si="114"/>
        <v>1000000000</v>
      </c>
      <c r="Z243" s="307">
        <f t="shared" si="115"/>
        <v>213817506.25</v>
      </c>
      <c r="AB243" s="333">
        <f t="shared" si="116"/>
        <v>23.712368020643183</v>
      </c>
      <c r="AC243" s="334">
        <f t="shared" si="117"/>
        <v>-20.024095300306932</v>
      </c>
      <c r="AE243" s="333">
        <f t="shared" si="118"/>
        <v>42.668589943472483</v>
      </c>
      <c r="AF243" s="334">
        <f t="shared" si="119"/>
        <v>-92.528463160349673</v>
      </c>
      <c r="AH243">
        <f t="shared" si="120"/>
        <v>0</v>
      </c>
      <c r="AI243">
        <f t="shared" si="125"/>
        <v>0</v>
      </c>
    </row>
    <row r="244" spans="1:35" x14ac:dyDescent="0.2">
      <c r="A244" s="335">
        <v>14706.75</v>
      </c>
      <c r="B244" s="352">
        <f t="shared" si="121"/>
        <v>14.70675</v>
      </c>
      <c r="C244" s="325">
        <f t="shared" si="96"/>
        <v>18.681094438340288</v>
      </c>
      <c r="D244" s="326">
        <f t="shared" si="97"/>
        <v>1.5172406746912162</v>
      </c>
      <c r="E244" s="326">
        <f t="shared" si="98"/>
        <v>1.0001707599711425</v>
      </c>
      <c r="F244" s="327">
        <f t="shared" si="99"/>
        <v>1.8478943451560353E-2</v>
      </c>
      <c r="G244" s="326">
        <f t="shared" si="100"/>
        <v>1</v>
      </c>
      <c r="H244" s="327">
        <f t="shared" si="101"/>
        <v>0</v>
      </c>
      <c r="I244" s="325">
        <f t="shared" si="102"/>
        <v>19519.766966603755</v>
      </c>
      <c r="J244" s="328">
        <f t="shared" si="103"/>
        <v>1.5707450966750829</v>
      </c>
      <c r="K244" s="336">
        <f t="shared" si="123"/>
        <v>3.9112199599870263</v>
      </c>
      <c r="L244" s="337">
        <f t="shared" si="124"/>
        <v>1.3122507891923618</v>
      </c>
      <c r="M244" s="325">
        <f t="shared" si="104"/>
        <v>1.0040711521725409</v>
      </c>
      <c r="N244" s="337">
        <f t="shared" si="105"/>
        <v>9.0082052444582075E-2</v>
      </c>
      <c r="O244" s="343">
        <f t="shared" si="106"/>
        <v>1.0036450674911068</v>
      </c>
      <c r="P244" s="691">
        <f t="shared" si="107"/>
        <v>8.5252914600667792E-2</v>
      </c>
      <c r="Q244" s="336">
        <f t="shared" si="122"/>
        <v>15.135975978626401</v>
      </c>
      <c r="R244" s="692">
        <f t="shared" si="108"/>
        <v>3.98671716302351E-2</v>
      </c>
      <c r="S244" s="329">
        <f t="shared" si="109"/>
        <v>0.99935303813665721</v>
      </c>
      <c r="T244" s="330">
        <f t="shared" si="110"/>
        <v>0.11704110888694369</v>
      </c>
      <c r="U244" s="331">
        <f t="shared" si="111"/>
        <v>8.7795918666245196</v>
      </c>
      <c r="V244" s="332">
        <f t="shared" si="112"/>
        <v>-109.95022612973855</v>
      </c>
      <c r="W244" s="334">
        <f t="shared" si="113"/>
        <v>70.049773870261447</v>
      </c>
      <c r="Y244" s="307">
        <f t="shared" si="114"/>
        <v>1000000000</v>
      </c>
      <c r="Z244" s="307">
        <f t="shared" si="115"/>
        <v>216288495.5625</v>
      </c>
      <c r="AB244" s="333">
        <f t="shared" si="116"/>
        <v>23.708686847962056</v>
      </c>
      <c r="AC244" s="334">
        <f t="shared" si="117"/>
        <v>-19.971954284688863</v>
      </c>
      <c r="AE244" s="333">
        <f t="shared" si="118"/>
        <v>42.618910610530058</v>
      </c>
      <c r="AF244" s="334">
        <f t="shared" si="119"/>
        <v>-92.57868337029241</v>
      </c>
      <c r="AH244">
        <f t="shared" si="120"/>
        <v>0</v>
      </c>
      <c r="AI244">
        <f t="shared" si="125"/>
        <v>0</v>
      </c>
    </row>
    <row r="245" spans="1:35" x14ac:dyDescent="0.2">
      <c r="A245" s="335">
        <v>14791</v>
      </c>
      <c r="B245" s="352">
        <f t="shared" si="121"/>
        <v>14.791</v>
      </c>
      <c r="C245" s="325">
        <f t="shared" si="96"/>
        <v>18.787806329617684</v>
      </c>
      <c r="D245" s="326">
        <f t="shared" si="97"/>
        <v>1.5175451513535625</v>
      </c>
      <c r="E245" s="326">
        <f t="shared" si="98"/>
        <v>1.0001727218579723</v>
      </c>
      <c r="F245" s="327">
        <f t="shared" si="99"/>
        <v>1.8584778768433272E-2</v>
      </c>
      <c r="G245" s="326">
        <f t="shared" si="100"/>
        <v>1</v>
      </c>
      <c r="H245" s="327">
        <f t="shared" si="101"/>
        <v>0</v>
      </c>
      <c r="I245" s="325">
        <f t="shared" si="102"/>
        <v>19631.589113756083</v>
      </c>
      <c r="J245" s="328">
        <f t="shared" si="103"/>
        <v>1.5707453884834519</v>
      </c>
      <c r="K245" s="336">
        <f t="shared" si="123"/>
        <v>3.9321652434062808</v>
      </c>
      <c r="L245" s="337">
        <f t="shared" si="124"/>
        <v>1.3136592395529725</v>
      </c>
      <c r="M245" s="325">
        <f t="shared" si="104"/>
        <v>1.0041178343679</v>
      </c>
      <c r="N245" s="337">
        <f t="shared" si="105"/>
        <v>9.0595291012569912E-2</v>
      </c>
      <c r="O245" s="343">
        <f t="shared" si="106"/>
        <v>1.0036868729072423</v>
      </c>
      <c r="P245" s="691">
        <f t="shared" si="107"/>
        <v>8.5738916538440249E-2</v>
      </c>
      <c r="Q245" s="336">
        <f t="shared" si="122"/>
        <v>15.136110156332053</v>
      </c>
      <c r="R245" s="692">
        <f t="shared" si="108"/>
        <v>4.0095323671696222E-2</v>
      </c>
      <c r="S245" s="329">
        <f t="shared" si="109"/>
        <v>0.99934592771536312</v>
      </c>
      <c r="T245" s="330">
        <f t="shared" si="110"/>
        <v>0.11771554446611843</v>
      </c>
      <c r="U245" s="331">
        <f t="shared" si="111"/>
        <v>8.7268503470538921</v>
      </c>
      <c r="V245" s="332">
        <f t="shared" si="112"/>
        <v>-109.93420090378665</v>
      </c>
      <c r="W245" s="334">
        <f t="shared" si="113"/>
        <v>70.065799096213354</v>
      </c>
      <c r="Y245" s="307">
        <f t="shared" si="114"/>
        <v>1000000000</v>
      </c>
      <c r="Z245" s="307">
        <f t="shared" si="115"/>
        <v>218773681</v>
      </c>
      <c r="AB245" s="333">
        <f t="shared" si="116"/>
        <v>23.705056872933618</v>
      </c>
      <c r="AC245" s="334">
        <f t="shared" si="117"/>
        <v>-19.920679146530617</v>
      </c>
      <c r="AE245" s="333">
        <f t="shared" si="118"/>
        <v>42.56951427358036</v>
      </c>
      <c r="AF245" s="334">
        <f t="shared" si="119"/>
        <v>-92.628706993322183</v>
      </c>
      <c r="AH245">
        <f t="shared" si="120"/>
        <v>0</v>
      </c>
      <c r="AI245">
        <f t="shared" si="125"/>
        <v>0</v>
      </c>
    </row>
    <row r="246" spans="1:35" x14ac:dyDescent="0.2">
      <c r="A246" s="335">
        <v>14877.25</v>
      </c>
      <c r="B246" s="352">
        <f t="shared" si="121"/>
        <v>14.87725</v>
      </c>
      <c r="C246" s="325">
        <f t="shared" si="96"/>
        <v>18.897053224501178</v>
      </c>
      <c r="D246" s="326">
        <f t="shared" si="97"/>
        <v>1.5178532937347451</v>
      </c>
      <c r="E246" s="326">
        <f t="shared" si="98"/>
        <v>1.0001747419228644</v>
      </c>
      <c r="F246" s="327">
        <f t="shared" si="99"/>
        <v>1.8693126065038895E-2</v>
      </c>
      <c r="G246" s="326">
        <f t="shared" si="100"/>
        <v>1</v>
      </c>
      <c r="H246" s="327">
        <f t="shared" si="101"/>
        <v>0</v>
      </c>
      <c r="I246" s="325">
        <f t="shared" si="102"/>
        <v>19746.065792593268</v>
      </c>
      <c r="J246" s="328">
        <f t="shared" si="103"/>
        <v>1.5707456837953782</v>
      </c>
      <c r="K246" s="336">
        <f t="shared" si="123"/>
        <v>3.9536157379145243</v>
      </c>
      <c r="L246" s="337">
        <f t="shared" si="124"/>
        <v>1.3150856631903922</v>
      </c>
      <c r="M246" s="325">
        <f t="shared" si="104"/>
        <v>1.0041658987115119</v>
      </c>
      <c r="N246" s="337">
        <f t="shared" si="105"/>
        <v>9.1120663711123623E-2</v>
      </c>
      <c r="O246" s="343">
        <f t="shared" si="106"/>
        <v>1.0037299162932123</v>
      </c>
      <c r="P246" s="691">
        <f t="shared" si="107"/>
        <v>8.62364135564197E-2</v>
      </c>
      <c r="Q246" s="336">
        <f t="shared" si="122"/>
        <v>15.136248311995091</v>
      </c>
      <c r="R246" s="692">
        <f t="shared" si="108"/>
        <v>4.0328887645134349E-2</v>
      </c>
      <c r="S246" s="329">
        <f t="shared" si="109"/>
        <v>0.99933861410525593</v>
      </c>
      <c r="T246" s="330">
        <f t="shared" si="110"/>
        <v>0.11840606015388214</v>
      </c>
      <c r="U246" s="331">
        <f t="shared" si="111"/>
        <v>8.6732001288506932</v>
      </c>
      <c r="V246" s="332">
        <f t="shared" si="112"/>
        <v>-109.91848020815627</v>
      </c>
      <c r="W246" s="334">
        <f t="shared" si="113"/>
        <v>70.081519791843732</v>
      </c>
      <c r="Y246" s="307">
        <f t="shared" si="114"/>
        <v>1000000000</v>
      </c>
      <c r="Z246" s="307">
        <f t="shared" si="115"/>
        <v>221332567.5625</v>
      </c>
      <c r="AB246" s="333">
        <f t="shared" si="116"/>
        <v>23.701392568255976</v>
      </c>
      <c r="AC246" s="334">
        <f t="shared" si="117"/>
        <v>-19.869069650675343</v>
      </c>
      <c r="AE246" s="333">
        <f t="shared" si="118"/>
        <v>42.519235151854922</v>
      </c>
      <c r="AF246" s="334">
        <f t="shared" si="119"/>
        <v>-92.679718043090617</v>
      </c>
      <c r="AH246">
        <f t="shared" si="120"/>
        <v>0</v>
      </c>
      <c r="AI246">
        <f t="shared" si="125"/>
        <v>0</v>
      </c>
    </row>
    <row r="247" spans="1:35" x14ac:dyDescent="0.2">
      <c r="A247" s="335">
        <v>14963.5</v>
      </c>
      <c r="B247" s="352">
        <f t="shared" si="121"/>
        <v>14.9635</v>
      </c>
      <c r="C247" s="325">
        <f t="shared" si="96"/>
        <v>19.006301893065299</v>
      </c>
      <c r="D247" s="326">
        <f t="shared" si="97"/>
        <v>1.5181578937253211</v>
      </c>
      <c r="E247" s="326">
        <f t="shared" si="98"/>
        <v>1.0001767737288969</v>
      </c>
      <c r="F247" s="327">
        <f t="shared" si="99"/>
        <v>1.880147292271285E-2</v>
      </c>
      <c r="G247" s="326">
        <f t="shared" si="100"/>
        <v>1</v>
      </c>
      <c r="H247" s="327">
        <f t="shared" si="101"/>
        <v>0</v>
      </c>
      <c r="I247" s="325">
        <f t="shared" si="102"/>
        <v>19860.542471432153</v>
      </c>
      <c r="J247" s="328">
        <f t="shared" si="103"/>
        <v>1.5707459757029332</v>
      </c>
      <c r="K247" s="336">
        <f t="shared" si="123"/>
        <v>3.9750741899547588</v>
      </c>
      <c r="L247" s="337">
        <f t="shared" si="124"/>
        <v>1.3164966892846388</v>
      </c>
      <c r="M247" s="325">
        <f t="shared" si="104"/>
        <v>1.0042142401948762</v>
      </c>
      <c r="N247" s="337">
        <f t="shared" si="105"/>
        <v>9.1645985973234478E-2</v>
      </c>
      <c r="O247" s="343">
        <f t="shared" si="106"/>
        <v>1.0037732080842898</v>
      </c>
      <c r="P247" s="691">
        <f t="shared" si="107"/>
        <v>8.673386778435821E-2</v>
      </c>
      <c r="Q247" s="336">
        <f t="shared" si="122"/>
        <v>15.1363872696652</v>
      </c>
      <c r="R247" s="692">
        <f t="shared" si="108"/>
        <v>4.0562447405699531E-2</v>
      </c>
      <c r="S247" s="329">
        <f t="shared" si="109"/>
        <v>0.99933126583128384</v>
      </c>
      <c r="T247" s="330">
        <f t="shared" si="110"/>
        <v>0.11909664682815652</v>
      </c>
      <c r="U247" s="331">
        <f t="shared" si="111"/>
        <v>8.6198927464813959</v>
      </c>
      <c r="V247" s="332">
        <f t="shared" si="112"/>
        <v>-109.90344198056812</v>
      </c>
      <c r="W247" s="334">
        <f t="shared" si="113"/>
        <v>70.096558019431882</v>
      </c>
      <c r="Y247" s="307">
        <f t="shared" si="114"/>
        <v>1000000000</v>
      </c>
      <c r="Z247" s="307">
        <f t="shared" si="115"/>
        <v>223906332.25</v>
      </c>
      <c r="AB247" s="333">
        <f t="shared" si="116"/>
        <v>23.697779529220814</v>
      </c>
      <c r="AC247" s="334">
        <f t="shared" si="117"/>
        <v>-19.818339284208335</v>
      </c>
      <c r="AE247" s="333">
        <f t="shared" si="118"/>
        <v>42.469245926286526</v>
      </c>
      <c r="AF247" s="334">
        <f t="shared" si="119"/>
        <v>-92.730530221204077</v>
      </c>
      <c r="AH247">
        <f t="shared" si="120"/>
        <v>0</v>
      </c>
      <c r="AI247">
        <f t="shared" si="125"/>
        <v>0</v>
      </c>
    </row>
    <row r="248" spans="1:35" x14ac:dyDescent="0.2">
      <c r="A248" s="335">
        <v>15049.75</v>
      </c>
      <c r="B248" s="352">
        <f t="shared" si="121"/>
        <v>15.04975</v>
      </c>
      <c r="C248" s="325">
        <f t="shared" si="96"/>
        <v>19.115552304899378</v>
      </c>
      <c r="D248" s="326">
        <f t="shared" si="97"/>
        <v>1.5184590120053616</v>
      </c>
      <c r="E248" s="326">
        <f t="shared" si="98"/>
        <v>1.0001788172759982</v>
      </c>
      <c r="F248" s="327">
        <f t="shared" si="99"/>
        <v>1.8909819338914037E-2</v>
      </c>
      <c r="G248" s="326">
        <f t="shared" si="100"/>
        <v>1</v>
      </c>
      <c r="H248" s="327">
        <f t="shared" si="101"/>
        <v>0</v>
      </c>
      <c r="I248" s="325">
        <f t="shared" si="102"/>
        <v>19975.01915027271</v>
      </c>
      <c r="J248" s="328">
        <f t="shared" si="103"/>
        <v>1.5707462642646486</v>
      </c>
      <c r="K248" s="336">
        <f t="shared" si="123"/>
        <v>3.9965404713488897</v>
      </c>
      <c r="L248" s="337">
        <f t="shared" si="124"/>
        <v>1.3178925602818834</v>
      </c>
      <c r="M248" s="325">
        <f t="shared" si="104"/>
        <v>1.0042628587779718</v>
      </c>
      <c r="N248" s="337">
        <f t="shared" si="105"/>
        <v>9.217125751626748E-2</v>
      </c>
      <c r="O248" s="343">
        <f t="shared" si="106"/>
        <v>1.0038167482483362</v>
      </c>
      <c r="P248" s="691">
        <f t="shared" si="107"/>
        <v>8.7231278981607263E-2</v>
      </c>
      <c r="Q248" s="336">
        <f t="shared" si="122"/>
        <v>15.136527029320305</v>
      </c>
      <c r="R248" s="692">
        <f t="shared" si="108"/>
        <v>4.079600292912345E-2</v>
      </c>
      <c r="S248" s="329">
        <f t="shared" si="109"/>
        <v>0.99932388303031949</v>
      </c>
      <c r="T248" s="330">
        <f t="shared" si="110"/>
        <v>0.11978730489158097</v>
      </c>
      <c r="U248" s="331">
        <f t="shared" si="111"/>
        <v>8.5669237364588788</v>
      </c>
      <c r="V248" s="332">
        <f t="shared" si="112"/>
        <v>-109.8890758293644</v>
      </c>
      <c r="W248" s="334">
        <f t="shared" si="113"/>
        <v>70.110924170635599</v>
      </c>
      <c r="Y248" s="307">
        <f t="shared" si="114"/>
        <v>1000000000</v>
      </c>
      <c r="Z248" s="307">
        <f t="shared" si="115"/>
        <v>226494975.0625</v>
      </c>
      <c r="AB248" s="333">
        <f t="shared" si="116"/>
        <v>23.694216594086129</v>
      </c>
      <c r="AC248" s="334">
        <f t="shared" si="117"/>
        <v>-19.768474143147063</v>
      </c>
      <c r="AE248" s="333">
        <f t="shared" si="118"/>
        <v>42.419543295659579</v>
      </c>
      <c r="AF248" s="334">
        <f t="shared" si="119"/>
        <v>-92.781147027589682</v>
      </c>
      <c r="AH248">
        <f t="shared" si="120"/>
        <v>0</v>
      </c>
      <c r="AI248">
        <f t="shared" si="125"/>
        <v>0</v>
      </c>
    </row>
    <row r="249" spans="1:35" x14ac:dyDescent="0.2">
      <c r="A249" s="335">
        <v>15136</v>
      </c>
      <c r="B249" s="352">
        <f t="shared" si="121"/>
        <v>15.135999999999999</v>
      </c>
      <c r="C249" s="325">
        <f t="shared" si="96"/>
        <v>19.224804430283541</v>
      </c>
      <c r="D249" s="326">
        <f t="shared" si="97"/>
        <v>1.5187567078781476</v>
      </c>
      <c r="E249" s="326">
        <f t="shared" si="98"/>
        <v>1.0001808725640968</v>
      </c>
      <c r="F249" s="327">
        <f t="shared" si="99"/>
        <v>1.9018165311101429E-2</v>
      </c>
      <c r="G249" s="326">
        <f t="shared" si="100"/>
        <v>1</v>
      </c>
      <c r="H249" s="327">
        <f t="shared" si="101"/>
        <v>0</v>
      </c>
      <c r="I249" s="325">
        <f t="shared" si="102"/>
        <v>20089.495829114912</v>
      </c>
      <c r="J249" s="328">
        <f t="shared" si="103"/>
        <v>1.5707465495377211</v>
      </c>
      <c r="K249" s="336">
        <f t="shared" si="123"/>
        <v>4.01801445661172</v>
      </c>
      <c r="L249" s="337">
        <f t="shared" si="124"/>
        <v>1.3192735136844316</v>
      </c>
      <c r="M249" s="325">
        <f t="shared" si="104"/>
        <v>1.0043117544205553</v>
      </c>
      <c r="N249" s="337">
        <f t="shared" si="105"/>
        <v>9.269647805775412E-2</v>
      </c>
      <c r="O249" s="343">
        <f t="shared" si="106"/>
        <v>1.0038605367530333</v>
      </c>
      <c r="P249" s="691">
        <f t="shared" si="107"/>
        <v>8.7728646907645189E-2</v>
      </c>
      <c r="Q249" s="336">
        <f t="shared" si="122"/>
        <v>15.136667590938213</v>
      </c>
      <c r="R249" s="692">
        <f t="shared" si="108"/>
        <v>4.1029554191140488E-2</v>
      </c>
      <c r="S249" s="329">
        <f t="shared" si="109"/>
        <v>0.99931646584003153</v>
      </c>
      <c r="T249" s="330">
        <f t="shared" si="110"/>
        <v>0.12047803474663664</v>
      </c>
      <c r="U249" s="331">
        <f t="shared" si="111"/>
        <v>8.5142887222362553</v>
      </c>
      <c r="V249" s="332">
        <f t="shared" si="112"/>
        <v>-109.8753715671826</v>
      </c>
      <c r="W249" s="334">
        <f t="shared" si="113"/>
        <v>70.124628432817403</v>
      </c>
      <c r="Y249" s="307">
        <f t="shared" si="114"/>
        <v>1000000000</v>
      </c>
      <c r="Z249" s="307">
        <f t="shared" si="115"/>
        <v>229098496</v>
      </c>
      <c r="AB249" s="333">
        <f t="shared" si="116"/>
        <v>23.690702632108799</v>
      </c>
      <c r="AC249" s="334">
        <f t="shared" si="117"/>
        <v>-19.719460606704644</v>
      </c>
      <c r="AE249" s="333">
        <f t="shared" si="118"/>
        <v>42.370124014702732</v>
      </c>
      <c r="AF249" s="334">
        <f t="shared" si="119"/>
        <v>-92.8315718832812</v>
      </c>
      <c r="AH249">
        <f t="shared" si="120"/>
        <v>0</v>
      </c>
      <c r="AI249">
        <f t="shared" si="125"/>
        <v>0</v>
      </c>
    </row>
    <row r="250" spans="1:35" x14ac:dyDescent="0.2">
      <c r="A250" s="335">
        <v>15224</v>
      </c>
      <c r="B250" s="352">
        <f t="shared" si="121"/>
        <v>15.224</v>
      </c>
      <c r="C250" s="325">
        <f t="shared" si="96"/>
        <v>19.336275001374744</v>
      </c>
      <c r="D250" s="326">
        <f t="shared" si="97"/>
        <v>1.5190569768236495</v>
      </c>
      <c r="E250" s="326">
        <f t="shared" si="98"/>
        <v>1.0001829816543661</v>
      </c>
      <c r="F250" s="327">
        <f t="shared" si="99"/>
        <v>1.9128709147107001E-2</v>
      </c>
      <c r="G250" s="326">
        <f t="shared" si="100"/>
        <v>1</v>
      </c>
      <c r="H250" s="327">
        <f t="shared" si="101"/>
        <v>0</v>
      </c>
      <c r="I250" s="325">
        <f t="shared" si="102"/>
        <v>20206.295223181667</v>
      </c>
      <c r="J250" s="328">
        <f t="shared" si="103"/>
        <v>1.5707468372675308</v>
      </c>
      <c r="K250" s="336">
        <f t="shared" si="123"/>
        <v>4.0399319583745168</v>
      </c>
      <c r="L250" s="337">
        <f t="shared" si="124"/>
        <v>1.3206673531593982</v>
      </c>
      <c r="M250" s="325">
        <f t="shared" si="104"/>
        <v>1.0043619276554161</v>
      </c>
      <c r="N250" s="337">
        <f t="shared" si="105"/>
        <v>9.3232302390725288E-2</v>
      </c>
      <c r="O250" s="343">
        <f t="shared" si="106"/>
        <v>1.0039054696363878</v>
      </c>
      <c r="P250" s="691">
        <f t="shared" si="107"/>
        <v>8.8236061510317057E-2</v>
      </c>
      <c r="Q250" s="336">
        <f t="shared" si="122"/>
        <v>15.136811831043259</v>
      </c>
      <c r="R250" s="692">
        <f t="shared" si="108"/>
        <v>4.126783975726131E-2</v>
      </c>
      <c r="S250" s="329">
        <f t="shared" si="109"/>
        <v>0.99930886285667075</v>
      </c>
      <c r="T250" s="330">
        <f t="shared" si="110"/>
        <v>0.12118285381916985</v>
      </c>
      <c r="U250" s="331">
        <f t="shared" si="111"/>
        <v>8.4609255280207538</v>
      </c>
      <c r="V250" s="332">
        <f t="shared" si="112"/>
        <v>-109.86206105475594</v>
      </c>
      <c r="W250" s="334">
        <f t="shared" si="113"/>
        <v>70.137938945244059</v>
      </c>
      <c r="Y250" s="307">
        <f t="shared" si="114"/>
        <v>1000000000</v>
      </c>
      <c r="Z250" s="307">
        <f t="shared" si="115"/>
        <v>231770176</v>
      </c>
      <c r="AB250" s="333">
        <f t="shared" si="116"/>
        <v>23.687166704111618</v>
      </c>
      <c r="AC250" s="334">
        <f t="shared" si="117"/>
        <v>-19.670316445957571</v>
      </c>
      <c r="AE250" s="333">
        <f t="shared" si="118"/>
        <v>42.319990745077604</v>
      </c>
      <c r="AF250" s="334">
        <f t="shared" si="119"/>
        <v>-92.882825489558044</v>
      </c>
      <c r="AH250">
        <f t="shared" si="120"/>
        <v>0</v>
      </c>
      <c r="AI250">
        <f t="shared" si="125"/>
        <v>0</v>
      </c>
    </row>
    <row r="251" spans="1:35" x14ac:dyDescent="0.2">
      <c r="A251" s="335">
        <v>15312</v>
      </c>
      <c r="B251" s="352">
        <f t="shared" si="121"/>
        <v>15.311999999999999</v>
      </c>
      <c r="C251" s="325">
        <f t="shared" si="96"/>
        <v>19.447747295866773</v>
      </c>
      <c r="D251" s="326">
        <f t="shared" si="97"/>
        <v>1.5193538035801863</v>
      </c>
      <c r="E251" s="326">
        <f t="shared" si="98"/>
        <v>1.0001851029667597</v>
      </c>
      <c r="F251" s="327">
        <f t="shared" si="99"/>
        <v>1.9239252515554171E-2</v>
      </c>
      <c r="G251" s="326">
        <f t="shared" si="100"/>
        <v>1</v>
      </c>
      <c r="H251" s="327">
        <f t="shared" si="101"/>
        <v>0</v>
      </c>
      <c r="I251" s="325">
        <f t="shared" si="102"/>
        <v>20323.094617250073</v>
      </c>
      <c r="J251" s="328">
        <f t="shared" si="103"/>
        <v>1.5707471216901014</v>
      </c>
      <c r="K251" s="336">
        <f t="shared" si="123"/>
        <v>4.0618572241593043</v>
      </c>
      <c r="L251" s="337">
        <f t="shared" si="124"/>
        <v>1.3220461478369574</v>
      </c>
      <c r="M251" s="325">
        <f t="shared" si="104"/>
        <v>1.0044123892214787</v>
      </c>
      <c r="N251" s="337">
        <f t="shared" si="105"/>
        <v>9.3768073037998417E-2</v>
      </c>
      <c r="O251" s="343">
        <f t="shared" si="106"/>
        <v>1.0039506609716853</v>
      </c>
      <c r="P251" s="691">
        <f t="shared" si="107"/>
        <v>8.8743430562594594E-2</v>
      </c>
      <c r="Q251" s="336">
        <f t="shared" si="122"/>
        <v>15.136956905937595</v>
      </c>
      <c r="R251" s="692">
        <f t="shared" si="108"/>
        <v>4.1506120836269707E-2</v>
      </c>
      <c r="S251" s="329">
        <f t="shared" si="109"/>
        <v>0.99930122436638369</v>
      </c>
      <c r="T251" s="330">
        <f t="shared" si="110"/>
        <v>0.12188774847212534</v>
      </c>
      <c r="U251" s="331">
        <f t="shared" si="111"/>
        <v>8.4079010832120424</v>
      </c>
      <c r="V251" s="332">
        <f t="shared" si="112"/>
        <v>-109.84941876735149</v>
      </c>
      <c r="W251" s="334">
        <f t="shared" si="113"/>
        <v>70.150581232648506</v>
      </c>
      <c r="Y251" s="307">
        <f t="shared" si="114"/>
        <v>1000000000</v>
      </c>
      <c r="Z251" s="307">
        <f t="shared" si="115"/>
        <v>234457344</v>
      </c>
      <c r="AB251" s="333">
        <f t="shared" si="116"/>
        <v>23.683679473113941</v>
      </c>
      <c r="AC251" s="334">
        <f t="shared" si="117"/>
        <v>-19.622031023151788</v>
      </c>
      <c r="AE251" s="333">
        <f t="shared" si="118"/>
        <v>42.270145787438764</v>
      </c>
      <c r="AF251" s="334">
        <f t="shared" si="119"/>
        <v>-92.933886230162997</v>
      </c>
      <c r="AH251">
        <f t="shared" si="120"/>
        <v>0</v>
      </c>
      <c r="AI251">
        <f t="shared" si="125"/>
        <v>0</v>
      </c>
    </row>
    <row r="252" spans="1:35" x14ac:dyDescent="0.2">
      <c r="A252" s="335">
        <v>15400</v>
      </c>
      <c r="B252" s="352">
        <f t="shared" si="121"/>
        <v>15.4</v>
      </c>
      <c r="C252" s="325">
        <f t="shared" si="96"/>
        <v>19.559221284293496</v>
      </c>
      <c r="D252" s="326">
        <f t="shared" si="97"/>
        <v>1.519647246949267</v>
      </c>
      <c r="E252" s="326">
        <f t="shared" si="98"/>
        <v>1.0001872365011992</v>
      </c>
      <c r="F252" s="327">
        <f t="shared" si="99"/>
        <v>1.9349795413744292E-2</v>
      </c>
      <c r="G252" s="326">
        <f t="shared" si="100"/>
        <v>1</v>
      </c>
      <c r="H252" s="327">
        <f t="shared" si="101"/>
        <v>0</v>
      </c>
      <c r="I252" s="325">
        <f t="shared" si="102"/>
        <v>20439.894011320102</v>
      </c>
      <c r="J252" s="328">
        <f t="shared" si="103"/>
        <v>1.5707474028621284</v>
      </c>
      <c r="K252" s="336">
        <f t="shared" si="123"/>
        <v>4.0837901289144218</v>
      </c>
      <c r="L252" s="337">
        <f t="shared" si="124"/>
        <v>1.3234101348363783</v>
      </c>
      <c r="M252" s="325">
        <f t="shared" si="104"/>
        <v>1.0044631390752881</v>
      </c>
      <c r="N252" s="337">
        <f t="shared" si="105"/>
        <v>9.4303789700101739E-2</v>
      </c>
      <c r="O252" s="343">
        <f t="shared" si="106"/>
        <v>1.0039961107240261</v>
      </c>
      <c r="P252" s="691">
        <f t="shared" si="107"/>
        <v>8.9250753809429068E-2</v>
      </c>
      <c r="Q252" s="336">
        <f t="shared" si="122"/>
        <v>15.13710281559724</v>
      </c>
      <c r="R252" s="692">
        <f t="shared" si="108"/>
        <v>4.174439740240158E-2</v>
      </c>
      <c r="S252" s="329">
        <f t="shared" si="109"/>
        <v>0.9992935505179531</v>
      </c>
      <c r="T252" s="330">
        <f t="shared" si="110"/>
        <v>0.12259271913246765</v>
      </c>
      <c r="U252" s="331">
        <f t="shared" si="111"/>
        <v>8.3552110050804895</v>
      </c>
      <c r="V252" s="332">
        <f t="shared" si="112"/>
        <v>-109.83743451195899</v>
      </c>
      <c r="W252" s="334">
        <f t="shared" si="113"/>
        <v>70.162565488041011</v>
      </c>
      <c r="Y252" s="307">
        <f t="shared" si="114"/>
        <v>1000000000</v>
      </c>
      <c r="Z252" s="307">
        <f t="shared" si="115"/>
        <v>237160000</v>
      </c>
      <c r="AB252" s="333">
        <f t="shared" si="116"/>
        <v>23.680239831729672</v>
      </c>
      <c r="AC252" s="334">
        <f t="shared" si="117"/>
        <v>-19.574590738443874</v>
      </c>
      <c r="AE252" s="333">
        <f t="shared" si="118"/>
        <v>42.220585867017483</v>
      </c>
      <c r="AF252" s="334">
        <f t="shared" si="119"/>
        <v>-92.984757498792291</v>
      </c>
      <c r="AH252">
        <f t="shared" si="120"/>
        <v>0</v>
      </c>
      <c r="AI252">
        <f t="shared" si="125"/>
        <v>0</v>
      </c>
    </row>
    <row r="253" spans="1:35" x14ac:dyDescent="0.2">
      <c r="A253" s="335">
        <v>15488</v>
      </c>
      <c r="B253" s="352">
        <f t="shared" si="121"/>
        <v>15.488</v>
      </c>
      <c r="C253" s="325">
        <f t="shared" si="96"/>
        <v>19.670696937856309</v>
      </c>
      <c r="D253" s="326">
        <f t="shared" si="97"/>
        <v>1.5199373644018264</v>
      </c>
      <c r="E253" s="326">
        <f t="shared" si="98"/>
        <v>1.0001893822576073</v>
      </c>
      <c r="F253" s="327">
        <f t="shared" si="99"/>
        <v>1.9460337838978766E-2</v>
      </c>
      <c r="G253" s="326">
        <f t="shared" si="100"/>
        <v>1</v>
      </c>
      <c r="H253" s="327">
        <f t="shared" si="101"/>
        <v>0</v>
      </c>
      <c r="I253" s="325">
        <f t="shared" si="102"/>
        <v>20556.693405391732</v>
      </c>
      <c r="J253" s="328">
        <f t="shared" si="103"/>
        <v>1.5707476808390186</v>
      </c>
      <c r="K253" s="336">
        <f t="shared" si="123"/>
        <v>4.1057305502172188</v>
      </c>
      <c r="L253" s="337">
        <f t="shared" si="124"/>
        <v>1.3247595464314583</v>
      </c>
      <c r="M253" s="325">
        <f t="shared" si="104"/>
        <v>1.0045141771731498</v>
      </c>
      <c r="N253" s="337">
        <f t="shared" si="105"/>
        <v>9.4839452077747785E-2</v>
      </c>
      <c r="O253" s="343">
        <f t="shared" si="106"/>
        <v>1.0040418188583171</v>
      </c>
      <c r="P253" s="691">
        <f t="shared" si="107"/>
        <v>8.9758030995912161E-2</v>
      </c>
      <c r="Q253" s="336">
        <f t="shared" si="122"/>
        <v>15.137249559998079</v>
      </c>
      <c r="R253" s="692">
        <f t="shared" si="108"/>
        <v>4.1982669429895821E-2</v>
      </c>
      <c r="S253" s="329">
        <f t="shared" si="109"/>
        <v>0.9992858414610245</v>
      </c>
      <c r="T253" s="330">
        <f t="shared" si="110"/>
        <v>0.12329776622698539</v>
      </c>
      <c r="U253" s="331">
        <f t="shared" si="111"/>
        <v>8.3028509957996199</v>
      </c>
      <c r="V253" s="332">
        <f t="shared" si="112"/>
        <v>-109.82609829687576</v>
      </c>
      <c r="W253" s="334">
        <f t="shared" si="113"/>
        <v>70.173901703124244</v>
      </c>
      <c r="Y253" s="307">
        <f t="shared" si="114"/>
        <v>1000000000</v>
      </c>
      <c r="Z253" s="307">
        <f t="shared" si="115"/>
        <v>239878144</v>
      </c>
      <c r="AB253" s="333">
        <f t="shared" si="116"/>
        <v>23.676846702118965</v>
      </c>
      <c r="AC253" s="334">
        <f t="shared" si="117"/>
        <v>-19.527982269552179</v>
      </c>
      <c r="AE253" s="333">
        <f t="shared" si="118"/>
        <v>42.171307764405057</v>
      </c>
      <c r="AF253" s="334">
        <f t="shared" si="119"/>
        <v>-93.035442612895693</v>
      </c>
      <c r="AH253">
        <f t="shared" si="120"/>
        <v>0</v>
      </c>
      <c r="AI253">
        <f t="shared" si="125"/>
        <v>0</v>
      </c>
    </row>
    <row r="254" spans="1:35" x14ac:dyDescent="0.2">
      <c r="A254" s="335">
        <v>15578.25</v>
      </c>
      <c r="B254" s="352">
        <f t="shared" si="121"/>
        <v>15.578250000000001</v>
      </c>
      <c r="C254" s="325">
        <f t="shared" si="96"/>
        <v>19.785024521256148</v>
      </c>
      <c r="D254" s="326">
        <f t="shared" si="97"/>
        <v>1.5202315039095591</v>
      </c>
      <c r="E254" s="326">
        <f t="shared" si="98"/>
        <v>1.000191595571726</v>
      </c>
      <c r="F254" s="327">
        <f t="shared" si="99"/>
        <v>1.9573706138964309E-2</v>
      </c>
      <c r="G254" s="326">
        <f t="shared" si="100"/>
        <v>1</v>
      </c>
      <c r="H254" s="327">
        <f t="shared" si="101"/>
        <v>0</v>
      </c>
      <c r="I254" s="325">
        <f t="shared" si="102"/>
        <v>20676.479147608872</v>
      </c>
      <c r="J254" s="328">
        <f t="shared" si="103"/>
        <v>1.5707479626612717</v>
      </c>
      <c r="K254" s="336">
        <f t="shared" si="123"/>
        <v>4.1282396299406887</v>
      </c>
      <c r="L254" s="337">
        <f t="shared" si="124"/>
        <v>1.326128559192294</v>
      </c>
      <c r="M254" s="325">
        <f t="shared" si="104"/>
        <v>1.0045668195694377</v>
      </c>
      <c r="N254" s="337">
        <f t="shared" si="105"/>
        <v>9.538875367100759E-2</v>
      </c>
      <c r="O254" s="343">
        <f t="shared" si="106"/>
        <v>1.0040889640054727</v>
      </c>
      <c r="P254" s="691">
        <f t="shared" si="107"/>
        <v>9.0278230228929585E-2</v>
      </c>
      <c r="Q254" s="336">
        <f t="shared" si="122"/>
        <v>15.137400923389292</v>
      </c>
      <c r="R254" s="692">
        <f t="shared" si="108"/>
        <v>4.2227028898740575E-2</v>
      </c>
      <c r="S254" s="329">
        <f t="shared" si="109"/>
        <v>0.99927789888486318</v>
      </c>
      <c r="T254" s="330">
        <f t="shared" si="110"/>
        <v>0.12402091993127755</v>
      </c>
      <c r="U254" s="331">
        <f t="shared" si="111"/>
        <v>8.2494906570114104</v>
      </c>
      <c r="V254" s="332">
        <f t="shared" si="112"/>
        <v>-109.8151350819147</v>
      </c>
      <c r="W254" s="334">
        <f t="shared" si="113"/>
        <v>70.184864918085296</v>
      </c>
      <c r="Y254" s="307">
        <f t="shared" si="114"/>
        <v>1000000000</v>
      </c>
      <c r="Z254" s="307">
        <f t="shared" si="115"/>
        <v>242681873.0625</v>
      </c>
      <c r="AB254" s="333">
        <f t="shared" si="116"/>
        <v>23.673414028253443</v>
      </c>
      <c r="AC254" s="334">
        <f t="shared" si="117"/>
        <v>-19.481032426402372</v>
      </c>
      <c r="AE254" s="333">
        <f t="shared" si="118"/>
        <v>42.121059113202371</v>
      </c>
      <c r="AF254" s="334">
        <f t="shared" si="119"/>
        <v>-93.08723369541147</v>
      </c>
      <c r="AH254">
        <f t="shared" si="120"/>
        <v>0</v>
      </c>
      <c r="AI254">
        <f t="shared" si="125"/>
        <v>0</v>
      </c>
    </row>
    <row r="255" spans="1:35" x14ac:dyDescent="0.2">
      <c r="A255" s="335">
        <v>15668.5</v>
      </c>
      <c r="B255" s="352">
        <f t="shared" si="121"/>
        <v>15.6685</v>
      </c>
      <c r="C255" s="325">
        <f t="shared" si="96"/>
        <v>19.899353796748507</v>
      </c>
      <c r="D255" s="326">
        <f t="shared" si="97"/>
        <v>1.5205222635578999</v>
      </c>
      <c r="E255" s="326">
        <f t="shared" si="98"/>
        <v>1.0001938217406217</v>
      </c>
      <c r="F255" s="327">
        <f t="shared" si="99"/>
        <v>1.968707393575074E-2</v>
      </c>
      <c r="G255" s="326">
        <f t="shared" si="100"/>
        <v>1</v>
      </c>
      <c r="H255" s="327">
        <f t="shared" si="101"/>
        <v>0</v>
      </c>
      <c r="I255" s="325">
        <f t="shared" si="102"/>
        <v>20796.264889827631</v>
      </c>
      <c r="J255" s="328">
        <f t="shared" si="103"/>
        <v>1.5707482412369522</v>
      </c>
      <c r="K255" s="336">
        <f t="shared" si="123"/>
        <v>4.1507563628705526</v>
      </c>
      <c r="L255" s="337">
        <f t="shared" si="124"/>
        <v>1.3274827214187728</v>
      </c>
      <c r="M255" s="325">
        <f t="shared" si="104"/>
        <v>1.0046197650441033</v>
      </c>
      <c r="N255" s="337">
        <f t="shared" si="105"/>
        <v>9.5937997531388153E-2</v>
      </c>
      <c r="O255" s="343">
        <f t="shared" si="106"/>
        <v>1.0041363808408164</v>
      </c>
      <c r="P255" s="691">
        <f t="shared" si="107"/>
        <v>9.0798380473506662E-2</v>
      </c>
      <c r="Q255" s="336">
        <f t="shared" si="122"/>
        <v>15.137553164701195</v>
      </c>
      <c r="R255" s="692">
        <f t="shared" si="108"/>
        <v>4.2471383539017596E-2</v>
      </c>
      <c r="S255" s="329">
        <f t="shared" si="109"/>
        <v>0.99926991959835443</v>
      </c>
      <c r="T255" s="330">
        <f t="shared" si="110"/>
        <v>0.12474415493696708</v>
      </c>
      <c r="U255" s="331">
        <f t="shared" si="111"/>
        <v>8.1964685896591458</v>
      </c>
      <c r="V255" s="332">
        <f t="shared" si="112"/>
        <v>-109.80483281158524</v>
      </c>
      <c r="W255" s="334">
        <f t="shared" si="113"/>
        <v>70.195167188414757</v>
      </c>
      <c r="Y255" s="307">
        <f t="shared" si="114"/>
        <v>1000000000</v>
      </c>
      <c r="Z255" s="307">
        <f t="shared" si="115"/>
        <v>245501892.25</v>
      </c>
      <c r="AB255" s="333">
        <f t="shared" si="116"/>
        <v>23.670028070062017</v>
      </c>
      <c r="AC255" s="334">
        <f t="shared" si="117"/>
        <v>-19.434929962330461</v>
      </c>
      <c r="AE255" s="333">
        <f t="shared" si="118"/>
        <v>42.07110018965777</v>
      </c>
      <c r="AF255" s="334">
        <f t="shared" si="119"/>
        <v>-93.138835813306628</v>
      </c>
      <c r="AH255">
        <f t="shared" si="120"/>
        <v>0</v>
      </c>
      <c r="AI255">
        <f t="shared" si="125"/>
        <v>0</v>
      </c>
    </row>
    <row r="256" spans="1:35" x14ac:dyDescent="0.2">
      <c r="A256" s="335">
        <v>15758.75</v>
      </c>
      <c r="B256" s="352">
        <f t="shared" si="121"/>
        <v>15.758749999999999</v>
      </c>
      <c r="C256" s="325">
        <f t="shared" si="96"/>
        <v>20.013684735334863</v>
      </c>
      <c r="D256" s="326">
        <f t="shared" si="97"/>
        <v>1.5208097012210011</v>
      </c>
      <c r="E256" s="326">
        <f t="shared" si="98"/>
        <v>1.0001960607642082</v>
      </c>
      <c r="F256" s="327">
        <f t="shared" si="99"/>
        <v>1.9800441226427365E-2</v>
      </c>
      <c r="G256" s="326">
        <f t="shared" si="100"/>
        <v>1</v>
      </c>
      <c r="H256" s="327">
        <f t="shared" si="101"/>
        <v>0</v>
      </c>
      <c r="I256" s="325">
        <f t="shared" si="102"/>
        <v>20916.050632047987</v>
      </c>
      <c r="J256" s="328">
        <f t="shared" si="103"/>
        <v>1.57074851662184</v>
      </c>
      <c r="K256" s="336">
        <f t="shared" si="123"/>
        <v>4.1732806251293022</v>
      </c>
      <c r="L256" s="337">
        <f t="shared" si="124"/>
        <v>1.3288222685602651</v>
      </c>
      <c r="M256" s="325">
        <f t="shared" si="104"/>
        <v>1.0046730135492308</v>
      </c>
      <c r="N256" s="337">
        <f t="shared" si="105"/>
        <v>9.6487183336663729E-2</v>
      </c>
      <c r="O256" s="343">
        <f t="shared" si="106"/>
        <v>1.0041840693258612</v>
      </c>
      <c r="P256" s="691">
        <f t="shared" si="107"/>
        <v>9.131848145514318E-2</v>
      </c>
      <c r="Q256" s="336">
        <f t="shared" si="122"/>
        <v>15.137706283907328</v>
      </c>
      <c r="R256" s="692">
        <f t="shared" si="108"/>
        <v>4.2715733322948667E-2</v>
      </c>
      <c r="S256" s="329">
        <f t="shared" si="109"/>
        <v>0.99926190376574775</v>
      </c>
      <c r="T256" s="330">
        <f t="shared" si="110"/>
        <v>0.12546747170383926</v>
      </c>
      <c r="U256" s="331">
        <f t="shared" si="111"/>
        <v>8.1437804219504724</v>
      </c>
      <c r="V256" s="332">
        <f t="shared" si="112"/>
        <v>-109.79518133695731</v>
      </c>
      <c r="W256" s="334">
        <f t="shared" si="113"/>
        <v>70.204818663042687</v>
      </c>
      <c r="Y256" s="307">
        <f t="shared" si="114"/>
        <v>1000000000</v>
      </c>
      <c r="Z256" s="307">
        <f t="shared" si="115"/>
        <v>248338201.5625</v>
      </c>
      <c r="AB256" s="333">
        <f t="shared" si="116"/>
        <v>23.666687755717376</v>
      </c>
      <c r="AC256" s="334">
        <f t="shared" si="117"/>
        <v>-19.389661371815016</v>
      </c>
      <c r="AE256" s="333">
        <f t="shared" si="118"/>
        <v>42.021427694439843</v>
      </c>
      <c r="AF256" s="334">
        <f t="shared" si="119"/>
        <v>-93.19025230903641</v>
      </c>
      <c r="AH256">
        <f t="shared" si="120"/>
        <v>0</v>
      </c>
      <c r="AI256">
        <f t="shared" si="125"/>
        <v>0</v>
      </c>
    </row>
    <row r="257" spans="1:35" x14ac:dyDescent="0.2">
      <c r="A257" s="335">
        <v>15849</v>
      </c>
      <c r="B257" s="352">
        <f t="shared" si="121"/>
        <v>15.849</v>
      </c>
      <c r="C257" s="325">
        <f t="shared" si="96"/>
        <v>20.128017308675158</v>
      </c>
      <c r="D257" s="326">
        <f t="shared" si="97"/>
        <v>1.5210938734602768</v>
      </c>
      <c r="E257" s="326">
        <f t="shared" si="98"/>
        <v>1.0001983126423997</v>
      </c>
      <c r="F257" s="327">
        <f t="shared" si="99"/>
        <v>1.9913808008083563E-2</v>
      </c>
      <c r="G257" s="326">
        <f t="shared" si="100"/>
        <v>1</v>
      </c>
      <c r="H257" s="327">
        <f t="shared" si="101"/>
        <v>0</v>
      </c>
      <c r="I257" s="325">
        <f t="shared" si="102"/>
        <v>21035.836374269915</v>
      </c>
      <c r="J257" s="328">
        <f t="shared" si="103"/>
        <v>1.570748788870443</v>
      </c>
      <c r="K257" s="336">
        <f t="shared" si="123"/>
        <v>4.1958122954584791</v>
      </c>
      <c r="L257" s="337">
        <f t="shared" si="124"/>
        <v>1.330147431221</v>
      </c>
      <c r="M257" s="325">
        <f t="shared" si="104"/>
        <v>1.0047265650366395</v>
      </c>
      <c r="N257" s="337">
        <f t="shared" si="105"/>
        <v>9.7036310764816794E-2</v>
      </c>
      <c r="O257" s="343">
        <f t="shared" si="106"/>
        <v>1.0042320294219074</v>
      </c>
      <c r="P257" s="691">
        <f t="shared" si="107"/>
        <v>9.1838532899497519E-2</v>
      </c>
      <c r="Q257" s="336">
        <f t="shared" si="122"/>
        <v>15.137860280981071</v>
      </c>
      <c r="R257" s="692">
        <f t="shared" si="108"/>
        <v>4.2960078222759004E-2</v>
      </c>
      <c r="S257" s="329">
        <f t="shared" si="109"/>
        <v>0.99925385155224733</v>
      </c>
      <c r="T257" s="330">
        <f t="shared" si="110"/>
        <v>0.12619087069147961</v>
      </c>
      <c r="U257" s="331">
        <f t="shared" si="111"/>
        <v>8.0914218667511211</v>
      </c>
      <c r="V257" s="332">
        <f t="shared" si="112"/>
        <v>-109.78617071141124</v>
      </c>
      <c r="W257" s="334">
        <f t="shared" si="113"/>
        <v>70.213829288588755</v>
      </c>
      <c r="Y257" s="307">
        <f t="shared" si="114"/>
        <v>1000000000</v>
      </c>
      <c r="Z257" s="307">
        <f t="shared" si="115"/>
        <v>251190801</v>
      </c>
      <c r="AB257" s="333">
        <f t="shared" si="116"/>
        <v>23.66339204213088</v>
      </c>
      <c r="AC257" s="334">
        <f t="shared" si="117"/>
        <v>-19.345213426879763</v>
      </c>
      <c r="AE257" s="333">
        <f t="shared" si="118"/>
        <v>41.972038384140077</v>
      </c>
      <c r="AF257" s="334">
        <f t="shared" si="119"/>
        <v>-93.241486449830177</v>
      </c>
      <c r="AH257">
        <f t="shared" si="120"/>
        <v>0</v>
      </c>
      <c r="AI257">
        <f t="shared" si="125"/>
        <v>0</v>
      </c>
    </row>
    <row r="258" spans="1:35" x14ac:dyDescent="0.2">
      <c r="A258" s="335">
        <v>15941.25</v>
      </c>
      <c r="B258" s="352">
        <f t="shared" si="121"/>
        <v>15.94125</v>
      </c>
      <c r="C258" s="325">
        <f t="shared" si="96"/>
        <v>20.244885228511812</v>
      </c>
      <c r="D258" s="326">
        <f t="shared" si="97"/>
        <v>1.5213810259255649</v>
      </c>
      <c r="E258" s="326">
        <f t="shared" si="98"/>
        <v>1.0002006277086795</v>
      </c>
      <c r="F258" s="327">
        <f t="shared" si="99"/>
        <v>2.0029686543893782E-2</v>
      </c>
      <c r="G258" s="326">
        <f t="shared" si="100"/>
        <v>1</v>
      </c>
      <c r="H258" s="327">
        <f t="shared" si="101"/>
        <v>0</v>
      </c>
      <c r="I258" s="325">
        <f t="shared" si="102"/>
        <v>21158.27664817702</v>
      </c>
      <c r="J258" s="328">
        <f t="shared" si="103"/>
        <v>1.5707490639664063</v>
      </c>
      <c r="K258" s="336">
        <f t="shared" si="123"/>
        <v>4.2188508151486559</v>
      </c>
      <c r="L258" s="337">
        <f t="shared" si="124"/>
        <v>1.3314873293418561</v>
      </c>
      <c r="M258" s="325">
        <f t="shared" si="104"/>
        <v>1.004781616338285</v>
      </c>
      <c r="N258" s="337">
        <f t="shared" si="105"/>
        <v>9.7597546554837836E-2</v>
      </c>
      <c r="O258" s="343">
        <f t="shared" si="106"/>
        <v>1.0042813330113678</v>
      </c>
      <c r="P258" s="691">
        <f t="shared" si="107"/>
        <v>9.2370057548028919E-2</v>
      </c>
      <c r="Q258" s="336">
        <f t="shared" si="122"/>
        <v>15.138018597968845</v>
      </c>
      <c r="R258" s="692">
        <f t="shared" si="108"/>
        <v>4.3209832891408069E-2</v>
      </c>
      <c r="S258" s="329">
        <f t="shared" si="109"/>
        <v>0.99924558347017634</v>
      </c>
      <c r="T258" s="330">
        <f t="shared" si="110"/>
        <v>0.12693038613394725</v>
      </c>
      <c r="U258" s="331">
        <f t="shared" si="111"/>
        <v>8.0382392841800492</v>
      </c>
      <c r="V258" s="332">
        <f t="shared" si="112"/>
        <v>-109.77761256441357</v>
      </c>
      <c r="W258" s="334">
        <f t="shared" si="113"/>
        <v>70.222387435586427</v>
      </c>
      <c r="Y258" s="307">
        <f t="shared" si="114"/>
        <v>1000000000</v>
      </c>
      <c r="Z258" s="307">
        <f t="shared" si="115"/>
        <v>254123451.5625</v>
      </c>
      <c r="AB258" s="333">
        <f t="shared" si="116"/>
        <v>23.660068330771736</v>
      </c>
      <c r="AC258" s="334">
        <f t="shared" si="117"/>
        <v>-19.300615123443784</v>
      </c>
      <c r="AE258" s="333">
        <f t="shared" si="118"/>
        <v>41.921843922137647</v>
      </c>
      <c r="AF258" s="334">
        <f t="shared" si="119"/>
        <v>-93.29367083692766</v>
      </c>
      <c r="AH258">
        <f t="shared" si="120"/>
        <v>0</v>
      </c>
      <c r="AI258">
        <f t="shared" si="125"/>
        <v>0</v>
      </c>
    </row>
    <row r="259" spans="1:35" x14ac:dyDescent="0.2">
      <c r="A259" s="335">
        <v>16033.5</v>
      </c>
      <c r="B259" s="352">
        <f t="shared" si="121"/>
        <v>16.0335</v>
      </c>
      <c r="C259" s="325">
        <f t="shared" si="96"/>
        <v>20.361754798509118</v>
      </c>
      <c r="D259" s="326">
        <f t="shared" si="97"/>
        <v>1.5216648820984207</v>
      </c>
      <c r="E259" s="326">
        <f t="shared" si="98"/>
        <v>1.0002029562054264</v>
      </c>
      <c r="F259" s="327">
        <f t="shared" si="99"/>
        <v>2.0145564541723896E-2</v>
      </c>
      <c r="G259" s="326">
        <f t="shared" si="100"/>
        <v>1</v>
      </c>
      <c r="H259" s="327">
        <f t="shared" si="101"/>
        <v>0</v>
      </c>
      <c r="I259" s="325">
        <f t="shared" si="102"/>
        <v>21280.716922085707</v>
      </c>
      <c r="J259" s="328">
        <f t="shared" si="103"/>
        <v>1.5707493358967972</v>
      </c>
      <c r="K259" s="336">
        <f t="shared" si="123"/>
        <v>4.2418968267736989</v>
      </c>
      <c r="L259" s="337">
        <f t="shared" si="124"/>
        <v>1.3328126706227452</v>
      </c>
      <c r="M259" s="325">
        <f t="shared" si="104"/>
        <v>1.0048369840969462</v>
      </c>
      <c r="N259" s="337">
        <f t="shared" si="105"/>
        <v>9.8158720672034308E-2</v>
      </c>
      <c r="O259" s="343">
        <f t="shared" si="106"/>
        <v>1.0043309203009323</v>
      </c>
      <c r="P259" s="691">
        <f t="shared" si="107"/>
        <v>9.2901529860279913E-2</v>
      </c>
      <c r="Q259" s="336">
        <f t="shared" si="122"/>
        <v>15.138177832106887</v>
      </c>
      <c r="R259" s="692">
        <f t="shared" si="108"/>
        <v>4.3459582398395945E-2</v>
      </c>
      <c r="S259" s="329">
        <f t="shared" si="109"/>
        <v>0.99923727772898985</v>
      </c>
      <c r="T259" s="330">
        <f t="shared" si="110"/>
        <v>0.12766998845205332</v>
      </c>
      <c r="U259" s="331">
        <f t="shared" si="111"/>
        <v>7.9853922884810293</v>
      </c>
      <c r="V259" s="332">
        <f t="shared" si="112"/>
        <v>-109.76970359563688</v>
      </c>
      <c r="W259" s="334">
        <f t="shared" si="113"/>
        <v>70.230296404363116</v>
      </c>
      <c r="Y259" s="307">
        <f t="shared" si="114"/>
        <v>1000000000</v>
      </c>
      <c r="Z259" s="307">
        <f t="shared" si="115"/>
        <v>257073122.25</v>
      </c>
      <c r="AB259" s="333">
        <f t="shared" si="116"/>
        <v>23.656789103016422</v>
      </c>
      <c r="AC259" s="334">
        <f t="shared" si="117"/>
        <v>-19.256847150535418</v>
      </c>
      <c r="AE259" s="333">
        <f t="shared" si="118"/>
        <v>41.871938656062675</v>
      </c>
      <c r="AF259" s="334">
        <f t="shared" si="119"/>
        <v>-93.345671368811921</v>
      </c>
      <c r="AH259">
        <f t="shared" si="120"/>
        <v>0</v>
      </c>
      <c r="AI259">
        <f t="shared" si="125"/>
        <v>0</v>
      </c>
    </row>
    <row r="260" spans="1:35" x14ac:dyDescent="0.2">
      <c r="A260" s="335">
        <v>16125.75</v>
      </c>
      <c r="B260" s="352">
        <f t="shared" si="121"/>
        <v>16.12575</v>
      </c>
      <c r="C260" s="325">
        <f t="shared" si="96"/>
        <v>20.478625990415143</v>
      </c>
      <c r="D260" s="326">
        <f t="shared" si="97"/>
        <v>1.52194549836837</v>
      </c>
      <c r="E260" s="326">
        <f t="shared" si="98"/>
        <v>1.000205298132546</v>
      </c>
      <c r="F260" s="327">
        <f t="shared" si="99"/>
        <v>2.0261441998465728E-2</v>
      </c>
      <c r="G260" s="326">
        <f t="shared" si="100"/>
        <v>1</v>
      </c>
      <c r="H260" s="327">
        <f t="shared" si="101"/>
        <v>0</v>
      </c>
      <c r="I260" s="325">
        <f t="shared" si="102"/>
        <v>21403.157195995951</v>
      </c>
      <c r="J260" s="328">
        <f t="shared" si="103"/>
        <v>1.5707496047159433</v>
      </c>
      <c r="K260" s="336">
        <f t="shared" si="123"/>
        <v>4.2649502088837412</v>
      </c>
      <c r="L260" s="337">
        <f t="shared" si="124"/>
        <v>1.3341236864222705</v>
      </c>
      <c r="M260" s="325">
        <f t="shared" si="104"/>
        <v>1.0048926682603141</v>
      </c>
      <c r="N260" s="337">
        <f t="shared" si="105"/>
        <v>9.8719832773183885E-2</v>
      </c>
      <c r="O260" s="343">
        <f t="shared" si="106"/>
        <v>1.0043807912485807</v>
      </c>
      <c r="P260" s="691">
        <f t="shared" si="107"/>
        <v>9.3432949543782173E-2</v>
      </c>
      <c r="Q260" s="336">
        <f t="shared" si="122"/>
        <v>15.138337983366279</v>
      </c>
      <c r="R260" s="692">
        <f t="shared" si="108"/>
        <v>4.3709326714071149E-2</v>
      </c>
      <c r="S260" s="329">
        <f t="shared" si="109"/>
        <v>0.99922893450821526</v>
      </c>
      <c r="T260" s="330">
        <f t="shared" si="110"/>
        <v>0.12840967813596407</v>
      </c>
      <c r="U260" s="331">
        <f t="shared" si="111"/>
        <v>7.9328765615273849</v>
      </c>
      <c r="V260" s="332">
        <f t="shared" si="112"/>
        <v>-109.76243380685987</v>
      </c>
      <c r="W260" s="334">
        <f t="shared" si="113"/>
        <v>70.237566193140125</v>
      </c>
      <c r="Y260" s="307">
        <f t="shared" si="114"/>
        <v>1000000000</v>
      </c>
      <c r="Z260" s="307">
        <f t="shared" si="115"/>
        <v>260039813.0625</v>
      </c>
      <c r="AB260" s="333">
        <f t="shared" si="116"/>
        <v>23.653553332172528</v>
      </c>
      <c r="AC260" s="334">
        <f t="shared" si="117"/>
        <v>-19.21389623573069</v>
      </c>
      <c r="AE260" s="333">
        <f t="shared" si="118"/>
        <v>41.822319295172427</v>
      </c>
      <c r="AF260" s="334">
        <f t="shared" si="119"/>
        <v>-93.39749130462738</v>
      </c>
      <c r="AH260">
        <f t="shared" si="120"/>
        <v>0</v>
      </c>
      <c r="AI260">
        <f t="shared" si="125"/>
        <v>0</v>
      </c>
    </row>
    <row r="261" spans="1:35" x14ac:dyDescent="0.2">
      <c r="A261" s="335">
        <v>16218</v>
      </c>
      <c r="B261" s="352">
        <f t="shared" si="121"/>
        <v>16.218</v>
      </c>
      <c r="C261" s="325">
        <f t="shared" si="96"/>
        <v>20.595498776618836</v>
      </c>
      <c r="D261" s="326">
        <f t="shared" si="97"/>
        <v>1.5222229298470373</v>
      </c>
      <c r="E261" s="326">
        <f t="shared" si="98"/>
        <v>1.0002076534899442</v>
      </c>
      <c r="F261" s="327">
        <f t="shared" si="99"/>
        <v>2.0377318911011182E-2</v>
      </c>
      <c r="G261" s="326">
        <f t="shared" si="100"/>
        <v>1</v>
      </c>
      <c r="H261" s="327">
        <f t="shared" si="101"/>
        <v>0</v>
      </c>
      <c r="I261" s="325">
        <f t="shared" si="102"/>
        <v>21525.597469907723</v>
      </c>
      <c r="J261" s="328">
        <f t="shared" si="103"/>
        <v>1.5707498704769358</v>
      </c>
      <c r="K261" s="336">
        <f t="shared" si="123"/>
        <v>4.2880108426022572</v>
      </c>
      <c r="L261" s="337">
        <f t="shared" si="124"/>
        <v>1.3354206033214826</v>
      </c>
      <c r="M261" s="325">
        <f t="shared" si="104"/>
        <v>1.0049486687757927</v>
      </c>
      <c r="N261" s="337">
        <f t="shared" si="105"/>
        <v>9.9280882515296293E-2</v>
      </c>
      <c r="O261" s="343">
        <f t="shared" si="106"/>
        <v>1.0044309458120615</v>
      </c>
      <c r="P261" s="691">
        <f t="shared" si="107"/>
        <v>9.3964316306244244E-2</v>
      </c>
      <c r="Q261" s="336">
        <f t="shared" si="122"/>
        <v>15.138499051717945</v>
      </c>
      <c r="R261" s="692">
        <f t="shared" si="108"/>
        <v>4.3959065808785946E-2</v>
      </c>
      <c r="S261" s="329">
        <f t="shared" si="109"/>
        <v>0.99922055398842313</v>
      </c>
      <c r="T261" s="330">
        <f t="shared" si="110"/>
        <v>0.1291494556756218</v>
      </c>
      <c r="U261" s="331">
        <f t="shared" si="111"/>
        <v>7.8806878684979385</v>
      </c>
      <c r="V261" s="332">
        <f t="shared" si="112"/>
        <v>-109.75579340029616</v>
      </c>
      <c r="W261" s="334">
        <f t="shared" si="113"/>
        <v>70.244206599703844</v>
      </c>
      <c r="Y261" s="307">
        <f t="shared" si="114"/>
        <v>1000000000</v>
      </c>
      <c r="Z261" s="307">
        <f t="shared" si="115"/>
        <v>263023524</v>
      </c>
      <c r="AB261" s="333">
        <f t="shared" si="116"/>
        <v>23.650360019118501</v>
      </c>
      <c r="AC261" s="334">
        <f t="shared" si="117"/>
        <v>-19.17174938028165</v>
      </c>
      <c r="AE261" s="333">
        <f t="shared" si="118"/>
        <v>41.772982604462626</v>
      </c>
      <c r="AF261" s="334">
        <f t="shared" si="119"/>
        <v>-93.449133830287195</v>
      </c>
      <c r="AH261">
        <f t="shared" si="120"/>
        <v>0</v>
      </c>
      <c r="AI261">
        <f t="shared" si="125"/>
        <v>0</v>
      </c>
    </row>
    <row r="262" spans="1:35" x14ac:dyDescent="0.2">
      <c r="A262" s="335">
        <v>16312.5</v>
      </c>
      <c r="B262" s="352">
        <f t="shared" si="121"/>
        <v>16.3125</v>
      </c>
      <c r="C262" s="325">
        <f t="shared" si="96"/>
        <v>20.715223743476205</v>
      </c>
      <c r="D262" s="326">
        <f t="shared" si="97"/>
        <v>1.5225038819947465</v>
      </c>
      <c r="E262" s="326">
        <f t="shared" si="98"/>
        <v>1.00021008022061</v>
      </c>
      <c r="F262" s="327">
        <f t="shared" si="99"/>
        <v>2.0496021522199561E-2</v>
      </c>
      <c r="G262" s="326">
        <f t="shared" si="100"/>
        <v>1</v>
      </c>
      <c r="H262" s="327">
        <f t="shared" si="101"/>
        <v>0</v>
      </c>
      <c r="I262" s="325">
        <f t="shared" si="102"/>
        <v>21651.024091965242</v>
      </c>
      <c r="J262" s="328">
        <f t="shared" si="103"/>
        <v>1.5707501396031911</v>
      </c>
      <c r="K262" s="336">
        <f t="shared" si="123"/>
        <v>4.3116413282425086</v>
      </c>
      <c r="L262" s="337">
        <f t="shared" si="124"/>
        <v>1.3367347653832122</v>
      </c>
      <c r="M262" s="325">
        <f t="shared" si="104"/>
        <v>1.0050063631222865</v>
      </c>
      <c r="N262" s="337">
        <f t="shared" si="105"/>
        <v>9.985555138015989E-2</v>
      </c>
      <c r="O262" s="343">
        <f t="shared" si="106"/>
        <v>1.0044826176895494</v>
      </c>
      <c r="P262" s="691">
        <f t="shared" si="107"/>
        <v>9.4508588055378553E-2</v>
      </c>
      <c r="Q262" s="336">
        <f t="shared" si="122"/>
        <v>15.138664999452629</v>
      </c>
      <c r="R262" s="692">
        <f t="shared" si="108"/>
        <v>4.4214890656421556E-2</v>
      </c>
      <c r="S262" s="329">
        <f t="shared" si="109"/>
        <v>0.99921193058084923</v>
      </c>
      <c r="T262" s="330">
        <f t="shared" si="110"/>
        <v>0.12990736817792503</v>
      </c>
      <c r="U262" s="331">
        <f t="shared" si="111"/>
        <v>7.82756103502415</v>
      </c>
      <c r="V262" s="332">
        <f t="shared" si="112"/>
        <v>-109.74963359215194</v>
      </c>
      <c r="W262" s="334">
        <f t="shared" si="113"/>
        <v>70.250366407848063</v>
      </c>
      <c r="Y262" s="307">
        <f t="shared" si="114"/>
        <v>1000000000</v>
      </c>
      <c r="Z262" s="307">
        <f t="shared" si="115"/>
        <v>266097656.25</v>
      </c>
      <c r="AB262" s="333">
        <f t="shared" si="116"/>
        <v>23.647131827809758</v>
      </c>
      <c r="AC262" s="334">
        <f t="shared" si="117"/>
        <v>-19.129394960872787</v>
      </c>
      <c r="AE262" s="333">
        <f t="shared" si="118"/>
        <v>41.722732351391052</v>
      </c>
      <c r="AF262" s="334">
        <f t="shared" si="119"/>
        <v>-93.501855231640207</v>
      </c>
      <c r="AH262">
        <f t="shared" si="120"/>
        <v>0</v>
      </c>
      <c r="AI262">
        <f t="shared" si="125"/>
        <v>0</v>
      </c>
    </row>
    <row r="263" spans="1:35" x14ac:dyDescent="0.2">
      <c r="A263" s="335">
        <v>16407</v>
      </c>
      <c r="B263" s="352">
        <f t="shared" si="121"/>
        <v>16.407</v>
      </c>
      <c r="C263" s="325">
        <f t="shared" si="96"/>
        <v>20.834950326679074</v>
      </c>
      <c r="D263" s="326">
        <f t="shared" si="97"/>
        <v>1.5227816052204786</v>
      </c>
      <c r="E263" s="326">
        <f t="shared" si="98"/>
        <v>1.000212521044477</v>
      </c>
      <c r="F263" s="327">
        <f t="shared" si="99"/>
        <v>2.0614723555719274E-2</v>
      </c>
      <c r="G263" s="326">
        <f t="shared" si="100"/>
        <v>1</v>
      </c>
      <c r="H263" s="327">
        <f t="shared" si="101"/>
        <v>0</v>
      </c>
      <c r="I263" s="325">
        <f t="shared" si="102"/>
        <v>21776.450714024315</v>
      </c>
      <c r="J263" s="328">
        <f t="shared" si="103"/>
        <v>1.5707504056292538</v>
      </c>
      <c r="K263" s="336">
        <f t="shared" si="123"/>
        <v>4.3352791789987082</v>
      </c>
      <c r="L263" s="337">
        <f t="shared" si="124"/>
        <v>1.33803459888915</v>
      </c>
      <c r="M263" s="325">
        <f t="shared" si="104"/>
        <v>1.0050643893282392</v>
      </c>
      <c r="N263" s="337">
        <f t="shared" si="105"/>
        <v>0.10043015407910762</v>
      </c>
      <c r="O263" s="343">
        <f t="shared" si="106"/>
        <v>1.0045345870960043</v>
      </c>
      <c r="P263" s="691">
        <f t="shared" si="107"/>
        <v>9.5052803650121392E-2</v>
      </c>
      <c r="Q263" s="336">
        <f t="shared" si="122"/>
        <v>15.138831909499041</v>
      </c>
      <c r="R263" s="692">
        <f t="shared" si="108"/>
        <v>4.4470709962340073E-2</v>
      </c>
      <c r="S263" s="329">
        <f t="shared" si="109"/>
        <v>0.9992032684195552</v>
      </c>
      <c r="T263" s="330">
        <f t="shared" si="110"/>
        <v>0.1306653739139659</v>
      </c>
      <c r="U263" s="331">
        <f t="shared" si="111"/>
        <v>7.7747686455383915</v>
      </c>
      <c r="V263" s="332">
        <f t="shared" si="112"/>
        <v>-109.74411405241476</v>
      </c>
      <c r="W263" s="334">
        <f t="shared" si="113"/>
        <v>70.255885947585242</v>
      </c>
      <c r="Y263" s="307">
        <f t="shared" si="114"/>
        <v>1000000000</v>
      </c>
      <c r="Z263" s="307">
        <f t="shared" si="115"/>
        <v>269189649</v>
      </c>
      <c r="AB263" s="333">
        <f t="shared" si="116"/>
        <v>23.643946153124119</v>
      </c>
      <c r="AC263" s="334">
        <f t="shared" si="117"/>
        <v>-19.087857538582565</v>
      </c>
      <c r="AE263" s="333">
        <f t="shared" si="118"/>
        <v>41.672772027112444</v>
      </c>
      <c r="AF263" s="334">
        <f t="shared" si="119"/>
        <v>-93.554397004389003</v>
      </c>
      <c r="AH263">
        <f t="shared" si="120"/>
        <v>0</v>
      </c>
      <c r="AI263">
        <f t="shared" si="125"/>
        <v>0</v>
      </c>
    </row>
    <row r="264" spans="1:35" x14ac:dyDescent="0.2">
      <c r="A264" s="335">
        <v>16501.5</v>
      </c>
      <c r="B264" s="352">
        <f t="shared" si="121"/>
        <v>16.5015</v>
      </c>
      <c r="C264" s="325">
        <f t="shared" si="96"/>
        <v>20.954678498522007</v>
      </c>
      <c r="D264" s="326">
        <f t="shared" si="97"/>
        <v>1.5230561548280293</v>
      </c>
      <c r="E264" s="326">
        <f t="shared" si="98"/>
        <v>1.0002149759614423</v>
      </c>
      <c r="F264" s="327">
        <f t="shared" si="99"/>
        <v>2.0733425008229497E-2</v>
      </c>
      <c r="G264" s="326">
        <f t="shared" si="100"/>
        <v>1</v>
      </c>
      <c r="H264" s="327">
        <f t="shared" si="101"/>
        <v>0</v>
      </c>
      <c r="I264" s="325">
        <f t="shared" si="102"/>
        <v>21901.877336084908</v>
      </c>
      <c r="J264" s="328">
        <f t="shared" si="103"/>
        <v>1.5707506686083859</v>
      </c>
      <c r="K264" s="336">
        <f t="shared" si="123"/>
        <v>4.358924275050807</v>
      </c>
      <c r="L264" s="337">
        <f t="shared" si="124"/>
        <v>1.3393203325877279</v>
      </c>
      <c r="M264" s="325">
        <f t="shared" si="104"/>
        <v>1.0051227473361757</v>
      </c>
      <c r="N264" s="337">
        <f t="shared" si="105"/>
        <v>0.10100469024420068</v>
      </c>
      <c r="O264" s="343">
        <f t="shared" si="106"/>
        <v>1.0045868539852505</v>
      </c>
      <c r="P264" s="691">
        <f t="shared" si="107"/>
        <v>9.5596962776851493E-2</v>
      </c>
      <c r="Q264" s="336">
        <f t="shared" si="122"/>
        <v>15.138999781825389</v>
      </c>
      <c r="R264" s="692">
        <f t="shared" si="108"/>
        <v>4.4726523694683502E-2</v>
      </c>
      <c r="S264" s="329">
        <f t="shared" si="109"/>
        <v>0.99919456770205473</v>
      </c>
      <c r="T264" s="330">
        <f t="shared" si="110"/>
        <v>0.13142347340967747</v>
      </c>
      <c r="U264" s="331">
        <f t="shared" si="111"/>
        <v>7.7223064059513131</v>
      </c>
      <c r="V264" s="332">
        <f t="shared" si="112"/>
        <v>-109.73922487187832</v>
      </c>
      <c r="W264" s="334">
        <f t="shared" si="113"/>
        <v>70.260775128121679</v>
      </c>
      <c r="Y264" s="307">
        <f t="shared" si="114"/>
        <v>1000000000</v>
      </c>
      <c r="Z264" s="307">
        <f t="shared" si="115"/>
        <v>272299502.25</v>
      </c>
      <c r="AB264" s="333">
        <f t="shared" si="116"/>
        <v>23.64080200540732</v>
      </c>
      <c r="AC264" s="334">
        <f t="shared" si="117"/>
        <v>-19.047123989061589</v>
      </c>
      <c r="AE264" s="333">
        <f t="shared" si="118"/>
        <v>41.623098327951396</v>
      </c>
      <c r="AF264" s="334">
        <f t="shared" si="119"/>
        <v>-93.606762347532836</v>
      </c>
      <c r="AH264">
        <f t="shared" si="120"/>
        <v>0</v>
      </c>
      <c r="AI264">
        <f t="shared" si="125"/>
        <v>0</v>
      </c>
    </row>
    <row r="265" spans="1:35" x14ac:dyDescent="0.2">
      <c r="A265" s="335">
        <v>16596</v>
      </c>
      <c r="B265" s="352">
        <f t="shared" si="121"/>
        <v>16.596</v>
      </c>
      <c r="C265" s="325">
        <f t="shared" si="96"/>
        <v>21.074408231928807</v>
      </c>
      <c r="D265" s="326">
        <f t="shared" si="97"/>
        <v>1.5233275848663463</v>
      </c>
      <c r="E265" s="326">
        <f t="shared" si="98"/>
        <v>1.0002174449714023</v>
      </c>
      <c r="F265" s="327">
        <f t="shared" si="99"/>
        <v>2.0852125876389502E-2</v>
      </c>
      <c r="G265" s="326">
        <f t="shared" si="100"/>
        <v>1</v>
      </c>
      <c r="H265" s="327">
        <f t="shared" si="101"/>
        <v>0</v>
      </c>
      <c r="I265" s="325">
        <f t="shared" si="102"/>
        <v>22027.303958147004</v>
      </c>
      <c r="J265" s="328">
        <f t="shared" si="103"/>
        <v>1.5707509285926362</v>
      </c>
      <c r="K265" s="336">
        <f t="shared" si="123"/>
        <v>4.3825764991282563</v>
      </c>
      <c r="L265" s="337">
        <f t="shared" si="124"/>
        <v>1.3405921904780174</v>
      </c>
      <c r="M265" s="325">
        <f t="shared" si="104"/>
        <v>1.0051814370883054</v>
      </c>
      <c r="N265" s="337">
        <f t="shared" si="105"/>
        <v>0.10157915950776125</v>
      </c>
      <c r="O265" s="343">
        <f t="shared" si="106"/>
        <v>1.0046394183108585</v>
      </c>
      <c r="P265" s="691">
        <f t="shared" si="107"/>
        <v>9.6141065122146471E-2</v>
      </c>
      <c r="Q265" s="336">
        <f t="shared" si="122"/>
        <v>15.139168616399683</v>
      </c>
      <c r="R265" s="692">
        <f t="shared" si="108"/>
        <v>4.4982331821598123E-2</v>
      </c>
      <c r="S265" s="329">
        <f t="shared" si="109"/>
        <v>0.99918582862701044</v>
      </c>
      <c r="T265" s="330">
        <f t="shared" si="110"/>
        <v>0.13218166719073973</v>
      </c>
      <c r="U265" s="331">
        <f t="shared" si="111"/>
        <v>7.6701701048795945</v>
      </c>
      <c r="V265" s="332">
        <f t="shared" si="112"/>
        <v>-109.73495634147703</v>
      </c>
      <c r="W265" s="334">
        <f t="shared" si="113"/>
        <v>70.26504365852297</v>
      </c>
      <c r="Y265" s="307">
        <f t="shared" si="114"/>
        <v>1000000000</v>
      </c>
      <c r="Z265" s="307">
        <f t="shared" si="115"/>
        <v>275427216</v>
      </c>
      <c r="AB265" s="333">
        <f t="shared" si="116"/>
        <v>23.637698421677229</v>
      </c>
      <c r="AC265" s="334">
        <f t="shared" si="117"/>
        <v>-19.007181460024238</v>
      </c>
      <c r="AE265" s="333">
        <f t="shared" si="118"/>
        <v>41.573708006270479</v>
      </c>
      <c r="AF265" s="334">
        <f t="shared" si="119"/>
        <v>-93.658954388158932</v>
      </c>
      <c r="AH265">
        <f t="shared" si="120"/>
        <v>0</v>
      </c>
      <c r="AI265">
        <f t="shared" si="125"/>
        <v>0</v>
      </c>
    </row>
    <row r="266" spans="1:35" x14ac:dyDescent="0.2">
      <c r="A266" s="335">
        <v>16692.5</v>
      </c>
      <c r="B266" s="352">
        <f t="shared" si="121"/>
        <v>16.692499999999999</v>
      </c>
      <c r="C266" s="325">
        <f t="shared" si="96"/>
        <v>21.196673511934261</v>
      </c>
      <c r="D266" s="326">
        <f t="shared" si="97"/>
        <v>1.5236015950503865</v>
      </c>
      <c r="E266" s="326">
        <f t="shared" si="98"/>
        <v>1.0002199807789802</v>
      </c>
      <c r="F266" s="327">
        <f t="shared" si="99"/>
        <v>2.0973338325731797E-2</v>
      </c>
      <c r="G266" s="326">
        <f t="shared" si="100"/>
        <v>1</v>
      </c>
      <c r="H266" s="327">
        <f t="shared" si="101"/>
        <v>0</v>
      </c>
      <c r="I266" s="325">
        <f t="shared" si="102"/>
        <v>22155.385111894466</v>
      </c>
      <c r="J266" s="328">
        <f t="shared" si="103"/>
        <v>1.5707511910414313</v>
      </c>
      <c r="K266" s="336">
        <f t="shared" si="123"/>
        <v>4.4067365360052992</v>
      </c>
      <c r="L266" s="337">
        <f t="shared" si="124"/>
        <v>1.3418768745330272</v>
      </c>
      <c r="M266" s="325">
        <f t="shared" si="104"/>
        <v>1.0052417112412551</v>
      </c>
      <c r="N266" s="337">
        <f t="shared" si="105"/>
        <v>0.10216571742876476</v>
      </c>
      <c r="O266" s="343">
        <f t="shared" si="106"/>
        <v>1.0046934020058464</v>
      </c>
      <c r="P266" s="691">
        <f t="shared" si="107"/>
        <v>9.6696623938740192E-2</v>
      </c>
      <c r="Q266" s="336">
        <f t="shared" si="122"/>
        <v>15.139342017170058</v>
      </c>
      <c r="R266" s="692">
        <f t="shared" si="108"/>
        <v>4.5243548059390813E-2</v>
      </c>
      <c r="S266" s="329">
        <f t="shared" si="109"/>
        <v>0.99917686522182392</v>
      </c>
      <c r="T266" s="330">
        <f t="shared" si="110"/>
        <v>0.13295600524673015</v>
      </c>
      <c r="U266" s="331">
        <f t="shared" si="111"/>
        <v>7.6172624563097155</v>
      </c>
      <c r="V266" s="332">
        <f t="shared" si="112"/>
        <v>-109.73122807798039</v>
      </c>
      <c r="W266" s="334">
        <f t="shared" si="113"/>
        <v>70.26877192201961</v>
      </c>
      <c r="Y266" s="307">
        <f t="shared" si="114"/>
        <v>1000000000</v>
      </c>
      <c r="Z266" s="307">
        <f t="shared" si="115"/>
        <v>278639556.25</v>
      </c>
      <c r="AB266" s="333">
        <f t="shared" si="116"/>
        <v>23.634570040647613</v>
      </c>
      <c r="AC266" s="334">
        <f t="shared" si="117"/>
        <v>-18.967196816140497</v>
      </c>
      <c r="AE266" s="333">
        <f t="shared" si="118"/>
        <v>41.523561505949004</v>
      </c>
      <c r="AF266" s="334">
        <f t="shared" si="119"/>
        <v>-93.712075356061604</v>
      </c>
      <c r="AH266">
        <f t="shared" si="120"/>
        <v>0</v>
      </c>
      <c r="AI266">
        <f t="shared" si="125"/>
        <v>0</v>
      </c>
    </row>
    <row r="267" spans="1:35" x14ac:dyDescent="0.2">
      <c r="A267" s="335">
        <v>16789</v>
      </c>
      <c r="B267" s="352">
        <f t="shared" si="121"/>
        <v>16.789000000000001</v>
      </c>
      <c r="C267" s="325">
        <f t="shared" si="96"/>
        <v>21.318940365164959</v>
      </c>
      <c r="D267" s="326">
        <f t="shared" si="97"/>
        <v>1.5238724622875759</v>
      </c>
      <c r="E267" s="326">
        <f t="shared" si="98"/>
        <v>1.0002225312821735</v>
      </c>
      <c r="F267" s="327">
        <f t="shared" si="99"/>
        <v>2.1094550158687071E-2</v>
      </c>
      <c r="G267" s="326">
        <f t="shared" si="100"/>
        <v>1</v>
      </c>
      <c r="H267" s="327">
        <f t="shared" si="101"/>
        <v>0</v>
      </c>
      <c r="I267" s="325">
        <f t="shared" si="102"/>
        <v>22283.466265643441</v>
      </c>
      <c r="J267" s="328">
        <f t="shared" si="103"/>
        <v>1.5707514504732143</v>
      </c>
      <c r="K267" s="336">
        <f t="shared" si="123"/>
        <v>4.4309037664980666</v>
      </c>
      <c r="L267" s="337">
        <f t="shared" si="124"/>
        <v>1.3431475467054319</v>
      </c>
      <c r="M267" s="325">
        <f t="shared" si="104"/>
        <v>1.0053023312062699</v>
      </c>
      <c r="N267" s="337">
        <f t="shared" si="105"/>
        <v>0.10275220481237028</v>
      </c>
      <c r="O267" s="343">
        <f t="shared" si="106"/>
        <v>1.0047476957616535</v>
      </c>
      <c r="P267" s="691">
        <f t="shared" si="107"/>
        <v>9.7252122885081019E-2</v>
      </c>
      <c r="Q267" s="336">
        <f t="shared" si="122"/>
        <v>15.139516421281471</v>
      </c>
      <c r="R267" s="692">
        <f t="shared" si="108"/>
        <v>4.5504758384855098E-2</v>
      </c>
      <c r="S267" s="329">
        <f t="shared" si="109"/>
        <v>0.99916786224068244</v>
      </c>
      <c r="T267" s="330">
        <f t="shared" si="110"/>
        <v>0.13373044272833831</v>
      </c>
      <c r="U267" s="331">
        <f t="shared" si="111"/>
        <v>7.5646860672620351</v>
      </c>
      <c r="V267" s="332">
        <f t="shared" si="112"/>
        <v>-109.72812716781968</v>
      </c>
      <c r="W267" s="334">
        <f t="shared" si="113"/>
        <v>70.271872832180321</v>
      </c>
      <c r="Y267" s="307">
        <f t="shared" si="114"/>
        <v>1000000000</v>
      </c>
      <c r="Z267" s="307">
        <f t="shared" si="115"/>
        <v>281870521</v>
      </c>
      <c r="AB267" s="333">
        <f t="shared" si="116"/>
        <v>23.631482010582655</v>
      </c>
      <c r="AC267" s="334">
        <f t="shared" si="117"/>
        <v>-18.928010779636718</v>
      </c>
      <c r="AE267" s="333">
        <f t="shared" si="118"/>
        <v>41.47370383333373</v>
      </c>
      <c r="AF267" s="334">
        <f t="shared" si="119"/>
        <v>-93.765021978358931</v>
      </c>
      <c r="AH267">
        <f t="shared" si="120"/>
        <v>0</v>
      </c>
      <c r="AI267">
        <f t="shared" si="125"/>
        <v>0</v>
      </c>
    </row>
    <row r="268" spans="1:35" x14ac:dyDescent="0.2">
      <c r="A268" s="335">
        <v>16885.5</v>
      </c>
      <c r="B268" s="352">
        <f t="shared" si="121"/>
        <v>16.8855</v>
      </c>
      <c r="C268" s="325">
        <f t="shared" si="96"/>
        <v>21.441208764707312</v>
      </c>
      <c r="D268" s="326">
        <f t="shared" si="97"/>
        <v>1.5241402403057465</v>
      </c>
      <c r="E268" s="326">
        <f t="shared" si="98"/>
        <v>1.0002250964808697</v>
      </c>
      <c r="F268" s="327">
        <f t="shared" si="99"/>
        <v>2.1215761371698283E-2</v>
      </c>
      <c r="G268" s="326">
        <f t="shared" si="100"/>
        <v>1</v>
      </c>
      <c r="H268" s="327">
        <f t="shared" si="101"/>
        <v>0</v>
      </c>
      <c r="I268" s="325">
        <f t="shared" si="102"/>
        <v>22411.547419393894</v>
      </c>
      <c r="J268" s="328">
        <f t="shared" si="103"/>
        <v>1.5707517069397112</v>
      </c>
      <c r="K268" s="336">
        <f t="shared" si="123"/>
        <v>4.4550780735380604</v>
      </c>
      <c r="L268" s="337">
        <f t="shared" si="124"/>
        <v>1.3444044309535794</v>
      </c>
      <c r="M268" s="325">
        <f t="shared" si="104"/>
        <v>1.0053632969207955</v>
      </c>
      <c r="N268" s="337">
        <f t="shared" si="105"/>
        <v>0.10333862126790884</v>
      </c>
      <c r="O268" s="343">
        <f t="shared" si="106"/>
        <v>1.0048022995280175</v>
      </c>
      <c r="P268" s="691">
        <f t="shared" si="107"/>
        <v>9.7807561628071346E-2</v>
      </c>
      <c r="Q268" s="336">
        <f t="shared" si="122"/>
        <v>15.139691828699275</v>
      </c>
      <c r="R268" s="692">
        <f t="shared" si="108"/>
        <v>4.576596276408551E-2</v>
      </c>
      <c r="S268" s="329">
        <f t="shared" si="109"/>
        <v>0.99915881989884148</v>
      </c>
      <c r="T268" s="330">
        <f t="shared" si="110"/>
        <v>0.13450498019450438</v>
      </c>
      <c r="U268" s="331">
        <f t="shared" si="111"/>
        <v>7.5124367068284332</v>
      </c>
      <c r="V268" s="332">
        <f t="shared" si="112"/>
        <v>-109.72564388745604</v>
      </c>
      <c r="W268" s="334">
        <f t="shared" si="113"/>
        <v>70.274356112543956</v>
      </c>
      <c r="Y268" s="307">
        <f t="shared" si="114"/>
        <v>1000000000</v>
      </c>
      <c r="Z268" s="307">
        <f t="shared" si="115"/>
        <v>285120110.25</v>
      </c>
      <c r="AB268" s="333">
        <f t="shared" si="116"/>
        <v>23.628433386765735</v>
      </c>
      <c r="AC268" s="334">
        <f t="shared" si="117"/>
        <v>-18.889610499224752</v>
      </c>
      <c r="AE268" s="333">
        <f t="shared" si="118"/>
        <v>41.424131703059672</v>
      </c>
      <c r="AF268" s="334">
        <f t="shared" si="119"/>
        <v>-93.81779736565764</v>
      </c>
      <c r="AH268">
        <f t="shared" si="120"/>
        <v>0</v>
      </c>
      <c r="AI268">
        <f t="shared" si="125"/>
        <v>0</v>
      </c>
    </row>
    <row r="269" spans="1:35" x14ac:dyDescent="0.2">
      <c r="A269" s="335">
        <v>16982</v>
      </c>
      <c r="B269" s="352">
        <f t="shared" si="121"/>
        <v>16.981999999999999</v>
      </c>
      <c r="C269" s="325">
        <f t="shared" ref="C269:C332" si="126">SQRT(1+(A269/pole1)^2)</f>
        <v>21.563478684257806</v>
      </c>
      <c r="D269" s="326">
        <f t="shared" ref="D269:D332" si="127">ATAN(A269/pole1)</f>
        <v>1.524404981615928</v>
      </c>
      <c r="E269" s="326">
        <f t="shared" ref="E269:E332" si="128">SQRT(1+(A269/Zero1)^2)</f>
        <v>1.0002276763749556</v>
      </c>
      <c r="F269" s="327">
        <f t="shared" ref="F269:F332" si="129">ATAN(A269/Zero1)</f>
        <v>2.1336971961208515E-2</v>
      </c>
      <c r="G269" s="326">
        <f t="shared" ref="G269:G332" si="130">IF(VIN_nom&gt;Vout, 1, SQRT(1+(A269/z_RHP)^2))</f>
        <v>1</v>
      </c>
      <c r="H269" s="327">
        <f t="shared" ref="H269:H332" si="131">IF(VIN_nom&gt;Vout, 0, -ATAN(A269/z_RHP))</f>
        <v>0</v>
      </c>
      <c r="I269" s="325">
        <f t="shared" ref="I269:I332" si="132">SQRT(1+(A269/Pole2)^2)</f>
        <v>22539.628573145805</v>
      </c>
      <c r="J269" s="328">
        <f t="shared" ref="J269:J332" si="133">ATAN(A269/Pole2)</f>
        <v>1.5707519604914733</v>
      </c>
      <c r="K269" s="336">
        <f t="shared" si="123"/>
        <v>4.479259342550117</v>
      </c>
      <c r="L269" s="337">
        <f t="shared" si="124"/>
        <v>1.3456477465760479</v>
      </c>
      <c r="M269" s="325">
        <f t="shared" ref="M269:M332" si="134">SQRT(1+(A269/pole4)^2)</f>
        <v>1.0054246083219369</v>
      </c>
      <c r="N269" s="337">
        <f t="shared" ref="N269:N332" si="135">ATAN(A269/pole4)</f>
        <v>0.10392496640500107</v>
      </c>
      <c r="O269" s="343">
        <f t="shared" ref="O269:O332" si="136">IF(VOUT_setting=1,1,SQRT(1+(A269*zterm1)^2))</f>
        <v>1.0048572132544009</v>
      </c>
      <c r="P269" s="691">
        <f t="shared" ref="P269:P332" si="137">IF(VOUT_setting=1,0,ATAN(((A269*zterm1))))</f>
        <v>9.8362939834834268E-2</v>
      </c>
      <c r="Q269" s="336">
        <f t="shared" si="122"/>
        <v>15.139868239388633</v>
      </c>
      <c r="R269" s="692">
        <f t="shared" ref="R269:R332" si="138">IF(VOUT_setting=1,0,ATAN(A269*$Q$4/(1+Afbr-$Q$5*(A269)^2)))</f>
        <v>4.6027161163181306E-2</v>
      </c>
      <c r="S269" s="329">
        <f t="shared" ref="S269:S332" si="139">SQRT((1-(Z269/pterm2))^2+(A269/pterm1)^2)</f>
        <v>0.99914973841280708</v>
      </c>
      <c r="T269" s="330">
        <f t="shared" ref="T269:T332" si="140">IF((ATAN((A269/pterm1)/(1-A269^2/pterm2))&gt;0),ATAN((A269/pterm1)/(1-A269^2/pterm2)),PI()+ATAN((A269/pterm1)/(1-A269^2/pterm2)))</f>
        <v>0.13527961820388618</v>
      </c>
      <c r="U269" s="331">
        <f t="shared" ref="U269:U332" si="141">20*LOG10(((E269*K269*G269*O269)/(C269*I269*S269*M269*Q269))*Adc)</f>
        <v>7.4605102252006086</v>
      </c>
      <c r="V269" s="332">
        <f t="shared" ref="V269:V332" si="142">((F269+L269+H269+P269)-(D269+J269+T269+N269+R269))*radconv</f>
        <v>-109.72376871053865</v>
      </c>
      <c r="W269" s="334">
        <f t="shared" ref="W269:W332" si="143">IF(V269&gt;0,V269,V269+180)</f>
        <v>70.27623128946135</v>
      </c>
      <c r="Y269" s="307">
        <f t="shared" ref="Y269:Y332" si="144">IF(U269&lt;0,A269,1000000000)</f>
        <v>1000000000</v>
      </c>
      <c r="Z269" s="307">
        <f t="shared" ref="Z269:Z332" si="145">A269^2</f>
        <v>288388324</v>
      </c>
      <c r="AB269" s="333">
        <f t="shared" ref="AB269:AB332" si="146">20*LOG10((K269/(I269*M269))*AEA)</f>
        <v>23.625423249952043</v>
      </c>
      <c r="AC269" s="334">
        <f t="shared" ref="AC269:AC332" si="147">(L269-(J269+N269))*radconv</f>
        <v>-18.851983390550885</v>
      </c>
      <c r="AE269" s="333">
        <f t="shared" ref="AE269:AE332" si="148">20*LOG10((E269*G269/(C269*S269))*Acs*Am)</f>
        <v>41.374841885394375</v>
      </c>
      <c r="AF269" s="334">
        <f t="shared" ref="AF269:AF332" si="149">(F269+H269-(D269+T269))*radconv</f>
        <v>-93.8704045588307</v>
      </c>
      <c r="AH269">
        <f t="shared" ref="AH269:AH332" si="150">SUM((U270&lt;0)*(U269&gt;0))*A269</f>
        <v>0</v>
      </c>
      <c r="AI269">
        <f t="shared" si="125"/>
        <v>0</v>
      </c>
    </row>
    <row r="270" spans="1:35" x14ac:dyDescent="0.2">
      <c r="A270" s="335">
        <v>17081</v>
      </c>
      <c r="B270" s="352">
        <f t="shared" ref="B270:B333" si="151">A270/1000</f>
        <v>17.081</v>
      </c>
      <c r="C270" s="325">
        <f t="shared" si="126"/>
        <v>21.688917770945185</v>
      </c>
      <c r="D270" s="326">
        <f t="shared" si="127"/>
        <v>1.5246734795685306</v>
      </c>
      <c r="E270" s="326">
        <f t="shared" si="128"/>
        <v>1.0002303383769424</v>
      </c>
      <c r="F270" s="327">
        <f t="shared" si="129"/>
        <v>2.1461322069763769E-2</v>
      </c>
      <c r="G270" s="326">
        <f t="shared" si="130"/>
        <v>1</v>
      </c>
      <c r="H270" s="327">
        <f t="shared" si="131"/>
        <v>0</v>
      </c>
      <c r="I270" s="325">
        <f t="shared" si="132"/>
        <v>22671.027891504182</v>
      </c>
      <c r="J270" s="328">
        <f t="shared" si="133"/>
        <v>1.5707522176347337</v>
      </c>
      <c r="K270" s="336">
        <f t="shared" si="123"/>
        <v>4.5040741866269993</v>
      </c>
      <c r="L270" s="337">
        <f t="shared" si="124"/>
        <v>1.3469093970621473</v>
      </c>
      <c r="M270" s="325">
        <f t="shared" si="134"/>
        <v>1.0054878672710998</v>
      </c>
      <c r="N270" s="337">
        <f t="shared" si="135"/>
        <v>0.10452642730792068</v>
      </c>
      <c r="O270" s="343">
        <f t="shared" si="136"/>
        <v>1.0049138716720338</v>
      </c>
      <c r="P270" s="691">
        <f t="shared" si="137"/>
        <v>9.8932642820378322E-2</v>
      </c>
      <c r="Q270" s="336">
        <f t="shared" si="122"/>
        <v>15.140050262861839</v>
      </c>
      <c r="R270" s="692">
        <f t="shared" si="138"/>
        <v>4.6295120110122344E-2</v>
      </c>
      <c r="S270" s="329">
        <f t="shared" si="139"/>
        <v>0.9991403812048909</v>
      </c>
      <c r="T270" s="330">
        <f t="shared" si="140"/>
        <v>0.13607442962482377</v>
      </c>
      <c r="U270" s="331">
        <f t="shared" si="141"/>
        <v>7.4075697658661195</v>
      </c>
      <c r="V270" s="332">
        <f t="shared" si="142"/>
        <v>-109.72246711007921</v>
      </c>
      <c r="W270" s="334">
        <f t="shared" si="143"/>
        <v>70.277532889920792</v>
      </c>
      <c r="Y270" s="307">
        <f t="shared" si="144"/>
        <v>1000000000</v>
      </c>
      <c r="Z270" s="307">
        <f t="shared" si="145"/>
        <v>291760561</v>
      </c>
      <c r="AB270" s="333">
        <f t="shared" si="146"/>
        <v>23.622374188333456</v>
      </c>
      <c r="AC270" s="334">
        <f t="shared" si="147"/>
        <v>-18.814172046936537</v>
      </c>
      <c r="AE270" s="333">
        <f t="shared" si="148"/>
        <v>41.324565179551328</v>
      </c>
      <c r="AF270" s="334">
        <f t="shared" si="149"/>
        <v>-93.92420296191051</v>
      </c>
      <c r="AH270">
        <f t="shared" si="150"/>
        <v>0</v>
      </c>
      <c r="AI270">
        <f t="shared" si="125"/>
        <v>0</v>
      </c>
    </row>
    <row r="271" spans="1:35" x14ac:dyDescent="0.2">
      <c r="A271" s="335">
        <v>17180</v>
      </c>
      <c r="B271" s="352">
        <f t="shared" si="151"/>
        <v>17.18</v>
      </c>
      <c r="C271" s="325">
        <f t="shared" si="126"/>
        <v>21.814358403229438</v>
      </c>
      <c r="D271" s="326">
        <f t="shared" si="127"/>
        <v>1.5249388896149367</v>
      </c>
      <c r="E271" s="326">
        <f t="shared" si="128"/>
        <v>1.0002330158453578</v>
      </c>
      <c r="F271" s="327">
        <f t="shared" si="129"/>
        <v>2.1585671514509974E-2</v>
      </c>
      <c r="G271" s="326">
        <f t="shared" si="130"/>
        <v>1</v>
      </c>
      <c r="H271" s="327">
        <f t="shared" si="131"/>
        <v>0</v>
      </c>
      <c r="I271" s="325">
        <f t="shared" si="132"/>
        <v>22802.427209864036</v>
      </c>
      <c r="J271" s="328">
        <f t="shared" si="133"/>
        <v>1.5707524718144106</v>
      </c>
      <c r="K271" s="336">
        <f t="shared" si="123"/>
        <v>4.5288961215455004</v>
      </c>
      <c r="L271" s="337">
        <f t="shared" si="124"/>
        <v>1.3481572198301117</v>
      </c>
      <c r="M271" s="325">
        <f t="shared" si="134"/>
        <v>1.0055514899149027</v>
      </c>
      <c r="N271" s="337">
        <f t="shared" si="135"/>
        <v>0.10512781231783289</v>
      </c>
      <c r="O271" s="343">
        <f t="shared" si="136"/>
        <v>1.0049708562091741</v>
      </c>
      <c r="P271" s="691">
        <f t="shared" si="137"/>
        <v>9.9502281383419738E-2</v>
      </c>
      <c r="Q271" s="336">
        <f t="shared" ref="Q271:Q334" si="152">IF(VOUT_setting=1,1,SQRT((1+Afbr-$Q$5*(A271)^2)^2+(A271*$Q$4)^2))</f>
        <v>15.140233342188006</v>
      </c>
      <c r="R271" s="692">
        <f t="shared" si="138"/>
        <v>4.6563072690794599E-2</v>
      </c>
      <c r="S271" s="329">
        <f t="shared" si="139"/>
        <v>0.99913098326399341</v>
      </c>
      <c r="T271" s="330">
        <f t="shared" si="140"/>
        <v>0.13686934805622006</v>
      </c>
      <c r="U271" s="331">
        <f t="shared" si="141"/>
        <v>7.3549605362715775</v>
      </c>
      <c r="V271" s="332">
        <f t="shared" si="142"/>
        <v>-109.72178583302569</v>
      </c>
      <c r="W271" s="334">
        <f t="shared" si="143"/>
        <v>70.278214166974308</v>
      </c>
      <c r="Y271" s="307">
        <f t="shared" si="144"/>
        <v>1000000000</v>
      </c>
      <c r="Z271" s="307">
        <f t="shared" si="145"/>
        <v>295152400</v>
      </c>
      <c r="AB271" s="333">
        <f t="shared" si="146"/>
        <v>23.619363752444521</v>
      </c>
      <c r="AC271" s="334">
        <f t="shared" si="147"/>
        <v>-18.777148455062665</v>
      </c>
      <c r="AE271" s="333">
        <f t="shared" si="148"/>
        <v>41.274578891185307</v>
      </c>
      <c r="AF271" s="334">
        <f t="shared" si="149"/>
        <v>-93.97783061027863</v>
      </c>
      <c r="AH271">
        <f t="shared" si="150"/>
        <v>0</v>
      </c>
      <c r="AI271">
        <f t="shared" si="125"/>
        <v>0</v>
      </c>
    </row>
    <row r="272" spans="1:35" x14ac:dyDescent="0.2">
      <c r="A272" s="335">
        <v>17279</v>
      </c>
      <c r="B272" s="352">
        <f t="shared" si="151"/>
        <v>17.279</v>
      </c>
      <c r="C272" s="325">
        <f t="shared" si="126"/>
        <v>21.939800554599756</v>
      </c>
      <c r="D272" s="326">
        <f t="shared" si="127"/>
        <v>1.5252012646833073</v>
      </c>
      <c r="E272" s="326">
        <f t="shared" si="128"/>
        <v>1.0002357087800779</v>
      </c>
      <c r="F272" s="327">
        <f t="shared" si="129"/>
        <v>2.1710020291606898E-2</v>
      </c>
      <c r="G272" s="326">
        <f t="shared" si="130"/>
        <v>1</v>
      </c>
      <c r="H272" s="327">
        <f t="shared" si="131"/>
        <v>0</v>
      </c>
      <c r="I272" s="325">
        <f t="shared" si="132"/>
        <v>22933.826528225349</v>
      </c>
      <c r="J272" s="328">
        <f t="shared" si="133"/>
        <v>1.5707527230814438</v>
      </c>
      <c r="K272" s="336">
        <f t="shared" si="123"/>
        <v>4.5537250313510489</v>
      </c>
      <c r="L272" s="337">
        <f t="shared" si="124"/>
        <v>1.3493914371463414</v>
      </c>
      <c r="M272" s="325">
        <f t="shared" si="134"/>
        <v>1.0056154761843155</v>
      </c>
      <c r="N272" s="337">
        <f t="shared" si="135"/>
        <v>0.10572912101418529</v>
      </c>
      <c r="O272" s="343">
        <f t="shared" si="136"/>
        <v>1.0050281668103496</v>
      </c>
      <c r="P272" s="691">
        <f t="shared" si="137"/>
        <v>0.10007185516526641</v>
      </c>
      <c r="Q272" s="336">
        <f t="shared" si="152"/>
        <v>15.140417477328862</v>
      </c>
      <c r="R272" s="692">
        <f t="shared" si="138"/>
        <v>4.6831018868609374E-2</v>
      </c>
      <c r="S272" s="329">
        <f t="shared" si="139"/>
        <v>0.99912154482799009</v>
      </c>
      <c r="T272" s="330">
        <f t="shared" si="140"/>
        <v>0.13766437410034696</v>
      </c>
      <c r="U272" s="331">
        <f t="shared" si="141"/>
        <v>7.3026783083930553</v>
      </c>
      <c r="V272" s="332">
        <f t="shared" si="142"/>
        <v>-109.7217152090173</v>
      </c>
      <c r="W272" s="334">
        <f t="shared" si="143"/>
        <v>70.278284790982696</v>
      </c>
      <c r="Y272" s="307">
        <f t="shared" si="144"/>
        <v>1000000000</v>
      </c>
      <c r="Z272" s="307">
        <f t="shared" si="145"/>
        <v>298563841</v>
      </c>
      <c r="AB272" s="333">
        <f t="shared" si="146"/>
        <v>23.616391028057308</v>
      </c>
      <c r="AC272" s="334">
        <f t="shared" si="147"/>
        <v>-18.740899858825358</v>
      </c>
      <c r="AE272" s="333">
        <f t="shared" si="148"/>
        <v>41.22487970741215</v>
      </c>
      <c r="AF272" s="334">
        <f t="shared" si="149"/>
        <v>-94.031290571222996</v>
      </c>
      <c r="AH272">
        <f t="shared" si="150"/>
        <v>0</v>
      </c>
      <c r="AI272">
        <f t="shared" si="125"/>
        <v>0</v>
      </c>
    </row>
    <row r="273" spans="1:35" x14ac:dyDescent="0.2">
      <c r="A273" s="335">
        <v>17378</v>
      </c>
      <c r="B273" s="352">
        <f t="shared" si="151"/>
        <v>17.378</v>
      </c>
      <c r="C273" s="325">
        <f t="shared" si="126"/>
        <v>22.065244199147873</v>
      </c>
      <c r="D273" s="326">
        <f t="shared" si="127"/>
        <v>1.5254606564998838</v>
      </c>
      <c r="E273" s="326">
        <f t="shared" si="128"/>
        <v>1.0002384171809777</v>
      </c>
      <c r="F273" s="327">
        <f t="shared" si="129"/>
        <v>2.1834368397214435E-2</v>
      </c>
      <c r="G273" s="326">
        <f t="shared" si="130"/>
        <v>1</v>
      </c>
      <c r="H273" s="327">
        <f t="shared" si="131"/>
        <v>0</v>
      </c>
      <c r="I273" s="325">
        <f t="shared" si="132"/>
        <v>23065.225846588088</v>
      </c>
      <c r="J273" s="328">
        <f t="shared" si="133"/>
        <v>1.5707529714856114</v>
      </c>
      <c r="K273" s="336">
        <f t="shared" si="123"/>
        <v>4.5785608025720697</v>
      </c>
      <c r="L273" s="337">
        <f t="shared" si="124"/>
        <v>1.3506122666224634</v>
      </c>
      <c r="M273" s="325">
        <f t="shared" si="134"/>
        <v>1.0056798260099313</v>
      </c>
      <c r="N273" s="337">
        <f t="shared" si="135"/>
        <v>0.10633035297675295</v>
      </c>
      <c r="O273" s="343">
        <f t="shared" si="136"/>
        <v>1.0050858034197827</v>
      </c>
      <c r="P273" s="691">
        <f t="shared" si="137"/>
        <v>0.10064136380747594</v>
      </c>
      <c r="Q273" s="336">
        <f t="shared" si="152"/>
        <v>15.14060266824592</v>
      </c>
      <c r="R273" s="692">
        <f t="shared" si="138"/>
        <v>4.7098958606983314E-2</v>
      </c>
      <c r="S273" s="329">
        <f t="shared" si="139"/>
        <v>0.9991120661361419</v>
      </c>
      <c r="T273" s="330">
        <f t="shared" si="140"/>
        <v>0.13845950835915533</v>
      </c>
      <c r="U273" s="331">
        <f t="shared" si="141"/>
        <v>7.2507189352320083</v>
      </c>
      <c r="V273" s="332">
        <f t="shared" si="142"/>
        <v>-109.722245765447</v>
      </c>
      <c r="W273" s="334">
        <f t="shared" si="143"/>
        <v>70.277754234553001</v>
      </c>
      <c r="Y273" s="307">
        <f t="shared" si="144"/>
        <v>1000000000</v>
      </c>
      <c r="Z273" s="307">
        <f t="shared" si="145"/>
        <v>301994884</v>
      </c>
      <c r="AB273" s="333">
        <f t="shared" si="146"/>
        <v>23.613455125715113</v>
      </c>
      <c r="AC273" s="334">
        <f t="shared" si="147"/>
        <v>-18.705413768771766</v>
      </c>
      <c r="AE273" s="333">
        <f t="shared" si="148"/>
        <v>41.1754643716068</v>
      </c>
      <c r="AF273" s="334">
        <f t="shared" si="149"/>
        <v>-94.08458584314819</v>
      </c>
      <c r="AH273">
        <f t="shared" si="150"/>
        <v>0</v>
      </c>
      <c r="AI273">
        <f t="shared" si="125"/>
        <v>0</v>
      </c>
    </row>
    <row r="274" spans="1:35" x14ac:dyDescent="0.2">
      <c r="A274" s="335">
        <v>17479.25</v>
      </c>
      <c r="B274" s="352">
        <f t="shared" si="151"/>
        <v>17.47925</v>
      </c>
      <c r="C274" s="325">
        <f t="shared" si="126"/>
        <v>22.193540353697159</v>
      </c>
      <c r="D274" s="326">
        <f t="shared" si="127"/>
        <v>1.5257229105452621</v>
      </c>
      <c r="E274" s="326">
        <f t="shared" si="128"/>
        <v>1.0002412031337424</v>
      </c>
      <c r="F274" s="327">
        <f t="shared" si="129"/>
        <v>2.1961541897574769E-2</v>
      </c>
      <c r="G274" s="326">
        <f t="shared" si="130"/>
        <v>1</v>
      </c>
      <c r="H274" s="327">
        <f t="shared" si="131"/>
        <v>0</v>
      </c>
      <c r="I274" s="325">
        <f t="shared" si="132"/>
        <v>23199.611513096897</v>
      </c>
      <c r="J274" s="328">
        <f t="shared" si="133"/>
        <v>1.5707532226248226</v>
      </c>
      <c r="K274" s="336">
        <f t="shared" si="123"/>
        <v>4.6039680045137921</v>
      </c>
      <c r="L274" s="337">
        <f t="shared" si="124"/>
        <v>1.351847216559817</v>
      </c>
      <c r="M274" s="325">
        <f t="shared" si="134"/>
        <v>1.0057460143029127</v>
      </c>
      <c r="N274" s="337">
        <f t="shared" si="135"/>
        <v>0.10694516949497218</v>
      </c>
      <c r="O274" s="343">
        <f t="shared" si="136"/>
        <v>1.0051450871000802</v>
      </c>
      <c r="P274" s="691">
        <f t="shared" si="137"/>
        <v>0.10122374807748741</v>
      </c>
      <c r="Q274" s="336">
        <f t="shared" si="152"/>
        <v>15.140793160048361</v>
      </c>
      <c r="R274" s="692">
        <f t="shared" si="138"/>
        <v>4.7372981186114445E-2</v>
      </c>
      <c r="S274" s="329">
        <f t="shared" si="139"/>
        <v>0.99910233063168474</v>
      </c>
      <c r="T274" s="330">
        <f t="shared" si="140"/>
        <v>0.13927282640988997</v>
      </c>
      <c r="U274" s="331">
        <f t="shared" si="141"/>
        <v>7.1979083725522717</v>
      </c>
      <c r="V274" s="332">
        <f t="shared" si="142"/>
        <v>-109.72340054039557</v>
      </c>
      <c r="W274" s="334">
        <f t="shared" si="143"/>
        <v>70.276599459604427</v>
      </c>
      <c r="Y274" s="307">
        <f t="shared" si="144"/>
        <v>1000000000</v>
      </c>
      <c r="Z274" s="307">
        <f t="shared" si="145"/>
        <v>305524180.5625</v>
      </c>
      <c r="AB274" s="333">
        <f t="shared" si="146"/>
        <v>23.610489683320644</v>
      </c>
      <c r="AC274" s="334">
        <f t="shared" si="147"/>
        <v>-18.669897130296633</v>
      </c>
      <c r="AE274" s="333">
        <f t="shared" si="148"/>
        <v>41.125216221525712</v>
      </c>
      <c r="AF274" s="334">
        <f t="shared" si="149"/>
        <v>-94.138925080043037</v>
      </c>
      <c r="AH274">
        <f t="shared" si="150"/>
        <v>0</v>
      </c>
      <c r="AI274">
        <f t="shared" si="125"/>
        <v>0</v>
      </c>
    </row>
    <row r="275" spans="1:35" x14ac:dyDescent="0.2">
      <c r="A275" s="335">
        <v>17580.5</v>
      </c>
      <c r="B275" s="352">
        <f t="shared" si="151"/>
        <v>17.580500000000001</v>
      </c>
      <c r="C275" s="325">
        <f t="shared" si="126"/>
        <v>22.321838017109336</v>
      </c>
      <c r="D275" s="326">
        <f t="shared" si="127"/>
        <v>1.5259821499299193</v>
      </c>
      <c r="E275" s="326">
        <f t="shared" si="128"/>
        <v>1.0002440052634169</v>
      </c>
      <c r="F275" s="327">
        <f t="shared" si="129"/>
        <v>2.2088714687452451E-2</v>
      </c>
      <c r="G275" s="326">
        <f t="shared" si="130"/>
        <v>1</v>
      </c>
      <c r="H275" s="327">
        <f t="shared" si="131"/>
        <v>0</v>
      </c>
      <c r="I275" s="325">
        <f t="shared" si="132"/>
        <v>23333.997179607151</v>
      </c>
      <c r="J275" s="328">
        <f t="shared" si="133"/>
        <v>1.5707534708713011</v>
      </c>
      <c r="K275" s="336">
        <f t="shared" si="123"/>
        <v>4.6293821508954407</v>
      </c>
      <c r="L275" s="337">
        <f t="shared" si="124"/>
        <v>1.3530686092123614</v>
      </c>
      <c r="M275" s="325">
        <f t="shared" si="134"/>
        <v>1.005812582717116</v>
      </c>
      <c r="N275" s="337">
        <f t="shared" si="135"/>
        <v>0.1075599048638519</v>
      </c>
      <c r="O275" s="343">
        <f t="shared" si="136"/>
        <v>1.0052047116566027</v>
      </c>
      <c r="P275" s="691">
        <f t="shared" si="137"/>
        <v>0.10180606345576594</v>
      </c>
      <c r="Q275" s="336">
        <f t="shared" si="152"/>
        <v>15.140984756080039</v>
      </c>
      <c r="R275" s="692">
        <f t="shared" si="138"/>
        <v>4.7646996952394029E-2</v>
      </c>
      <c r="S275" s="329">
        <f t="shared" si="139"/>
        <v>0.99909255353142179</v>
      </c>
      <c r="T275" s="330">
        <f t="shared" si="140"/>
        <v>0.14008625892256926</v>
      </c>
      <c r="U275" s="331">
        <f t="shared" si="141"/>
        <v>7.1454269833366437</v>
      </c>
      <c r="V275" s="332">
        <f t="shared" si="142"/>
        <v>-109.72516470370593</v>
      </c>
      <c r="W275" s="334">
        <f t="shared" si="143"/>
        <v>70.274835296294071</v>
      </c>
      <c r="Y275" s="307">
        <f t="shared" si="144"/>
        <v>1000000000</v>
      </c>
      <c r="Z275" s="307">
        <f t="shared" si="145"/>
        <v>309073980.25</v>
      </c>
      <c r="AB275" s="333">
        <f t="shared" si="146"/>
        <v>23.607560949813241</v>
      </c>
      <c r="AC275" s="334">
        <f t="shared" si="147"/>
        <v>-18.635152451767567</v>
      </c>
      <c r="AE275" s="333">
        <f t="shared" si="148"/>
        <v>41.07525825283907</v>
      </c>
      <c r="AF275" s="334">
        <f t="shared" si="149"/>
        <v>-94.193098188495725</v>
      </c>
      <c r="AH275">
        <f t="shared" si="150"/>
        <v>0</v>
      </c>
      <c r="AI275">
        <f t="shared" si="125"/>
        <v>0</v>
      </c>
    </row>
    <row r="276" spans="1:35" x14ac:dyDescent="0.2">
      <c r="A276" s="335">
        <v>17681.75</v>
      </c>
      <c r="B276" s="352">
        <f t="shared" si="151"/>
        <v>17.681750000000001</v>
      </c>
      <c r="C276" s="325">
        <f t="shared" si="126"/>
        <v>22.450137163515933</v>
      </c>
      <c r="D276" s="326">
        <f t="shared" si="127"/>
        <v>1.5262384263037019</v>
      </c>
      <c r="E276" s="326">
        <f t="shared" si="128"/>
        <v>1.0002468235698656</v>
      </c>
      <c r="F276" s="327">
        <f t="shared" si="129"/>
        <v>2.2215886762739973E-2</v>
      </c>
      <c r="G276" s="326">
        <f t="shared" si="130"/>
        <v>1</v>
      </c>
      <c r="H276" s="327">
        <f t="shared" si="131"/>
        <v>0</v>
      </c>
      <c r="I276" s="325">
        <f t="shared" si="132"/>
        <v>23468.382846118824</v>
      </c>
      <c r="J276" s="328">
        <f t="shared" si="133"/>
        <v>1.5707537162747403</v>
      </c>
      <c r="K276" s="336">
        <f t="shared" si="123"/>
        <v>4.6548031279719186</v>
      </c>
      <c r="L276" s="337">
        <f t="shared" si="124"/>
        <v>1.354276663024369</v>
      </c>
      <c r="M276" s="325">
        <f t="shared" si="134"/>
        <v>1.0058795311770727</v>
      </c>
      <c r="N276" s="337">
        <f t="shared" si="135"/>
        <v>0.10817455863493319</v>
      </c>
      <c r="O276" s="343">
        <f t="shared" si="136"/>
        <v>1.0052646770286955</v>
      </c>
      <c r="P276" s="691">
        <f t="shared" si="137"/>
        <v>0.10238830955968918</v>
      </c>
      <c r="Q276" s="336">
        <f t="shared" si="152"/>
        <v>15.141177456299072</v>
      </c>
      <c r="R276" s="692">
        <f t="shared" si="138"/>
        <v>4.7921005866704822E-2</v>
      </c>
      <c r="S276" s="329">
        <f t="shared" si="139"/>
        <v>0.99908273509579826</v>
      </c>
      <c r="T276" s="330">
        <f t="shared" si="140"/>
        <v>0.14089980654006901</v>
      </c>
      <c r="U276" s="331">
        <f t="shared" si="141"/>
        <v>7.0932705811406729</v>
      </c>
      <c r="V276" s="332">
        <f t="shared" si="142"/>
        <v>-109.72752873266467</v>
      </c>
      <c r="W276" s="334">
        <f t="shared" si="143"/>
        <v>70.272471267335334</v>
      </c>
      <c r="Y276" s="307">
        <f t="shared" si="144"/>
        <v>1000000000</v>
      </c>
      <c r="Z276" s="307">
        <f t="shared" si="145"/>
        <v>312644283.0625</v>
      </c>
      <c r="AB276" s="333">
        <f t="shared" si="146"/>
        <v>23.60466804903303</v>
      </c>
      <c r="AC276" s="334">
        <f t="shared" si="147"/>
        <v>-18.601167194402112</v>
      </c>
      <c r="AE276" s="333">
        <f t="shared" si="148"/>
        <v>41.025587156258879</v>
      </c>
      <c r="AF276" s="334">
        <f t="shared" si="149"/>
        <v>-94.247108164893859</v>
      </c>
      <c r="AH276">
        <f t="shared" si="150"/>
        <v>0</v>
      </c>
      <c r="AI276">
        <f t="shared" si="125"/>
        <v>0</v>
      </c>
    </row>
    <row r="277" spans="1:35" x14ac:dyDescent="0.2">
      <c r="A277" s="335">
        <v>17783</v>
      </c>
      <c r="B277" s="352">
        <f t="shared" si="151"/>
        <v>17.783000000000001</v>
      </c>
      <c r="C277" s="325">
        <f t="shared" si="126"/>
        <v>22.578437767636157</v>
      </c>
      <c r="D277" s="326">
        <f t="shared" si="127"/>
        <v>1.5264917901440458</v>
      </c>
      <c r="E277" s="326">
        <f t="shared" si="128"/>
        <v>1.0002496580529514</v>
      </c>
      <c r="F277" s="327">
        <f t="shared" si="129"/>
        <v>2.2343058119329937E-2</v>
      </c>
      <c r="G277" s="326">
        <f t="shared" si="130"/>
        <v>1</v>
      </c>
      <c r="H277" s="327">
        <f t="shared" si="131"/>
        <v>0</v>
      </c>
      <c r="I277" s="325">
        <f t="shared" si="132"/>
        <v>23602.768512631897</v>
      </c>
      <c r="J277" s="328">
        <f t="shared" si="133"/>
        <v>1.5707539588837016</v>
      </c>
      <c r="K277" s="336">
        <f t="shared" si="123"/>
        <v>4.6802308244391417</v>
      </c>
      <c r="L277" s="337">
        <f t="shared" si="124"/>
        <v>1.3554715918505347</v>
      </c>
      <c r="M277" s="325">
        <f t="shared" si="134"/>
        <v>1.0059468596069039</v>
      </c>
      <c r="N277" s="337">
        <f t="shared" si="135"/>
        <v>0.10878913036012283</v>
      </c>
      <c r="O277" s="343">
        <f t="shared" si="136"/>
        <v>1.0053249831553719</v>
      </c>
      <c r="P277" s="691">
        <f t="shared" si="137"/>
        <v>0.10297048600691368</v>
      </c>
      <c r="Q277" s="336">
        <f t="shared" si="152"/>
        <v>15.141371260663345</v>
      </c>
      <c r="R277" s="692">
        <f t="shared" si="138"/>
        <v>4.8195007889935568E-2</v>
      </c>
      <c r="S277" s="329">
        <f t="shared" si="139"/>
        <v>0.9990728755867756</v>
      </c>
      <c r="T277" s="330">
        <f t="shared" si="140"/>
        <v>0.14171346990490416</v>
      </c>
      <c r="U277" s="331">
        <f t="shared" si="141"/>
        <v>7.0414350594793307</v>
      </c>
      <c r="V277" s="332">
        <f t="shared" si="142"/>
        <v>-109.73048330026735</v>
      </c>
      <c r="W277" s="334">
        <f t="shared" si="143"/>
        <v>70.269516699732648</v>
      </c>
      <c r="Y277" s="307">
        <f t="shared" si="144"/>
        <v>1000000000</v>
      </c>
      <c r="Z277" s="307">
        <f t="shared" si="145"/>
        <v>316235089</v>
      </c>
      <c r="AB277" s="333">
        <f t="shared" si="146"/>
        <v>23.601810128601898</v>
      </c>
      <c r="AC277" s="334">
        <f t="shared" si="147"/>
        <v>-18.567929082337322</v>
      </c>
      <c r="AE277" s="333">
        <f t="shared" si="148"/>
        <v>40.976199678680139</v>
      </c>
      <c r="AF277" s="334">
        <f t="shared" si="149"/>
        <v>-94.300957938430216</v>
      </c>
      <c r="AH277">
        <f t="shared" si="150"/>
        <v>0</v>
      </c>
      <c r="AI277">
        <f t="shared" si="125"/>
        <v>0</v>
      </c>
    </row>
    <row r="278" spans="1:35" x14ac:dyDescent="0.2">
      <c r="A278" s="335">
        <v>17886.5</v>
      </c>
      <c r="B278" s="352">
        <f t="shared" si="151"/>
        <v>17.886500000000002</v>
      </c>
      <c r="C278" s="325">
        <f t="shared" si="126"/>
        <v>22.709590977230995</v>
      </c>
      <c r="D278" s="326">
        <f t="shared" si="127"/>
        <v>1.5267478253210867</v>
      </c>
      <c r="E278" s="326">
        <f t="shared" si="128"/>
        <v>1.0002525722442599</v>
      </c>
      <c r="F278" s="327">
        <f t="shared" si="129"/>
        <v>2.2473054758958149E-2</v>
      </c>
      <c r="G278" s="326">
        <f t="shared" si="130"/>
        <v>1</v>
      </c>
      <c r="H278" s="327">
        <f t="shared" si="131"/>
        <v>0</v>
      </c>
      <c r="I278" s="325">
        <f t="shared" si="132"/>
        <v>23740.140527291122</v>
      </c>
      <c r="J278" s="328">
        <f t="shared" si="133"/>
        <v>1.5707542040450693</v>
      </c>
      <c r="K278" s="336">
        <f t="shared" si="123"/>
        <v>4.7062304124516849</v>
      </c>
      <c r="L278" s="337">
        <f t="shared" si="124"/>
        <v>1.3566797269162572</v>
      </c>
      <c r="M278" s="325">
        <f t="shared" si="134"/>
        <v>1.0060160768739832</v>
      </c>
      <c r="N278" s="337">
        <f t="shared" si="135"/>
        <v>0.10941727396756197</v>
      </c>
      <c r="O278" s="343">
        <f t="shared" si="136"/>
        <v>1.0053869815515546</v>
      </c>
      <c r="P278" s="691">
        <f t="shared" si="137"/>
        <v>0.10356552731491669</v>
      </c>
      <c r="Q278" s="336">
        <f t="shared" si="152"/>
        <v>15.14157051296986</v>
      </c>
      <c r="R278" s="692">
        <f t="shared" si="138"/>
        <v>4.8475091683813892E-2</v>
      </c>
      <c r="S278" s="329">
        <f t="shared" si="139"/>
        <v>0.99906275479925066</v>
      </c>
      <c r="T278" s="330">
        <f t="shared" si="140"/>
        <v>0.14254533498063546</v>
      </c>
      <c r="U278" s="331">
        <f t="shared" si="141"/>
        <v>6.9887750988853705</v>
      </c>
      <c r="V278" s="332">
        <f t="shared" si="142"/>
        <v>-109.73410438219808</v>
      </c>
      <c r="W278" s="334">
        <f t="shared" si="143"/>
        <v>70.265895617801917</v>
      </c>
      <c r="Y278" s="307">
        <f t="shared" si="144"/>
        <v>1000000000</v>
      </c>
      <c r="Z278" s="307">
        <f t="shared" si="145"/>
        <v>319926882.25</v>
      </c>
      <c r="AB278" s="333">
        <f t="shared" si="146"/>
        <v>23.598923990396248</v>
      </c>
      <c r="AC278" s="334">
        <f t="shared" si="147"/>
        <v>-18.534712066297757</v>
      </c>
      <c r="AE278" s="333">
        <f t="shared" si="148"/>
        <v>40.926004514842035</v>
      </c>
      <c r="AF278" s="334">
        <f t="shared" si="149"/>
        <v>-94.355841772706412</v>
      </c>
      <c r="AH278">
        <f t="shared" si="150"/>
        <v>0</v>
      </c>
      <c r="AI278">
        <f t="shared" si="125"/>
        <v>0</v>
      </c>
    </row>
    <row r="279" spans="1:35" x14ac:dyDescent="0.2">
      <c r="A279" s="335">
        <v>17990</v>
      </c>
      <c r="B279" s="352">
        <f t="shared" si="151"/>
        <v>17.989999999999998</v>
      </c>
      <c r="C279" s="325">
        <f t="shared" si="126"/>
        <v>22.84074565843407</v>
      </c>
      <c r="D279" s="326">
        <f t="shared" si="127"/>
        <v>1.5270009201366479</v>
      </c>
      <c r="E279" s="326">
        <f t="shared" si="128"/>
        <v>1.0002555033388643</v>
      </c>
      <c r="F279" s="327">
        <f t="shared" si="129"/>
        <v>2.2603050638912922E-2</v>
      </c>
      <c r="G279" s="326">
        <f t="shared" si="130"/>
        <v>1</v>
      </c>
      <c r="H279" s="327">
        <f t="shared" si="131"/>
        <v>0</v>
      </c>
      <c r="I279" s="325">
        <f t="shared" si="132"/>
        <v>23877.512541951757</v>
      </c>
      <c r="J279" s="328">
        <f t="shared" si="133"/>
        <v>1.5707544463855141</v>
      </c>
      <c r="K279" s="336">
        <f t="shared" ref="K279:K342" si="153">SQRT(1+(A279/Zero2)^2)</f>
        <v>4.7322367941464574</v>
      </c>
      <c r="L279" s="337">
        <f t="shared" ref="L279:L342" si="154">ATAN(A279/Zero2)</f>
        <v>1.3578745849063745</v>
      </c>
      <c r="M279" s="325">
        <f t="shared" si="134"/>
        <v>1.0060856910244751</v>
      </c>
      <c r="N279" s="337">
        <f t="shared" si="135"/>
        <v>0.11004533089642123</v>
      </c>
      <c r="O279" s="343">
        <f t="shared" si="136"/>
        <v>1.0054493358853116</v>
      </c>
      <c r="P279" s="691">
        <f t="shared" si="137"/>
        <v>0.10416049502893822</v>
      </c>
      <c r="Q279" s="336">
        <f t="shared" si="152"/>
        <v>15.141770918950224</v>
      </c>
      <c r="R279" s="692">
        <f t="shared" si="138"/>
        <v>4.8755168194312276E-2</v>
      </c>
      <c r="S279" s="329">
        <f t="shared" si="139"/>
        <v>0.99905259165095872</v>
      </c>
      <c r="T279" s="330">
        <f t="shared" si="140"/>
        <v>0.14337732236171916</v>
      </c>
      <c r="U279" s="331">
        <f t="shared" si="141"/>
        <v>6.93644200824337</v>
      </c>
      <c r="V279" s="332">
        <f t="shared" si="142"/>
        <v>-109.73832343670335</v>
      </c>
      <c r="W279" s="334">
        <f t="shared" si="143"/>
        <v>70.261676563296646</v>
      </c>
      <c r="Y279" s="307">
        <f t="shared" si="144"/>
        <v>1000000000</v>
      </c>
      <c r="Z279" s="307">
        <f t="shared" si="145"/>
        <v>323640100</v>
      </c>
      <c r="AB279" s="333">
        <f t="shared" si="146"/>
        <v>23.596072676124813</v>
      </c>
      <c r="AC279" s="334">
        <f t="shared" si="147"/>
        <v>-18.502250642711736</v>
      </c>
      <c r="AE279" s="333">
        <f t="shared" si="148"/>
        <v>40.876099015459353</v>
      </c>
      <c r="AF279" s="334">
        <f t="shared" si="149"/>
        <v>-94.410564187785994</v>
      </c>
      <c r="AH279">
        <f t="shared" si="150"/>
        <v>0</v>
      </c>
      <c r="AI279">
        <f t="shared" si="125"/>
        <v>0</v>
      </c>
    </row>
    <row r="280" spans="1:35" x14ac:dyDescent="0.2">
      <c r="A280" s="335">
        <v>18093.5</v>
      </c>
      <c r="B280" s="352">
        <f t="shared" si="151"/>
        <v>18.093499999999999</v>
      </c>
      <c r="C280" s="325">
        <f t="shared" si="126"/>
        <v>22.971901786039592</v>
      </c>
      <c r="D280" s="326">
        <f t="shared" si="127"/>
        <v>1.5272511249212579</v>
      </c>
      <c r="E280" s="326">
        <f t="shared" si="128"/>
        <v>1.000258451336616</v>
      </c>
      <c r="F280" s="327">
        <f t="shared" si="129"/>
        <v>2.273304575480738E-2</v>
      </c>
      <c r="G280" s="326">
        <f t="shared" si="130"/>
        <v>1</v>
      </c>
      <c r="H280" s="327">
        <f t="shared" si="131"/>
        <v>0</v>
      </c>
      <c r="I280" s="325">
        <f t="shared" si="132"/>
        <v>24014.884556613779</v>
      </c>
      <c r="J280" s="328">
        <f t="shared" si="133"/>
        <v>1.5707546859534456</v>
      </c>
      <c r="K280" s="336">
        <f t="shared" si="153"/>
        <v>4.7582498581301316</v>
      </c>
      <c r="L280" s="337">
        <f t="shared" si="154"/>
        <v>1.3590563801357582</v>
      </c>
      <c r="M280" s="325">
        <f t="shared" si="134"/>
        <v>1.0061557019760003</v>
      </c>
      <c r="N280" s="337">
        <f t="shared" si="135"/>
        <v>0.11067330066926266</v>
      </c>
      <c r="O280" s="343">
        <f t="shared" si="136"/>
        <v>1.0055120460904252</v>
      </c>
      <c r="P280" s="691">
        <f t="shared" si="137"/>
        <v>0.1047553887414877</v>
      </c>
      <c r="Q280" s="336">
        <f t="shared" si="152"/>
        <v>15.141972478558658</v>
      </c>
      <c r="R280" s="692">
        <f t="shared" si="138"/>
        <v>4.9035237379673281E-2</v>
      </c>
      <c r="S280" s="329">
        <f t="shared" si="139"/>
        <v>0.99904238642663123</v>
      </c>
      <c r="T280" s="330">
        <f t="shared" si="140"/>
        <v>0.14420943273327788</v>
      </c>
      <c r="U280" s="331">
        <f t="shared" si="141"/>
        <v>6.8844316472744005</v>
      </c>
      <c r="V280" s="332">
        <f t="shared" si="142"/>
        <v>-109.74313110405177</v>
      </c>
      <c r="W280" s="334">
        <f t="shared" si="143"/>
        <v>70.25686889594823</v>
      </c>
      <c r="Y280" s="307">
        <f t="shared" si="144"/>
        <v>1000000000</v>
      </c>
      <c r="Z280" s="307">
        <f t="shared" si="145"/>
        <v>327374742.25</v>
      </c>
      <c r="AB280" s="333">
        <f t="shared" si="146"/>
        <v>23.59325534750063</v>
      </c>
      <c r="AC280" s="334">
        <f t="shared" si="147"/>
        <v>-18.470532507660081</v>
      </c>
      <c r="AE280" s="333">
        <f t="shared" si="148"/>
        <v>40.826479879627591</v>
      </c>
      <c r="AF280" s="334">
        <f t="shared" si="149"/>
        <v>-94.465128106901787</v>
      </c>
      <c r="AH280">
        <f t="shared" si="150"/>
        <v>0</v>
      </c>
      <c r="AI280">
        <f t="shared" si="125"/>
        <v>0</v>
      </c>
    </row>
    <row r="281" spans="1:35" x14ac:dyDescent="0.2">
      <c r="A281" s="335">
        <v>18197</v>
      </c>
      <c r="B281" s="352">
        <f t="shared" si="151"/>
        <v>18.196999999999999</v>
      </c>
      <c r="C281" s="325">
        <f t="shared" si="126"/>
        <v>23.103059335413878</v>
      </c>
      <c r="D281" s="326">
        <f t="shared" si="127"/>
        <v>1.5274984888639931</v>
      </c>
      <c r="E281" s="326">
        <f t="shared" si="128"/>
        <v>1.0002614162373653</v>
      </c>
      <c r="F281" s="327">
        <f t="shared" si="129"/>
        <v>2.2863040102254796E-2</v>
      </c>
      <c r="G281" s="326">
        <f t="shared" si="130"/>
        <v>1</v>
      </c>
      <c r="H281" s="327">
        <f t="shared" si="131"/>
        <v>0</v>
      </c>
      <c r="I281" s="325">
        <f t="shared" si="132"/>
        <v>24152.256571277161</v>
      </c>
      <c r="J281" s="328">
        <f t="shared" si="133"/>
        <v>1.5707549227961715</v>
      </c>
      <c r="K281" s="336">
        <f t="shared" si="153"/>
        <v>4.7842694954037466</v>
      </c>
      <c r="L281" s="337">
        <f t="shared" si="154"/>
        <v>1.3602253224047605</v>
      </c>
      <c r="M281" s="325">
        <f t="shared" si="134"/>
        <v>1.0062261096457332</v>
      </c>
      <c r="N281" s="337">
        <f t="shared" si="135"/>
        <v>0.11130118280905581</v>
      </c>
      <c r="O281" s="343">
        <f t="shared" si="136"/>
        <v>1.0055751121003162</v>
      </c>
      <c r="P281" s="691">
        <f t="shared" si="137"/>
        <v>0.10535020804538542</v>
      </c>
      <c r="Q281" s="336">
        <f t="shared" si="152"/>
        <v>15.142175191749146</v>
      </c>
      <c r="R281" s="692">
        <f t="shared" si="138"/>
        <v>4.9315299198146124E-2</v>
      </c>
      <c r="S281" s="329">
        <f t="shared" si="139"/>
        <v>0.99903213941265612</v>
      </c>
      <c r="T281" s="330">
        <f t="shared" si="140"/>
        <v>0.14504166678002917</v>
      </c>
      <c r="U281" s="331">
        <f t="shared" si="141"/>
        <v>6.83273995447367</v>
      </c>
      <c r="V281" s="332">
        <f t="shared" si="142"/>
        <v>-109.74851821769417</v>
      </c>
      <c r="W281" s="334">
        <f t="shared" si="143"/>
        <v>70.251481782305831</v>
      </c>
      <c r="Y281" s="307">
        <f t="shared" si="144"/>
        <v>1000000000</v>
      </c>
      <c r="Z281" s="307">
        <f t="shared" si="145"/>
        <v>331130809</v>
      </c>
      <c r="AB281" s="333">
        <f t="shared" si="146"/>
        <v>23.590471189018771</v>
      </c>
      <c r="AC281" s="334">
        <f t="shared" si="147"/>
        <v>-18.439545615846793</v>
      </c>
      <c r="AE281" s="333">
        <f t="shared" si="148"/>
        <v>40.777143862440212</v>
      </c>
      <c r="AF281" s="334">
        <f t="shared" si="149"/>
        <v>-94.519536387863056</v>
      </c>
      <c r="AH281">
        <f t="shared" si="150"/>
        <v>0</v>
      </c>
      <c r="AI281">
        <f t="shared" si="125"/>
        <v>0</v>
      </c>
    </row>
    <row r="282" spans="1:35" x14ac:dyDescent="0.2">
      <c r="A282" s="335">
        <v>18303</v>
      </c>
      <c r="B282" s="352">
        <f t="shared" si="151"/>
        <v>18.303000000000001</v>
      </c>
      <c r="C282" s="325">
        <f t="shared" si="126"/>
        <v>23.237386390078566</v>
      </c>
      <c r="D282" s="326">
        <f t="shared" si="127"/>
        <v>1.5277489334117678</v>
      </c>
      <c r="E282" s="326">
        <f t="shared" si="128"/>
        <v>1.0002644702742742</v>
      </c>
      <c r="F282" s="327">
        <f t="shared" si="129"/>
        <v>2.299617360868858E-2</v>
      </c>
      <c r="G282" s="326">
        <f t="shared" si="130"/>
        <v>1</v>
      </c>
      <c r="H282" s="327">
        <f t="shared" si="131"/>
        <v>0</v>
      </c>
      <c r="I282" s="325">
        <f t="shared" si="132"/>
        <v>24292.946750547333</v>
      </c>
      <c r="J282" s="328">
        <f t="shared" si="133"/>
        <v>1.5707551625833025</v>
      </c>
      <c r="K282" s="336">
        <f t="shared" si="153"/>
        <v>4.8109243282619554</v>
      </c>
      <c r="L282" s="337">
        <f t="shared" si="154"/>
        <v>1.3614093921885586</v>
      </c>
      <c r="M282" s="325">
        <f t="shared" si="134"/>
        <v>1.0062986291045937</v>
      </c>
      <c r="N282" s="337">
        <f t="shared" si="135"/>
        <v>0.11194413985238238</v>
      </c>
      <c r="O282" s="343">
        <f t="shared" si="136"/>
        <v>1.0056400701738848</v>
      </c>
      <c r="P282" s="691">
        <f t="shared" si="137"/>
        <v>0.10595931741387424</v>
      </c>
      <c r="Q282" s="336">
        <f t="shared" si="152"/>
        <v>15.142383997060163</v>
      </c>
      <c r="R282" s="692">
        <f t="shared" si="138"/>
        <v>4.9602118115272438E-2</v>
      </c>
      <c r="S282" s="329">
        <f t="shared" si="139"/>
        <v>0.99902160187128952</v>
      </c>
      <c r="T282" s="330">
        <f t="shared" si="140"/>
        <v>0.14589413200570964</v>
      </c>
      <c r="U282" s="331">
        <f t="shared" si="141"/>
        <v>6.7801258141004395</v>
      </c>
      <c r="V282" s="332">
        <f t="shared" si="142"/>
        <v>-109.75462668475379</v>
      </c>
      <c r="W282" s="334">
        <f t="shared" si="143"/>
        <v>70.245373315246212</v>
      </c>
      <c r="Y282" s="307">
        <f t="shared" si="144"/>
        <v>1000000000</v>
      </c>
      <c r="Z282" s="307">
        <f t="shared" si="145"/>
        <v>334999809</v>
      </c>
      <c r="AB282" s="333">
        <f t="shared" si="146"/>
        <v>23.587653333046532</v>
      </c>
      <c r="AC282" s="334">
        <f t="shared" si="147"/>
        <v>-18.408555878332198</v>
      </c>
      <c r="AE282" s="333">
        <f t="shared" si="148"/>
        <v>40.726906280206251</v>
      </c>
      <c r="AF282" s="334">
        <f t="shared" si="149"/>
        <v>-94.575100475098822</v>
      </c>
      <c r="AH282">
        <f t="shared" si="150"/>
        <v>0</v>
      </c>
      <c r="AI282">
        <f t="shared" ref="AI282:AI345" si="155">IF(AH282&gt;0,W282,0)</f>
        <v>0</v>
      </c>
    </row>
    <row r="283" spans="1:35" x14ac:dyDescent="0.2">
      <c r="A283" s="335">
        <v>18409</v>
      </c>
      <c r="B283" s="352">
        <f t="shared" si="151"/>
        <v>18.408999999999999</v>
      </c>
      <c r="C283" s="325">
        <f t="shared" si="126"/>
        <v>23.37171488549571</v>
      </c>
      <c r="D283" s="326">
        <f t="shared" si="127"/>
        <v>1.527996499124187</v>
      </c>
      <c r="E283" s="326">
        <f t="shared" si="128"/>
        <v>1.0002675420402927</v>
      </c>
      <c r="F283" s="327">
        <f t="shared" si="129"/>
        <v>2.3129306299790875E-2</v>
      </c>
      <c r="G283" s="326">
        <f t="shared" si="130"/>
        <v>1</v>
      </c>
      <c r="H283" s="327">
        <f t="shared" si="131"/>
        <v>0</v>
      </c>
      <c r="I283" s="325">
        <f t="shared" si="132"/>
        <v>24433.636929818884</v>
      </c>
      <c r="J283" s="328">
        <f t="shared" si="133"/>
        <v>1.5707553996090196</v>
      </c>
      <c r="K283" s="336">
        <f t="shared" si="153"/>
        <v>4.8375858318034775</v>
      </c>
      <c r="L283" s="337">
        <f t="shared" si="154"/>
        <v>1.3625804120143556</v>
      </c>
      <c r="M283" s="325">
        <f t="shared" si="134"/>
        <v>1.0063715645009736</v>
      </c>
      <c r="N283" s="337">
        <f t="shared" si="135"/>
        <v>0.11258700396657639</v>
      </c>
      <c r="O283" s="343">
        <f t="shared" si="136"/>
        <v>1.0057054013059437</v>
      </c>
      <c r="P283" s="691">
        <f t="shared" si="137"/>
        <v>0.10656834787219167</v>
      </c>
      <c r="Q283" s="336">
        <f t="shared" si="152"/>
        <v>15.142594012256319</v>
      </c>
      <c r="R283" s="692">
        <f t="shared" si="138"/>
        <v>4.9888929216703806E-2</v>
      </c>
      <c r="S283" s="329">
        <f t="shared" si="139"/>
        <v>0.9990110211104325</v>
      </c>
      <c r="T283" s="330">
        <f t="shared" si="140"/>
        <v>0.14674672840581227</v>
      </c>
      <c r="U283" s="331">
        <f t="shared" si="141"/>
        <v>6.7278375440513862</v>
      </c>
      <c r="V283" s="332">
        <f t="shared" si="142"/>
        <v>-109.76132406741941</v>
      </c>
      <c r="W283" s="334">
        <f t="shared" si="143"/>
        <v>70.238675932580591</v>
      </c>
      <c r="Y283" s="307">
        <f t="shared" si="144"/>
        <v>1000000000</v>
      </c>
      <c r="Z283" s="307">
        <f t="shared" si="145"/>
        <v>338891281</v>
      </c>
      <c r="AB283" s="333">
        <f t="shared" si="146"/>
        <v>23.584868607680207</v>
      </c>
      <c r="AC283" s="334">
        <f t="shared" si="147"/>
        <v>-18.378308365670275</v>
      </c>
      <c r="AE283" s="333">
        <f t="shared" si="148"/>
        <v>40.676958944314606</v>
      </c>
      <c r="AF283" s="334">
        <f t="shared" si="149"/>
        <v>-94.630507179674439</v>
      </c>
      <c r="AH283">
        <f t="shared" si="150"/>
        <v>0</v>
      </c>
      <c r="AI283">
        <f t="shared" si="155"/>
        <v>0</v>
      </c>
    </row>
    <row r="284" spans="1:35" x14ac:dyDescent="0.2">
      <c r="A284" s="335">
        <v>18515</v>
      </c>
      <c r="B284" s="352">
        <f t="shared" si="151"/>
        <v>18.515000000000001</v>
      </c>
      <c r="C284" s="325">
        <f t="shared" si="126"/>
        <v>23.506044796965178</v>
      </c>
      <c r="D284" s="326">
        <f t="shared" si="127"/>
        <v>1.5282412353256525</v>
      </c>
      <c r="E284" s="326">
        <f t="shared" si="128"/>
        <v>1.0002706315352576</v>
      </c>
      <c r="F284" s="327">
        <f t="shared" si="129"/>
        <v>2.3262438170849838E-2</v>
      </c>
      <c r="G284" s="326">
        <f t="shared" si="130"/>
        <v>1</v>
      </c>
      <c r="H284" s="327">
        <f t="shared" si="131"/>
        <v>0</v>
      </c>
      <c r="I284" s="325">
        <f t="shared" si="132"/>
        <v>24574.327109091788</v>
      </c>
      <c r="J284" s="328">
        <f t="shared" si="133"/>
        <v>1.5707556339207505</v>
      </c>
      <c r="K284" s="336">
        <f t="shared" si="153"/>
        <v>4.8642538963400952</v>
      </c>
      <c r="L284" s="337">
        <f t="shared" si="154"/>
        <v>1.3637385932813668</v>
      </c>
      <c r="M284" s="325">
        <f t="shared" si="134"/>
        <v>1.0064449157444462</v>
      </c>
      <c r="N284" s="337">
        <f t="shared" si="135"/>
        <v>0.1132297746405407</v>
      </c>
      <c r="O284" s="343">
        <f t="shared" si="136"/>
        <v>1.0057711054237959</v>
      </c>
      <c r="P284" s="691">
        <f t="shared" si="137"/>
        <v>0.10717729898395824</v>
      </c>
      <c r="Q284" s="336">
        <f t="shared" si="152"/>
        <v>15.14280523728732</v>
      </c>
      <c r="R284" s="692">
        <f t="shared" si="138"/>
        <v>5.01757324576124E-2</v>
      </c>
      <c r="S284" s="329">
        <f t="shared" si="139"/>
        <v>0.99900039744313551</v>
      </c>
      <c r="T284" s="330">
        <f t="shared" si="140"/>
        <v>0.14759945671454136</v>
      </c>
      <c r="U284" s="331">
        <f t="shared" si="141"/>
        <v>6.675871025434521</v>
      </c>
      <c r="V284" s="332">
        <f t="shared" si="142"/>
        <v>-109.76860111769294</v>
      </c>
      <c r="W284" s="334">
        <f t="shared" si="143"/>
        <v>70.231398882307062</v>
      </c>
      <c r="Y284" s="307">
        <f t="shared" si="144"/>
        <v>1000000000</v>
      </c>
      <c r="Z284" s="307">
        <f t="shared" si="145"/>
        <v>342805225</v>
      </c>
      <c r="AB284" s="333">
        <f t="shared" si="146"/>
        <v>23.582116206485132</v>
      </c>
      <c r="AC284" s="334">
        <f t="shared" si="147"/>
        <v>-18.348790939011892</v>
      </c>
      <c r="AE284" s="333">
        <f t="shared" si="148"/>
        <v>40.627298543501276</v>
      </c>
      <c r="AF284" s="334">
        <f t="shared" si="149"/>
        <v>-94.685759370006764</v>
      </c>
      <c r="AH284">
        <f t="shared" si="150"/>
        <v>0</v>
      </c>
      <c r="AI284">
        <f t="shared" si="155"/>
        <v>0</v>
      </c>
    </row>
    <row r="285" spans="1:35" x14ac:dyDescent="0.2">
      <c r="A285" s="335">
        <v>18621</v>
      </c>
      <c r="B285" s="352">
        <f t="shared" si="151"/>
        <v>18.620999999999999</v>
      </c>
      <c r="C285" s="325">
        <f t="shared" si="126"/>
        <v>23.640376100347982</v>
      </c>
      <c r="D285" s="326">
        <f t="shared" si="127"/>
        <v>1.5284831902208385</v>
      </c>
      <c r="E285" s="326">
        <f t="shared" si="128"/>
        <v>1.0002737387590046</v>
      </c>
      <c r="F285" s="327">
        <f t="shared" si="129"/>
        <v>2.3395569217153807E-2</v>
      </c>
      <c r="G285" s="326">
        <f t="shared" si="130"/>
        <v>1</v>
      </c>
      <c r="H285" s="327">
        <f t="shared" si="131"/>
        <v>0</v>
      </c>
      <c r="I285" s="325">
        <f t="shared" si="132"/>
        <v>24715.017288366031</v>
      </c>
      <c r="J285" s="328">
        <f t="shared" si="133"/>
        <v>1.5707558655648435</v>
      </c>
      <c r="K285" s="336">
        <f t="shared" si="153"/>
        <v>4.890928414549216</v>
      </c>
      <c r="L285" s="337">
        <f t="shared" si="154"/>
        <v>1.3648841429165062</v>
      </c>
      <c r="M285" s="325">
        <f t="shared" si="134"/>
        <v>1.0065186827440948</v>
      </c>
      <c r="N285" s="337">
        <f t="shared" si="135"/>
        <v>0.11387245136363561</v>
      </c>
      <c r="O285" s="343">
        <f t="shared" si="136"/>
        <v>1.0058371824543482</v>
      </c>
      <c r="P285" s="691">
        <f t="shared" si="137"/>
        <v>0.10778617031314355</v>
      </c>
      <c r="Q285" s="336">
        <f t="shared" si="152"/>
        <v>15.14301767210258</v>
      </c>
      <c r="R285" s="692">
        <f t="shared" si="138"/>
        <v>5.0462527793177926E-2</v>
      </c>
      <c r="S285" s="329">
        <f t="shared" si="139"/>
        <v>0.99898973118427281</v>
      </c>
      <c r="T285" s="330">
        <f t="shared" si="140"/>
        <v>0.14845231766564376</v>
      </c>
      <c r="U285" s="331">
        <f t="shared" si="141"/>
        <v>6.6242222175696384</v>
      </c>
      <c r="V285" s="332">
        <f t="shared" si="142"/>
        <v>-109.77644877958329</v>
      </c>
      <c r="W285" s="334">
        <f t="shared" si="143"/>
        <v>70.223551220416709</v>
      </c>
      <c r="Y285" s="307">
        <f t="shared" si="144"/>
        <v>1000000000</v>
      </c>
      <c r="Z285" s="307">
        <f t="shared" si="145"/>
        <v>346741641</v>
      </c>
      <c r="AB285" s="333">
        <f t="shared" si="146"/>
        <v>23.579395345010013</v>
      </c>
      <c r="AC285" s="334">
        <f t="shared" si="147"/>
        <v>-18.319991715716267</v>
      </c>
      <c r="AE285" s="333">
        <f t="shared" si="148"/>
        <v>40.577921822737011</v>
      </c>
      <c r="AF285" s="334">
        <f t="shared" si="149"/>
        <v>-94.740859850330708</v>
      </c>
      <c r="AH285">
        <f t="shared" si="150"/>
        <v>0</v>
      </c>
      <c r="AI285">
        <f t="shared" si="155"/>
        <v>0</v>
      </c>
    </row>
    <row r="286" spans="1:35" x14ac:dyDescent="0.2">
      <c r="A286" s="335">
        <v>18729.5</v>
      </c>
      <c r="B286" s="352">
        <f t="shared" si="151"/>
        <v>18.729500000000002</v>
      </c>
      <c r="C286" s="325">
        <f t="shared" si="126"/>
        <v>23.777877011767266</v>
      </c>
      <c r="D286" s="326">
        <f t="shared" si="127"/>
        <v>1.5287280202978659</v>
      </c>
      <c r="E286" s="326">
        <f t="shared" si="128"/>
        <v>1.0002769376270684</v>
      </c>
      <c r="F286" s="327">
        <f t="shared" si="129"/>
        <v>2.3531839287545455E-2</v>
      </c>
      <c r="G286" s="326">
        <f t="shared" si="130"/>
        <v>1</v>
      </c>
      <c r="H286" s="327">
        <f t="shared" si="131"/>
        <v>0</v>
      </c>
      <c r="I286" s="325">
        <f t="shared" si="132"/>
        <v>24859.02563224715</v>
      </c>
      <c r="J286" s="328">
        <f t="shared" si="133"/>
        <v>1.5707560999567629</v>
      </c>
      <c r="K286" s="336">
        <f t="shared" si="153"/>
        <v>4.9182386229297332</v>
      </c>
      <c r="L286" s="337">
        <f t="shared" si="154"/>
        <v>1.366043839629097</v>
      </c>
      <c r="M286" s="325">
        <f t="shared" si="134"/>
        <v>1.0065946200162239</v>
      </c>
      <c r="N286" s="337">
        <f t="shared" si="135"/>
        <v>0.11453018772336014</v>
      </c>
      <c r="O286" s="343">
        <f t="shared" si="136"/>
        <v>1.0059052040378038</v>
      </c>
      <c r="P286" s="691">
        <f t="shared" si="137"/>
        <v>0.1084093187331603</v>
      </c>
      <c r="Q286" s="336">
        <f t="shared" si="152"/>
        <v>15.143236370039519</v>
      </c>
      <c r="R286" s="692">
        <f t="shared" si="138"/>
        <v>5.0756078935689314E-2</v>
      </c>
      <c r="S286" s="329">
        <f t="shared" si="139"/>
        <v>0.99897876958309206</v>
      </c>
      <c r="T286" s="330">
        <f t="shared" si="140"/>
        <v>0.14932543139901969</v>
      </c>
      <c r="U286" s="331">
        <f t="shared" si="141"/>
        <v>6.5716801787107642</v>
      </c>
      <c r="V286" s="332">
        <f t="shared" si="142"/>
        <v>-109.78506322878019</v>
      </c>
      <c r="W286" s="334">
        <f t="shared" si="143"/>
        <v>70.214936771219811</v>
      </c>
      <c r="Y286" s="307">
        <f t="shared" si="144"/>
        <v>1000000000</v>
      </c>
      <c r="Z286" s="307">
        <f t="shared" si="145"/>
        <v>350794170.25</v>
      </c>
      <c r="AB286" s="333">
        <f t="shared" si="146"/>
        <v>23.57664218008366</v>
      </c>
      <c r="AC286" s="334">
        <f t="shared" si="147"/>
        <v>-18.291244935649022</v>
      </c>
      <c r="AE286" s="333">
        <f t="shared" si="148"/>
        <v>40.527671011587401</v>
      </c>
      <c r="AF286" s="334">
        <f t="shared" si="149"/>
        <v>-94.797105612556493</v>
      </c>
      <c r="AH286">
        <f t="shared" si="150"/>
        <v>0</v>
      </c>
      <c r="AI286">
        <f t="shared" si="155"/>
        <v>0</v>
      </c>
    </row>
    <row r="287" spans="1:35" x14ac:dyDescent="0.2">
      <c r="A287" s="335">
        <v>18838</v>
      </c>
      <c r="B287" s="352">
        <f t="shared" si="151"/>
        <v>18.838000000000001</v>
      </c>
      <c r="C287" s="325">
        <f t="shared" si="126"/>
        <v>23.915379332085134</v>
      </c>
      <c r="D287" s="326">
        <f t="shared" si="127"/>
        <v>1.5289700350708668</v>
      </c>
      <c r="E287" s="326">
        <f t="shared" si="128"/>
        <v>1.000280155069688</v>
      </c>
      <c r="F287" s="327">
        <f t="shared" si="129"/>
        <v>2.3668108483830871E-2</v>
      </c>
      <c r="G287" s="326">
        <f t="shared" si="130"/>
        <v>1</v>
      </c>
      <c r="H287" s="327">
        <f t="shared" si="131"/>
        <v>0</v>
      </c>
      <c r="I287" s="325">
        <f t="shared" si="132"/>
        <v>25003.033976129624</v>
      </c>
      <c r="J287" s="328">
        <f t="shared" si="133"/>
        <v>1.5707563316486588</v>
      </c>
      <c r="K287" s="336">
        <f t="shared" si="153"/>
        <v>4.9455553727737769</v>
      </c>
      <c r="L287" s="337">
        <f t="shared" si="154"/>
        <v>1.3671907267122274</v>
      </c>
      <c r="M287" s="325">
        <f t="shared" si="134"/>
        <v>1.0066709926926087</v>
      </c>
      <c r="N287" s="337">
        <f t="shared" si="135"/>
        <v>0.11518782456714924</v>
      </c>
      <c r="O287" s="343">
        <f t="shared" si="136"/>
        <v>1.0059736161753738</v>
      </c>
      <c r="P287" s="691">
        <f t="shared" si="137"/>
        <v>0.10903238263956026</v>
      </c>
      <c r="Q287" s="336">
        <f t="shared" si="152"/>
        <v>15.143456335390791</v>
      </c>
      <c r="R287" s="692">
        <f t="shared" si="138"/>
        <v>5.1049621700564714E-2</v>
      </c>
      <c r="S287" s="329">
        <f t="shared" si="139"/>
        <v>0.99896776403105558</v>
      </c>
      <c r="T287" s="330">
        <f t="shared" si="140"/>
        <v>0.15019868565944708</v>
      </c>
      <c r="U287" s="331">
        <f t="shared" si="141"/>
        <v>6.5194626893583791</v>
      </c>
      <c r="V287" s="332">
        <f t="shared" si="142"/>
        <v>-109.79425691806104</v>
      </c>
      <c r="W287" s="334">
        <f t="shared" si="143"/>
        <v>70.205743081938962</v>
      </c>
      <c r="Y287" s="307">
        <f t="shared" si="144"/>
        <v>1000000000</v>
      </c>
      <c r="Z287" s="307">
        <f t="shared" si="145"/>
        <v>354870244</v>
      </c>
      <c r="AB287" s="333">
        <f t="shared" si="146"/>
        <v>23.573920464508284</v>
      </c>
      <c r="AC287" s="334">
        <f t="shared" si="147"/>
        <v>-18.263226236744757</v>
      </c>
      <c r="AE287" s="333">
        <f t="shared" si="148"/>
        <v>40.477710693289374</v>
      </c>
      <c r="AF287" s="334">
        <f t="shared" si="149"/>
        <v>-94.853198171432865</v>
      </c>
      <c r="AH287">
        <f t="shared" si="150"/>
        <v>0</v>
      </c>
      <c r="AI287">
        <f t="shared" si="155"/>
        <v>0</v>
      </c>
    </row>
    <row r="288" spans="1:35" x14ac:dyDescent="0.2">
      <c r="A288" s="335">
        <v>18946.5</v>
      </c>
      <c r="B288" s="352">
        <f t="shared" si="151"/>
        <v>18.9465</v>
      </c>
      <c r="C288" s="325">
        <f t="shared" si="126"/>
        <v>24.052883037138979</v>
      </c>
      <c r="D288" s="326">
        <f t="shared" si="127"/>
        <v>1.5292092827941972</v>
      </c>
      <c r="E288" s="326">
        <f t="shared" si="128"/>
        <v>1.000283391086684</v>
      </c>
      <c r="F288" s="327">
        <f t="shared" si="129"/>
        <v>2.3804376800957674E-2</v>
      </c>
      <c r="G288" s="326">
        <f t="shared" si="130"/>
        <v>1</v>
      </c>
      <c r="H288" s="327">
        <f t="shared" si="131"/>
        <v>0</v>
      </c>
      <c r="I288" s="325">
        <f t="shared" si="132"/>
        <v>25147.042320013425</v>
      </c>
      <c r="J288" s="328">
        <f t="shared" si="133"/>
        <v>1.5707565606869172</v>
      </c>
      <c r="K288" s="336">
        <f t="shared" si="153"/>
        <v>4.9728785562816977</v>
      </c>
      <c r="L288" s="337">
        <f t="shared" si="154"/>
        <v>1.3683250122688775</v>
      </c>
      <c r="M288" s="325">
        <f t="shared" si="134"/>
        <v>1.0067478006741593</v>
      </c>
      <c r="N288" s="337">
        <f t="shared" si="135"/>
        <v>0.11584536134887823</v>
      </c>
      <c r="O288" s="343">
        <f t="shared" si="136"/>
        <v>1.0060424187873835</v>
      </c>
      <c r="P288" s="691">
        <f t="shared" si="137"/>
        <v>0.10965536156587653</v>
      </c>
      <c r="Q288" s="336">
        <f t="shared" si="152"/>
        <v>15.143677568101214</v>
      </c>
      <c r="R288" s="692">
        <f t="shared" si="138"/>
        <v>5.1343156039761938E-2</v>
      </c>
      <c r="S288" s="329">
        <f t="shared" si="139"/>
        <v>0.9989567148717835</v>
      </c>
      <c r="T288" s="330">
        <f t="shared" si="140"/>
        <v>0.15107208123231269</v>
      </c>
      <c r="U288" s="331">
        <f t="shared" si="141"/>
        <v>6.467565658033231</v>
      </c>
      <c r="V288" s="332">
        <f t="shared" si="142"/>
        <v>-109.80402072940421</v>
      </c>
      <c r="W288" s="334">
        <f t="shared" si="143"/>
        <v>70.195979270595785</v>
      </c>
      <c r="Y288" s="307">
        <f t="shared" si="144"/>
        <v>1000000000</v>
      </c>
      <c r="Z288" s="307">
        <f t="shared" si="145"/>
        <v>358969862.25</v>
      </c>
      <c r="AB288" s="333">
        <f t="shared" si="146"/>
        <v>23.571229424030207</v>
      </c>
      <c r="AC288" s="334">
        <f t="shared" si="147"/>
        <v>-18.2359236669481</v>
      </c>
      <c r="AE288" s="333">
        <f t="shared" si="148"/>
        <v>40.428037551924533</v>
      </c>
      <c r="AF288" s="334">
        <f t="shared" si="149"/>
        <v>-94.909140337019622</v>
      </c>
      <c r="AH288">
        <f t="shared" si="150"/>
        <v>0</v>
      </c>
      <c r="AI288">
        <f t="shared" si="155"/>
        <v>0</v>
      </c>
    </row>
    <row r="289" spans="1:35" x14ac:dyDescent="0.2">
      <c r="A289" s="335">
        <v>19055</v>
      </c>
      <c r="B289" s="352">
        <f t="shared" si="151"/>
        <v>19.055</v>
      </c>
      <c r="C289" s="325">
        <f t="shared" si="126"/>
        <v>24.190388103315325</v>
      </c>
      <c r="D289" s="326">
        <f t="shared" si="127"/>
        <v>1.5294458106263309</v>
      </c>
      <c r="E289" s="326">
        <f t="shared" si="128"/>
        <v>1.0002866456778761</v>
      </c>
      <c r="F289" s="327">
        <f t="shared" si="129"/>
        <v>2.3940644233873671E-2</v>
      </c>
      <c r="G289" s="326">
        <f t="shared" si="130"/>
        <v>1</v>
      </c>
      <c r="H289" s="327">
        <f t="shared" si="131"/>
        <v>0</v>
      </c>
      <c r="I289" s="325">
        <f t="shared" si="132"/>
        <v>25291.050663898528</v>
      </c>
      <c r="J289" s="328">
        <f t="shared" si="133"/>
        <v>1.5707567871168677</v>
      </c>
      <c r="K289" s="336">
        <f t="shared" si="153"/>
        <v>5.0002080679849801</v>
      </c>
      <c r="L289" s="337">
        <f t="shared" si="154"/>
        <v>1.369446899983654</v>
      </c>
      <c r="M289" s="325">
        <f t="shared" si="134"/>
        <v>1.0068250438612507</v>
      </c>
      <c r="N289" s="337">
        <f t="shared" si="135"/>
        <v>0.11650279752293476</v>
      </c>
      <c r="O289" s="343">
        <f t="shared" si="136"/>
        <v>1.0061116117937254</v>
      </c>
      <c r="P289" s="691">
        <f t="shared" si="137"/>
        <v>0.11027825504603328</v>
      </c>
      <c r="Q289" s="336">
        <f t="shared" si="152"/>
        <v>15.143900068115292</v>
      </c>
      <c r="R289" s="692">
        <f t="shared" si="138"/>
        <v>5.1636681905247235E-2</v>
      </c>
      <c r="S289" s="329">
        <f t="shared" si="139"/>
        <v>0.99894562245089802</v>
      </c>
      <c r="T289" s="330">
        <f t="shared" si="140"/>
        <v>0.15194561890248717</v>
      </c>
      <c r="U289" s="331">
        <f t="shared" si="141"/>
        <v>6.4159850707488797</v>
      </c>
      <c r="V289" s="332">
        <f t="shared" si="142"/>
        <v>-109.81434573507012</v>
      </c>
      <c r="W289" s="334">
        <f t="shared" si="143"/>
        <v>70.18565426492988</v>
      </c>
      <c r="Y289" s="307">
        <f t="shared" si="144"/>
        <v>1000000000</v>
      </c>
      <c r="Z289" s="307">
        <f t="shared" si="145"/>
        <v>363093025</v>
      </c>
      <c r="AB289" s="333">
        <f t="shared" si="146"/>
        <v>23.568568305553654</v>
      </c>
      <c r="AC289" s="334">
        <f t="shared" si="147"/>
        <v>-18.209325527326627</v>
      </c>
      <c r="AE289" s="333">
        <f t="shared" si="148"/>
        <v>40.378648327916324</v>
      </c>
      <c r="AF289" s="334">
        <f t="shared" si="149"/>
        <v>-94.964934856557534</v>
      </c>
      <c r="AH289">
        <f t="shared" si="150"/>
        <v>0</v>
      </c>
      <c r="AI289">
        <f t="shared" si="155"/>
        <v>0</v>
      </c>
    </row>
    <row r="290" spans="1:35" x14ac:dyDescent="0.2">
      <c r="A290" s="335">
        <v>19165.75</v>
      </c>
      <c r="B290" s="352">
        <f t="shared" si="151"/>
        <v>19.165749999999999</v>
      </c>
      <c r="C290" s="325">
        <f t="shared" si="126"/>
        <v>24.330746036828902</v>
      </c>
      <c r="D290" s="326">
        <f t="shared" si="127"/>
        <v>1.5296844861927734</v>
      </c>
      <c r="E290" s="326">
        <f t="shared" si="128"/>
        <v>1.0002899869163611</v>
      </c>
      <c r="F290" s="327">
        <f t="shared" si="129"/>
        <v>2.4079736571979822E-2</v>
      </c>
      <c r="G290" s="326">
        <f t="shared" si="130"/>
        <v>1</v>
      </c>
      <c r="H290" s="327">
        <f t="shared" si="131"/>
        <v>0</v>
      </c>
      <c r="I290" s="325">
        <f t="shared" si="132"/>
        <v>25438.045355930037</v>
      </c>
      <c r="J290" s="328">
        <f t="shared" si="133"/>
        <v>1.5707570155983692</v>
      </c>
      <c r="K290" s="336">
        <f t="shared" si="153"/>
        <v>5.028110739959744</v>
      </c>
      <c r="L290" s="337">
        <f t="shared" si="154"/>
        <v>1.3705794735208525</v>
      </c>
      <c r="M290" s="325">
        <f t="shared" si="134"/>
        <v>1.006904337598191</v>
      </c>
      <c r="N290" s="337">
        <f t="shared" si="135"/>
        <v>0.1171737628411785</v>
      </c>
      <c r="O290" s="343">
        <f t="shared" si="136"/>
        <v>1.0061826422163169</v>
      </c>
      <c r="P290" s="691">
        <f t="shared" si="137"/>
        <v>0.11091397706608633</v>
      </c>
      <c r="Q290" s="336">
        <f t="shared" si="152"/>
        <v>15.14412848912389</v>
      </c>
      <c r="R290" s="692">
        <f t="shared" si="138"/>
        <v>5.1936285923654582E-2</v>
      </c>
      <c r="S290" s="329">
        <f t="shared" si="139"/>
        <v>0.99893425574724348</v>
      </c>
      <c r="T290" s="330">
        <f t="shared" si="140"/>
        <v>0.1528374187715863</v>
      </c>
      <c r="U290" s="331">
        <f t="shared" si="141"/>
        <v>6.3636571058562819</v>
      </c>
      <c r="V290" s="332">
        <f t="shared" si="142"/>
        <v>-109.82545454782489</v>
      </c>
      <c r="W290" s="334">
        <f t="shared" si="143"/>
        <v>70.17454545217511</v>
      </c>
      <c r="Y290" s="307">
        <f t="shared" si="144"/>
        <v>1000000000</v>
      </c>
      <c r="Z290" s="307">
        <f t="shared" si="145"/>
        <v>367325973.0625</v>
      </c>
      <c r="AB290" s="333">
        <f t="shared" si="146"/>
        <v>23.565882101098232</v>
      </c>
      <c r="AC290" s="334">
        <f t="shared" si="147"/>
        <v>-18.182890415587494</v>
      </c>
      <c r="AE290" s="333">
        <f t="shared" si="148"/>
        <v>40.328524385919344</v>
      </c>
      <c r="AF290" s="334">
        <f t="shared" si="149"/>
        <v>-95.021736923986111</v>
      </c>
      <c r="AH290">
        <f t="shared" si="150"/>
        <v>0</v>
      </c>
      <c r="AI290">
        <f t="shared" si="155"/>
        <v>0</v>
      </c>
    </row>
    <row r="291" spans="1:35" x14ac:dyDescent="0.2">
      <c r="A291" s="335">
        <v>19276.5</v>
      </c>
      <c r="B291" s="352">
        <f t="shared" si="151"/>
        <v>19.276499999999999</v>
      </c>
      <c r="C291" s="325">
        <f t="shared" si="126"/>
        <v>24.471105340468799</v>
      </c>
      <c r="D291" s="326">
        <f t="shared" si="127"/>
        <v>1.5299204238221302</v>
      </c>
      <c r="E291" s="326">
        <f t="shared" si="128"/>
        <v>1.0002933475070055</v>
      </c>
      <c r="F291" s="327">
        <f t="shared" si="129"/>
        <v>2.4218827978186256E-2</v>
      </c>
      <c r="G291" s="326">
        <f t="shared" si="130"/>
        <v>1</v>
      </c>
      <c r="H291" s="327">
        <f t="shared" si="131"/>
        <v>0</v>
      </c>
      <c r="I291" s="325">
        <f t="shared" si="132"/>
        <v>25585.040047962855</v>
      </c>
      <c r="J291" s="328">
        <f t="shared" si="133"/>
        <v>1.5707572414544642</v>
      </c>
      <c r="K291" s="336">
        <f t="shared" si="153"/>
        <v>5.0560197904144326</v>
      </c>
      <c r="L291" s="337">
        <f t="shared" si="154"/>
        <v>1.3716995449498532</v>
      </c>
      <c r="M291" s="325">
        <f t="shared" si="134"/>
        <v>1.0069840845663753</v>
      </c>
      <c r="N291" s="337">
        <f t="shared" si="135"/>
        <v>0.11784462218871727</v>
      </c>
      <c r="O291" s="343">
        <f t="shared" si="136"/>
        <v>1.0062540792225587</v>
      </c>
      <c r="P291" s="691">
        <f t="shared" si="137"/>
        <v>0.11154960907935507</v>
      </c>
      <c r="Q291" s="336">
        <f t="shared" si="152"/>
        <v>15.144358230424272</v>
      </c>
      <c r="R291" s="692">
        <f t="shared" si="138"/>
        <v>5.2235881012157773E-2</v>
      </c>
      <c r="S291" s="329">
        <f t="shared" si="139"/>
        <v>0.99892284470316739</v>
      </c>
      <c r="T291" s="330">
        <f t="shared" si="140"/>
        <v>0.15372936834335868</v>
      </c>
      <c r="U291" s="331">
        <f t="shared" si="141"/>
        <v>6.3116506328143016</v>
      </c>
      <c r="V291" s="332">
        <f t="shared" si="142"/>
        <v>-109.83712986036494</v>
      </c>
      <c r="W291" s="334">
        <f t="shared" si="143"/>
        <v>70.162870139635061</v>
      </c>
      <c r="Y291" s="307">
        <f t="shared" si="144"/>
        <v>1000000000</v>
      </c>
      <c r="Z291" s="307">
        <f t="shared" si="145"/>
        <v>371583452.25</v>
      </c>
      <c r="AB291" s="333">
        <f t="shared" si="146"/>
        <v>23.563225551402915</v>
      </c>
      <c r="AC291" s="334">
        <f t="shared" si="147"/>
        <v>-18.157165399785065</v>
      </c>
      <c r="AE291" s="333">
        <f t="shared" si="148"/>
        <v>40.278689569970574</v>
      </c>
      <c r="AF291" s="334">
        <f t="shared" si="149"/>
        <v>-95.078390749900194</v>
      </c>
      <c r="AH291">
        <f t="shared" si="150"/>
        <v>0</v>
      </c>
      <c r="AI291">
        <f t="shared" si="155"/>
        <v>0</v>
      </c>
    </row>
    <row r="292" spans="1:35" x14ac:dyDescent="0.2">
      <c r="A292" s="335">
        <v>19387.25</v>
      </c>
      <c r="B292" s="352">
        <f t="shared" si="151"/>
        <v>19.387250000000002</v>
      </c>
      <c r="C292" s="325">
        <f t="shared" si="126"/>
        <v>24.611465990793505</v>
      </c>
      <c r="D292" s="326">
        <f t="shared" si="127"/>
        <v>1.5301536703317593</v>
      </c>
      <c r="E292" s="326">
        <f t="shared" si="128"/>
        <v>1.000296727449614</v>
      </c>
      <c r="F292" s="327">
        <f t="shared" si="129"/>
        <v>2.4357918447120552E-2</v>
      </c>
      <c r="G292" s="326">
        <f t="shared" si="130"/>
        <v>1</v>
      </c>
      <c r="H292" s="327">
        <f t="shared" si="131"/>
        <v>0</v>
      </c>
      <c r="I292" s="325">
        <f t="shared" si="132"/>
        <v>25732.034739996969</v>
      </c>
      <c r="J292" s="328">
        <f t="shared" si="133"/>
        <v>1.5707574647301452</v>
      </c>
      <c r="K292" s="336">
        <f t="shared" si="153"/>
        <v>5.0839351143020819</v>
      </c>
      <c r="L292" s="337">
        <f t="shared" si="154"/>
        <v>1.3728073173799378</v>
      </c>
      <c r="M292" s="325">
        <f t="shared" si="134"/>
        <v>1.0070642846581332</v>
      </c>
      <c r="N292" s="337">
        <f t="shared" si="135"/>
        <v>0.11851537498695427</v>
      </c>
      <c r="O292" s="343">
        <f t="shared" si="136"/>
        <v>1.0063259227258636</v>
      </c>
      <c r="P292" s="691">
        <f t="shared" si="137"/>
        <v>0.11218515059143633</v>
      </c>
      <c r="Q292" s="336">
        <f t="shared" si="152"/>
        <v>15.144589291956407</v>
      </c>
      <c r="R292" s="692">
        <f t="shared" si="138"/>
        <v>5.2535467119699877E-2</v>
      </c>
      <c r="S292" s="329">
        <f t="shared" si="139"/>
        <v>0.99891138969270121</v>
      </c>
      <c r="T292" s="330">
        <f t="shared" si="140"/>
        <v>0.15462146845083602</v>
      </c>
      <c r="U292" s="331">
        <f t="shared" si="141"/>
        <v>6.2599616200814108</v>
      </c>
      <c r="V292" s="332">
        <f t="shared" si="142"/>
        <v>-109.84936276068828</v>
      </c>
      <c r="W292" s="334">
        <f t="shared" si="143"/>
        <v>70.15063723931172</v>
      </c>
      <c r="Y292" s="307">
        <f t="shared" si="144"/>
        <v>1000000000</v>
      </c>
      <c r="Z292" s="307">
        <f t="shared" si="145"/>
        <v>375865462.5625</v>
      </c>
      <c r="AB292" s="333">
        <f t="shared" si="146"/>
        <v>23.560597919414036</v>
      </c>
      <c r="AC292" s="334">
        <f t="shared" si="147"/>
        <v>-18.132138812041436</v>
      </c>
      <c r="AE292" s="333">
        <f t="shared" si="148"/>
        <v>40.229140587001964</v>
      </c>
      <c r="AF292" s="334">
        <f t="shared" si="149"/>
        <v>-95.134899064773862</v>
      </c>
      <c r="AH292">
        <f t="shared" si="150"/>
        <v>0</v>
      </c>
      <c r="AI292">
        <f t="shared" si="155"/>
        <v>0</v>
      </c>
    </row>
    <row r="293" spans="1:35" x14ac:dyDescent="0.2">
      <c r="A293" s="335">
        <v>19498</v>
      </c>
      <c r="B293" s="352">
        <f t="shared" si="151"/>
        <v>19.498000000000001</v>
      </c>
      <c r="C293" s="325">
        <f t="shared" si="126"/>
        <v>24.75182796489301</v>
      </c>
      <c r="D293" s="326">
        <f t="shared" si="127"/>
        <v>1.5303842714782425</v>
      </c>
      <c r="E293" s="326">
        <f t="shared" si="128"/>
        <v>1.0003001267439906</v>
      </c>
      <c r="F293" s="327">
        <f t="shared" si="129"/>
        <v>2.4497007973410496E-2</v>
      </c>
      <c r="G293" s="326">
        <f t="shared" si="130"/>
        <v>1</v>
      </c>
      <c r="H293" s="327">
        <f t="shared" si="131"/>
        <v>0</v>
      </c>
      <c r="I293" s="325">
        <f t="shared" si="132"/>
        <v>25879.029432032352</v>
      </c>
      <c r="J293" s="328">
        <f t="shared" si="133"/>
        <v>1.5707576854693834</v>
      </c>
      <c r="K293" s="336">
        <f t="shared" si="153"/>
        <v>5.1118566088469741</v>
      </c>
      <c r="L293" s="337">
        <f t="shared" si="154"/>
        <v>1.3739029896050154</v>
      </c>
      <c r="M293" s="325">
        <f t="shared" si="134"/>
        <v>1.0071449377652164</v>
      </c>
      <c r="N293" s="337">
        <f t="shared" si="135"/>
        <v>0.11918602065785999</v>
      </c>
      <c r="O293" s="343">
        <f t="shared" si="136"/>
        <v>1.006398172639176</v>
      </c>
      <c r="P293" s="691">
        <f t="shared" si="137"/>
        <v>0.11282060110836012</v>
      </c>
      <c r="Q293" s="336">
        <f t="shared" si="152"/>
        <v>15.144821673659916</v>
      </c>
      <c r="R293" s="692">
        <f t="shared" si="138"/>
        <v>5.2835044195233362E-2</v>
      </c>
      <c r="S293" s="329">
        <f t="shared" si="139"/>
        <v>0.99889989109205091</v>
      </c>
      <c r="T293" s="330">
        <f t="shared" si="140"/>
        <v>0.15551371992647423</v>
      </c>
      <c r="U293" s="331">
        <f t="shared" si="141"/>
        <v>6.2085861120707513</v>
      </c>
      <c r="V293" s="332">
        <f t="shared" si="142"/>
        <v>-109.8621445231842</v>
      </c>
      <c r="W293" s="334">
        <f t="shared" si="143"/>
        <v>70.137855476815801</v>
      </c>
      <c r="Y293" s="307">
        <f t="shared" si="144"/>
        <v>1000000000</v>
      </c>
      <c r="Z293" s="307">
        <f t="shared" si="145"/>
        <v>380172004</v>
      </c>
      <c r="AB293" s="333">
        <f t="shared" si="146"/>
        <v>23.557998488213126</v>
      </c>
      <c r="AC293" s="334">
        <f t="shared" si="147"/>
        <v>-18.107799231705297</v>
      </c>
      <c r="AE293" s="333">
        <f t="shared" si="148"/>
        <v>40.179874199772456</v>
      </c>
      <c r="AF293" s="334">
        <f t="shared" si="149"/>
        <v>-95.191264538270133</v>
      </c>
      <c r="AH293">
        <f t="shared" si="150"/>
        <v>0</v>
      </c>
      <c r="AI293">
        <f t="shared" si="155"/>
        <v>0</v>
      </c>
    </row>
    <row r="294" spans="1:35" x14ac:dyDescent="0.2">
      <c r="A294" s="335">
        <v>19611.75</v>
      </c>
      <c r="B294" s="352">
        <f t="shared" si="151"/>
        <v>19.611750000000001</v>
      </c>
      <c r="C294" s="325">
        <f t="shared" si="126"/>
        <v>24.895993423746091</v>
      </c>
      <c r="D294" s="326">
        <f t="shared" si="127"/>
        <v>1.5306184123092959</v>
      </c>
      <c r="E294" s="326">
        <f t="shared" si="128"/>
        <v>1.0003036382635391</v>
      </c>
      <c r="F294" s="327">
        <f t="shared" si="129"/>
        <v>2.4639864174877658E-2</v>
      </c>
      <c r="G294" s="326">
        <f t="shared" si="130"/>
        <v>1</v>
      </c>
      <c r="H294" s="327">
        <f t="shared" si="131"/>
        <v>0</v>
      </c>
      <c r="I294" s="325">
        <f t="shared" si="132"/>
        <v>26030.005921595945</v>
      </c>
      <c r="J294" s="328">
        <f t="shared" si="133"/>
        <v>1.5707579095927162</v>
      </c>
      <c r="K294" s="336">
        <f t="shared" si="153"/>
        <v>5.1405407598743329</v>
      </c>
      <c r="L294" s="337">
        <f t="shared" si="154"/>
        <v>1.3750159495070728</v>
      </c>
      <c r="M294" s="325">
        <f t="shared" si="134"/>
        <v>1.0072282470807346</v>
      </c>
      <c r="N294" s="337">
        <f t="shared" si="135"/>
        <v>0.11987472067692492</v>
      </c>
      <c r="O294" s="343">
        <f t="shared" si="136"/>
        <v>1.0064728026411973</v>
      </c>
      <c r="P294" s="691">
        <f t="shared" si="137"/>
        <v>0.11347316948757023</v>
      </c>
      <c r="Q294" s="336">
        <f t="shared" si="152"/>
        <v>15.14506172436062</v>
      </c>
      <c r="R294" s="692">
        <f t="shared" si="138"/>
        <v>5.3142726769487163E-2</v>
      </c>
      <c r="S294" s="329">
        <f t="shared" si="139"/>
        <v>0.99888803603702336</v>
      </c>
      <c r="T294" s="330">
        <f t="shared" si="140"/>
        <v>0.15643029919020179</v>
      </c>
      <c r="U294" s="331">
        <f t="shared" si="141"/>
        <v>6.1561412238809723</v>
      </c>
      <c r="V294" s="332">
        <f t="shared" si="142"/>
        <v>-109.87583491018127</v>
      </c>
      <c r="W294" s="334">
        <f t="shared" si="143"/>
        <v>70.124165089818732</v>
      </c>
      <c r="Y294" s="307">
        <f t="shared" si="144"/>
        <v>1000000000</v>
      </c>
      <c r="Z294" s="307">
        <f t="shared" si="145"/>
        <v>384620738.0625</v>
      </c>
      <c r="AB294" s="333">
        <f t="shared" si="146"/>
        <v>23.555357268068235</v>
      </c>
      <c r="AC294" s="334">
        <f t="shared" si="147"/>
        <v>-18.083503772286413</v>
      </c>
      <c r="AE294" s="333">
        <f t="shared" si="148"/>
        <v>40.129564122040307</v>
      </c>
      <c r="AF294" s="334">
        <f t="shared" si="149"/>
        <v>-95.249010885746614</v>
      </c>
      <c r="AH294">
        <f t="shared" si="150"/>
        <v>0</v>
      </c>
      <c r="AI294">
        <f t="shared" si="155"/>
        <v>0</v>
      </c>
    </row>
    <row r="295" spans="1:35" x14ac:dyDescent="0.2">
      <c r="A295" s="335">
        <v>19725.5</v>
      </c>
      <c r="B295" s="352">
        <f t="shared" si="151"/>
        <v>19.7255</v>
      </c>
      <c r="C295" s="325">
        <f t="shared" si="126"/>
        <v>25.040160231729661</v>
      </c>
      <c r="D295" s="326">
        <f t="shared" si="127"/>
        <v>1.5308498570570508</v>
      </c>
      <c r="E295" s="326">
        <f t="shared" si="128"/>
        <v>1.0003071701970345</v>
      </c>
      <c r="F295" s="327">
        <f t="shared" si="129"/>
        <v>2.478271937045284E-2</v>
      </c>
      <c r="G295" s="326">
        <f t="shared" si="130"/>
        <v>1</v>
      </c>
      <c r="H295" s="327">
        <f t="shared" si="131"/>
        <v>0</v>
      </c>
      <c r="I295" s="325">
        <f t="shared" si="132"/>
        <v>26180.982411160832</v>
      </c>
      <c r="J295" s="328">
        <f t="shared" si="133"/>
        <v>1.5707581311311687</v>
      </c>
      <c r="K295" s="336">
        <f t="shared" si="153"/>
        <v>5.1692312077142812</v>
      </c>
      <c r="L295" s="337">
        <f t="shared" si="154"/>
        <v>1.3761165563819009</v>
      </c>
      <c r="M295" s="325">
        <f t="shared" si="134"/>
        <v>1.0073120340532282</v>
      </c>
      <c r="N295" s="337">
        <f t="shared" si="135"/>
        <v>0.12056330645211009</v>
      </c>
      <c r="O295" s="343">
        <f t="shared" si="136"/>
        <v>1.0065478611814587</v>
      </c>
      <c r="P295" s="691">
        <f t="shared" si="137"/>
        <v>0.11412564082020456</v>
      </c>
      <c r="Q295" s="336">
        <f t="shared" si="152"/>
        <v>15.145303167592878</v>
      </c>
      <c r="R295" s="692">
        <f t="shared" si="138"/>
        <v>5.345039970665702E-2</v>
      </c>
      <c r="S295" s="329">
        <f t="shared" si="139"/>
        <v>0.99887613580981183</v>
      </c>
      <c r="T295" s="330">
        <f t="shared" si="140"/>
        <v>0.15734703991192664</v>
      </c>
      <c r="U295" s="331">
        <f t="shared" si="141"/>
        <v>6.1040188342590787</v>
      </c>
      <c r="V295" s="332">
        <f t="shared" si="142"/>
        <v>-109.89008622220449</v>
      </c>
      <c r="W295" s="334">
        <f t="shared" si="143"/>
        <v>70.109913777795512</v>
      </c>
      <c r="Y295" s="307">
        <f t="shared" si="144"/>
        <v>1000000000</v>
      </c>
      <c r="Z295" s="307">
        <f t="shared" si="145"/>
        <v>389095350.25</v>
      </c>
      <c r="AB295" s="333">
        <f t="shared" si="146"/>
        <v>23.552744326616168</v>
      </c>
      <c r="AC295" s="334">
        <f t="shared" si="147"/>
        <v>-18.059909395397909</v>
      </c>
      <c r="AE295" s="333">
        <f t="shared" si="148"/>
        <v>40.079545410357831</v>
      </c>
      <c r="AF295" s="334">
        <f t="shared" si="149"/>
        <v>-95.306612067523901</v>
      </c>
      <c r="AH295">
        <f t="shared" si="150"/>
        <v>0</v>
      </c>
      <c r="AI295">
        <f t="shared" si="155"/>
        <v>0</v>
      </c>
    </row>
    <row r="296" spans="1:35" x14ac:dyDescent="0.2">
      <c r="A296" s="335">
        <v>19839.25</v>
      </c>
      <c r="B296" s="352">
        <f t="shared" si="151"/>
        <v>19.83925</v>
      </c>
      <c r="C296" s="325">
        <f t="shared" si="126"/>
        <v>25.184328365674556</v>
      </c>
      <c r="D296" s="326">
        <f t="shared" si="127"/>
        <v>1.5310786519978261</v>
      </c>
      <c r="E296" s="326">
        <f t="shared" si="128"/>
        <v>1.0003107225442613</v>
      </c>
      <c r="F296" s="327">
        <f t="shared" si="129"/>
        <v>2.4925573554316068E-2</v>
      </c>
      <c r="G296" s="326">
        <f t="shared" si="130"/>
        <v>1</v>
      </c>
      <c r="H296" s="327">
        <f t="shared" si="131"/>
        <v>0</v>
      </c>
      <c r="I296" s="325">
        <f t="shared" si="132"/>
        <v>26331.95890072699</v>
      </c>
      <c r="J296" s="328">
        <f t="shared" si="133"/>
        <v>1.5707583501292026</v>
      </c>
      <c r="K296" s="336">
        <f t="shared" si="153"/>
        <v>5.1979278480992885</v>
      </c>
      <c r="L296" s="337">
        <f t="shared" si="154"/>
        <v>1.3772050121359833</v>
      </c>
      <c r="M296" s="325">
        <f t="shared" si="134"/>
        <v>1.0073962985635145</v>
      </c>
      <c r="N296" s="337">
        <f t="shared" si="135"/>
        <v>0.1212517773590165</v>
      </c>
      <c r="O296" s="343">
        <f t="shared" si="136"/>
        <v>1.0066233481640983</v>
      </c>
      <c r="P296" s="691">
        <f t="shared" si="137"/>
        <v>0.11477801457249559</v>
      </c>
      <c r="Q296" s="336">
        <f t="shared" si="152"/>
        <v>15.145546003290155</v>
      </c>
      <c r="R296" s="692">
        <f t="shared" si="138"/>
        <v>5.3758062951464874E-2</v>
      </c>
      <c r="S296" s="329">
        <f t="shared" si="139"/>
        <v>0.99886419082519895</v>
      </c>
      <c r="T296" s="330">
        <f t="shared" si="140"/>
        <v>0.15826394299167912</v>
      </c>
      <c r="U296" s="331">
        <f t="shared" si="141"/>
        <v>6.0522148951898522</v>
      </c>
      <c r="V296" s="332">
        <f t="shared" si="142"/>
        <v>-109.9048895883911</v>
      </c>
      <c r="W296" s="334">
        <f t="shared" si="143"/>
        <v>70.0951104116089</v>
      </c>
      <c r="Y296" s="307">
        <f t="shared" si="144"/>
        <v>1000000000</v>
      </c>
      <c r="Z296" s="307">
        <f t="shared" si="145"/>
        <v>393595840.5625</v>
      </c>
      <c r="AB296" s="333">
        <f t="shared" si="146"/>
        <v>23.550158949198419</v>
      </c>
      <c r="AC296" s="334">
        <f t="shared" si="147"/>
        <v>-18.03700449942243</v>
      </c>
      <c r="AE296" s="333">
        <f t="shared" si="148"/>
        <v>40.02981473293935</v>
      </c>
      <c r="AF296" s="334">
        <f t="shared" si="149"/>
        <v>-95.364070786941127</v>
      </c>
      <c r="AH296">
        <f t="shared" si="150"/>
        <v>0</v>
      </c>
      <c r="AI296">
        <f t="shared" si="155"/>
        <v>0</v>
      </c>
    </row>
    <row r="297" spans="1:35" x14ac:dyDescent="0.2">
      <c r="A297" s="335">
        <v>19953</v>
      </c>
      <c r="B297" s="352">
        <f t="shared" si="151"/>
        <v>19.952999999999999</v>
      </c>
      <c r="C297" s="325">
        <f t="shared" si="126"/>
        <v>25.328497802938941</v>
      </c>
      <c r="D297" s="326">
        <f t="shared" si="127"/>
        <v>1.5313048423554489</v>
      </c>
      <c r="E297" s="326">
        <f t="shared" si="128"/>
        <v>1.0003142953050017</v>
      </c>
      <c r="F297" s="327">
        <f t="shared" si="129"/>
        <v>2.5068426720647616E-2</v>
      </c>
      <c r="G297" s="326">
        <f t="shared" si="130"/>
        <v>1</v>
      </c>
      <c r="H297" s="327">
        <f t="shared" si="131"/>
        <v>0</v>
      </c>
      <c r="I297" s="325">
        <f t="shared" si="132"/>
        <v>26482.935390294395</v>
      </c>
      <c r="J297" s="328">
        <f t="shared" si="133"/>
        <v>1.5707585666302661</v>
      </c>
      <c r="K297" s="336">
        <f t="shared" si="153"/>
        <v>5.226630579029468</v>
      </c>
      <c r="L297" s="337">
        <f t="shared" si="154"/>
        <v>1.3782815143572282</v>
      </c>
      <c r="M297" s="325">
        <f t="shared" si="134"/>
        <v>1.0074810404917718</v>
      </c>
      <c r="N297" s="337">
        <f t="shared" si="135"/>
        <v>0.1219401327738891</v>
      </c>
      <c r="O297" s="343">
        <f t="shared" si="136"/>
        <v>1.0066992634927368</v>
      </c>
      <c r="P297" s="691">
        <f t="shared" si="137"/>
        <v>0.11543029021116769</v>
      </c>
      <c r="Q297" s="336">
        <f t="shared" si="152"/>
        <v>15.145790231385527</v>
      </c>
      <c r="R297" s="692">
        <f t="shared" si="138"/>
        <v>5.4065716448643317E-2</v>
      </c>
      <c r="S297" s="329">
        <f t="shared" si="139"/>
        <v>0.99885220150038867</v>
      </c>
      <c r="T297" s="330">
        <f t="shared" si="140"/>
        <v>0.15918100932883089</v>
      </c>
      <c r="U297" s="331">
        <f t="shared" si="141"/>
        <v>6.0007254349870873</v>
      </c>
      <c r="V297" s="332">
        <f t="shared" si="142"/>
        <v>-109.9202363249246</v>
      </c>
      <c r="W297" s="334">
        <f t="shared" si="143"/>
        <v>70.079763675075398</v>
      </c>
      <c r="Y297" s="307">
        <f t="shared" si="144"/>
        <v>1000000000</v>
      </c>
      <c r="Z297" s="307">
        <f t="shared" si="145"/>
        <v>398122209</v>
      </c>
      <c r="AB297" s="333">
        <f t="shared" si="146"/>
        <v>23.547600440792884</v>
      </c>
      <c r="AC297" s="334">
        <f t="shared" si="147"/>
        <v>-18.014777730157622</v>
      </c>
      <c r="AE297" s="333">
        <f t="shared" si="148"/>
        <v>39.980368814700057</v>
      </c>
      <c r="AF297" s="334">
        <f t="shared" si="149"/>
        <v>-95.42138968699642</v>
      </c>
      <c r="AH297">
        <f t="shared" si="150"/>
        <v>0</v>
      </c>
      <c r="AI297">
        <f t="shared" si="155"/>
        <v>0</v>
      </c>
    </row>
    <row r="298" spans="1:35" x14ac:dyDescent="0.2">
      <c r="A298" s="335">
        <v>20069</v>
      </c>
      <c r="B298" s="352">
        <f t="shared" si="151"/>
        <v>20.068999999999999</v>
      </c>
      <c r="C298" s="325">
        <f t="shared" si="126"/>
        <v>25.475520262664283</v>
      </c>
      <c r="D298" s="326">
        <f t="shared" si="127"/>
        <v>1.5315328702527284</v>
      </c>
      <c r="E298" s="326">
        <f t="shared" si="128"/>
        <v>1.0003179597586906</v>
      </c>
      <c r="F298" s="327">
        <f t="shared" si="129"/>
        <v>2.5214104500051453E-2</v>
      </c>
      <c r="G298" s="326">
        <f t="shared" si="130"/>
        <v>1</v>
      </c>
      <c r="H298" s="327">
        <f t="shared" si="131"/>
        <v>0</v>
      </c>
      <c r="I298" s="325">
        <f t="shared" si="132"/>
        <v>26636.898228008355</v>
      </c>
      <c r="J298" s="328">
        <f t="shared" si="133"/>
        <v>1.5707587848862377</v>
      </c>
      <c r="K298" s="336">
        <f t="shared" si="153"/>
        <v>5.255907225290958</v>
      </c>
      <c r="L298" s="337">
        <f t="shared" si="154"/>
        <v>1.3793671999426336</v>
      </c>
      <c r="M298" s="325">
        <f t="shared" si="134"/>
        <v>1.0075679501856307</v>
      </c>
      <c r="N298" s="337">
        <f t="shared" si="135"/>
        <v>0.12264198442289519</v>
      </c>
      <c r="O298" s="343">
        <f t="shared" si="136"/>
        <v>1.0067771214817707</v>
      </c>
      <c r="P298" s="691">
        <f t="shared" si="137"/>
        <v>0.11609536640914529</v>
      </c>
      <c r="Q298" s="336">
        <f t="shared" si="152"/>
        <v>15.14604072427994</v>
      </c>
      <c r="R298" s="692">
        <f t="shared" si="138"/>
        <v>5.43794453035783E-2</v>
      </c>
      <c r="S298" s="329">
        <f t="shared" si="139"/>
        <v>0.99883992979465974</v>
      </c>
      <c r="T298" s="330">
        <f t="shared" si="140"/>
        <v>0.16011638450457094</v>
      </c>
      <c r="U298" s="331">
        <f t="shared" si="141"/>
        <v>5.9485373332641629</v>
      </c>
      <c r="V298" s="332">
        <f t="shared" si="142"/>
        <v>-109.93643740962801</v>
      </c>
      <c r="W298" s="334">
        <f t="shared" si="143"/>
        <v>70.063562590371987</v>
      </c>
      <c r="Y298" s="307">
        <f t="shared" si="144"/>
        <v>1000000000</v>
      </c>
      <c r="Z298" s="307">
        <f t="shared" si="145"/>
        <v>402764761</v>
      </c>
      <c r="AB298" s="333">
        <f t="shared" si="146"/>
        <v>23.545018295300931</v>
      </c>
      <c r="AC298" s="334">
        <f t="shared" si="147"/>
        <v>-17.992798170688953</v>
      </c>
      <c r="AE298" s="333">
        <f t="shared" si="148"/>
        <v>39.930234771710182</v>
      </c>
      <c r="AF298" s="334">
        <f t="shared" si="149"/>
        <v>-95.479701051090956</v>
      </c>
      <c r="AH298">
        <f t="shared" si="150"/>
        <v>0</v>
      </c>
      <c r="AI298">
        <f t="shared" si="155"/>
        <v>0</v>
      </c>
    </row>
    <row r="299" spans="1:35" x14ac:dyDescent="0.2">
      <c r="A299" s="335">
        <v>20185</v>
      </c>
      <c r="B299" s="352">
        <f t="shared" si="151"/>
        <v>20.184999999999999</v>
      </c>
      <c r="C299" s="325">
        <f t="shared" si="126"/>
        <v>25.622544031831492</v>
      </c>
      <c r="D299" s="326">
        <f t="shared" si="127"/>
        <v>1.5317582812847843</v>
      </c>
      <c r="E299" s="326">
        <f t="shared" si="128"/>
        <v>1.0003216454409871</v>
      </c>
      <c r="F299" s="327">
        <f t="shared" si="129"/>
        <v>2.5359781209048086E-2</v>
      </c>
      <c r="G299" s="326">
        <f t="shared" si="130"/>
        <v>1</v>
      </c>
      <c r="H299" s="327">
        <f t="shared" si="131"/>
        <v>0</v>
      </c>
      <c r="I299" s="325">
        <f t="shared" si="132"/>
        <v>26790.861065723569</v>
      </c>
      <c r="J299" s="328">
        <f t="shared" si="133"/>
        <v>1.570759000633644</v>
      </c>
      <c r="K299" s="336">
        <f t="shared" si="153"/>
        <v>5.2851899981202459</v>
      </c>
      <c r="L299" s="337">
        <f t="shared" si="154"/>
        <v>1.380440856226957</v>
      </c>
      <c r="M299" s="325">
        <f t="shared" si="134"/>
        <v>1.0076553561174091</v>
      </c>
      <c r="N299" s="337">
        <f t="shared" si="135"/>
        <v>0.1233437146576413</v>
      </c>
      <c r="O299" s="343">
        <f t="shared" si="136"/>
        <v>1.0068554247258663</v>
      </c>
      <c r="P299" s="691">
        <f t="shared" si="137"/>
        <v>0.11676033945513904</v>
      </c>
      <c r="Q299" s="336">
        <f t="shared" si="152"/>
        <v>15.146292665059351</v>
      </c>
      <c r="R299" s="692">
        <f t="shared" si="138"/>
        <v>5.4693163905395942E-2</v>
      </c>
      <c r="S299" s="329">
        <f t="shared" si="139"/>
        <v>0.99882761286128485</v>
      </c>
      <c r="T299" s="330">
        <f t="shared" si="140"/>
        <v>0.16105193134711657</v>
      </c>
      <c r="U299" s="331">
        <f t="shared" si="141"/>
        <v>5.8966681661877693</v>
      </c>
      <c r="V299" s="332">
        <f t="shared" si="142"/>
        <v>-109.95318590675298</v>
      </c>
      <c r="W299" s="334">
        <f t="shared" si="143"/>
        <v>70.046814093247022</v>
      </c>
      <c r="Y299" s="307">
        <f t="shared" si="144"/>
        <v>1000000000</v>
      </c>
      <c r="Z299" s="307">
        <f t="shared" si="145"/>
        <v>407434225</v>
      </c>
      <c r="AB299" s="333">
        <f t="shared" si="146"/>
        <v>23.542462692062905</v>
      </c>
      <c r="AC299" s="334">
        <f t="shared" si="147"/>
        <v>-17.971500739148688</v>
      </c>
      <c r="AE299" s="333">
        <f t="shared" si="148"/>
        <v>39.880390159891988</v>
      </c>
      <c r="AF299" s="334">
        <f t="shared" si="149"/>
        <v>-95.537872376965709</v>
      </c>
      <c r="AH299">
        <f t="shared" si="150"/>
        <v>0</v>
      </c>
      <c r="AI299">
        <f t="shared" si="155"/>
        <v>0</v>
      </c>
    </row>
    <row r="300" spans="1:35" x14ac:dyDescent="0.2">
      <c r="A300" s="335">
        <v>20301</v>
      </c>
      <c r="B300" s="352">
        <f t="shared" si="151"/>
        <v>20.300999999999998</v>
      </c>
      <c r="C300" s="325">
        <f t="shared" si="126"/>
        <v>25.769569088028188</v>
      </c>
      <c r="D300" s="326">
        <f t="shared" si="127"/>
        <v>1.5319811202191043</v>
      </c>
      <c r="E300" s="326">
        <f t="shared" si="128"/>
        <v>1.0003253523516562</v>
      </c>
      <c r="F300" s="327">
        <f t="shared" si="129"/>
        <v>2.5505456841466365E-2</v>
      </c>
      <c r="G300" s="326">
        <f t="shared" si="130"/>
        <v>1</v>
      </c>
      <c r="H300" s="327">
        <f t="shared" si="131"/>
        <v>0</v>
      </c>
      <c r="I300" s="325">
        <f t="shared" si="132"/>
        <v>26944.823903440014</v>
      </c>
      <c r="J300" s="328">
        <f t="shared" si="133"/>
        <v>1.5707592139154876</v>
      </c>
      <c r="K300" s="336">
        <f t="shared" si="153"/>
        <v>5.3144787962451838</v>
      </c>
      <c r="L300" s="337">
        <f t="shared" si="154"/>
        <v>1.3815026795994532</v>
      </c>
      <c r="M300" s="325">
        <f t="shared" si="134"/>
        <v>1.0077432581579842</v>
      </c>
      <c r="N300" s="337">
        <f t="shared" si="135"/>
        <v>0.12404532281871061</v>
      </c>
      <c r="O300" s="343">
        <f t="shared" si="136"/>
        <v>1.0069341731211492</v>
      </c>
      <c r="P300" s="691">
        <f t="shared" si="137"/>
        <v>0.11742520878519465</v>
      </c>
      <c r="Q300" s="336">
        <f t="shared" si="152"/>
        <v>15.146546053651576</v>
      </c>
      <c r="R300" s="692">
        <f t="shared" si="138"/>
        <v>5.5006872195518586E-2</v>
      </c>
      <c r="S300" s="329">
        <f t="shared" si="139"/>
        <v>0.99881525115050263</v>
      </c>
      <c r="T300" s="330">
        <f t="shared" si="140"/>
        <v>0.16198765080812561</v>
      </c>
      <c r="U300" s="331">
        <f t="shared" si="141"/>
        <v>5.8451139547830033</v>
      </c>
      <c r="V300" s="332">
        <f t="shared" si="142"/>
        <v>-109.97047317752981</v>
      </c>
      <c r="W300" s="334">
        <f t="shared" si="143"/>
        <v>70.029526822470189</v>
      </c>
      <c r="Y300" s="307">
        <f t="shared" si="144"/>
        <v>1000000000</v>
      </c>
      <c r="Z300" s="307">
        <f t="shared" si="145"/>
        <v>412130601</v>
      </c>
      <c r="AB300" s="333">
        <f t="shared" si="146"/>
        <v>23.539932953058216</v>
      </c>
      <c r="AC300" s="334">
        <f t="shared" si="147"/>
        <v>-17.950874147943431</v>
      </c>
      <c r="AE300" s="333">
        <f t="shared" si="148"/>
        <v>39.830831679992514</v>
      </c>
      <c r="AF300" s="334">
        <f t="shared" si="149"/>
        <v>-95.59590628448835</v>
      </c>
      <c r="AH300">
        <f t="shared" si="150"/>
        <v>0</v>
      </c>
      <c r="AI300">
        <f t="shared" si="155"/>
        <v>0</v>
      </c>
    </row>
    <row r="301" spans="1:35" x14ac:dyDescent="0.2">
      <c r="A301" s="335">
        <v>20417</v>
      </c>
      <c r="B301" s="352">
        <f t="shared" si="151"/>
        <v>20.417000000000002</v>
      </c>
      <c r="C301" s="325">
        <f t="shared" si="126"/>
        <v>25.916595409350386</v>
      </c>
      <c r="D301" s="326">
        <f t="shared" si="127"/>
        <v>1.5322014308083376</v>
      </c>
      <c r="E301" s="326">
        <f t="shared" si="128"/>
        <v>1.0003290804904621</v>
      </c>
      <c r="F301" s="327">
        <f t="shared" si="129"/>
        <v>2.5651131391135413E-2</v>
      </c>
      <c r="G301" s="326">
        <f t="shared" si="130"/>
        <v>1</v>
      </c>
      <c r="H301" s="327">
        <f t="shared" si="131"/>
        <v>0</v>
      </c>
      <c r="I301" s="325">
        <f t="shared" si="132"/>
        <v>27098.786741157674</v>
      </c>
      <c r="J301" s="328">
        <f t="shared" si="133"/>
        <v>1.5707594247737922</v>
      </c>
      <c r="K301" s="336">
        <f t="shared" si="153"/>
        <v>5.343773520593273</v>
      </c>
      <c r="L301" s="337">
        <f t="shared" si="154"/>
        <v>1.3825528622509944</v>
      </c>
      <c r="M301" s="325">
        <f t="shared" si="134"/>
        <v>1.0078316561775458</v>
      </c>
      <c r="N301" s="337">
        <f t="shared" si="135"/>
        <v>0.12474680824739647</v>
      </c>
      <c r="O301" s="343">
        <f t="shared" si="136"/>
        <v>1.0070133665631869</v>
      </c>
      <c r="P301" s="691">
        <f t="shared" si="137"/>
        <v>0.11808997383590053</v>
      </c>
      <c r="Q301" s="336">
        <f t="shared" si="152"/>
        <v>15.146800889984014</v>
      </c>
      <c r="R301" s="692">
        <f t="shared" si="138"/>
        <v>5.5320570115380371E-2</v>
      </c>
      <c r="S301" s="329">
        <f t="shared" si="139"/>
        <v>0.99880284511517192</v>
      </c>
      <c r="T301" s="330">
        <f t="shared" si="140"/>
        <v>0.16292354383852356</v>
      </c>
      <c r="U301" s="331">
        <f t="shared" si="141"/>
        <v>5.7938707946361836</v>
      </c>
      <c r="V301" s="332">
        <f t="shared" si="142"/>
        <v>-109.98829076550456</v>
      </c>
      <c r="W301" s="334">
        <f t="shared" si="143"/>
        <v>70.011709234495441</v>
      </c>
      <c r="Y301" s="307">
        <f t="shared" si="144"/>
        <v>1000000000</v>
      </c>
      <c r="Z301" s="307">
        <f t="shared" si="145"/>
        <v>416853889</v>
      </c>
      <c r="AB301" s="333">
        <f t="shared" si="146"/>
        <v>23.537428418872082</v>
      </c>
      <c r="AC301" s="334">
        <f t="shared" si="147"/>
        <v>-17.930907350013992</v>
      </c>
      <c r="AE301" s="333">
        <f t="shared" si="148"/>
        <v>39.781556088723057</v>
      </c>
      <c r="AF301" s="334">
        <f t="shared" si="149"/>
        <v>-95.653805335338618</v>
      </c>
      <c r="AH301">
        <f t="shared" si="150"/>
        <v>0</v>
      </c>
      <c r="AI301">
        <f t="shared" si="155"/>
        <v>0</v>
      </c>
    </row>
    <row r="302" spans="1:35" x14ac:dyDescent="0.2">
      <c r="A302" s="335">
        <v>20536</v>
      </c>
      <c r="B302" s="352">
        <f t="shared" si="151"/>
        <v>20.536000000000001</v>
      </c>
      <c r="C302" s="325">
        <f t="shared" si="126"/>
        <v>26.067425427724942</v>
      </c>
      <c r="D302" s="326">
        <f t="shared" si="127"/>
        <v>1.5324248566285501</v>
      </c>
      <c r="E302" s="326">
        <f t="shared" si="128"/>
        <v>1.0003329271051433</v>
      </c>
      <c r="F302" s="327">
        <f t="shared" si="129"/>
        <v>2.580057225447268E-2</v>
      </c>
      <c r="G302" s="326">
        <f t="shared" si="130"/>
        <v>1</v>
      </c>
      <c r="H302" s="327">
        <f t="shared" si="131"/>
        <v>0</v>
      </c>
      <c r="I302" s="325">
        <f t="shared" si="132"/>
        <v>27256.73137640375</v>
      </c>
      <c r="J302" s="328">
        <f t="shared" si="133"/>
        <v>1.5707596386100069</v>
      </c>
      <c r="K302" s="336">
        <f t="shared" si="153"/>
        <v>5.3738319236458665</v>
      </c>
      <c r="L302" s="337">
        <f t="shared" si="154"/>
        <v>1.3836183057256346</v>
      </c>
      <c r="M302" s="325">
        <f t="shared" si="134"/>
        <v>1.0079228556014266</v>
      </c>
      <c r="N302" s="337">
        <f t="shared" si="135"/>
        <v>0.12546630731639111</v>
      </c>
      <c r="O302" s="343">
        <f t="shared" si="136"/>
        <v>1.0070950704617758</v>
      </c>
      <c r="P302" s="691">
        <f t="shared" si="137"/>
        <v>0.11877182213672263</v>
      </c>
      <c r="Q302" s="336">
        <f t="shared" si="152"/>
        <v>15.147063821221446</v>
      </c>
      <c r="R302" s="692">
        <f t="shared" si="138"/>
        <v>5.5642370075086933E-2</v>
      </c>
      <c r="S302" s="329">
        <f t="shared" si="139"/>
        <v>0.99879007265264175</v>
      </c>
      <c r="T302" s="330">
        <f t="shared" si="140"/>
        <v>0.16388382235562138</v>
      </c>
      <c r="U302" s="331">
        <f t="shared" si="141"/>
        <v>5.741621586789889</v>
      </c>
      <c r="V302" s="332">
        <f t="shared" si="142"/>
        <v>-110.0071115446456</v>
      </c>
      <c r="W302" s="334">
        <f t="shared" si="143"/>
        <v>69.992888455354404</v>
      </c>
      <c r="Y302" s="307">
        <f t="shared" si="144"/>
        <v>1000000000</v>
      </c>
      <c r="Z302" s="307">
        <f t="shared" si="145"/>
        <v>421727296</v>
      </c>
      <c r="AB302" s="333">
        <f t="shared" si="146"/>
        <v>23.534884631134936</v>
      </c>
      <c r="AC302" s="334">
        <f t="shared" si="147"/>
        <v>-17.91109844751432</v>
      </c>
      <c r="AE302" s="333">
        <f t="shared" si="148"/>
        <v>39.731296744531988</v>
      </c>
      <c r="AF302" s="334">
        <f t="shared" si="149"/>
        <v>-95.713064267369532</v>
      </c>
      <c r="AH302">
        <f t="shared" si="150"/>
        <v>0</v>
      </c>
      <c r="AI302">
        <f t="shared" si="155"/>
        <v>0</v>
      </c>
    </row>
    <row r="303" spans="1:35" x14ac:dyDescent="0.2">
      <c r="A303" s="335">
        <v>20655</v>
      </c>
      <c r="B303" s="352">
        <f t="shared" si="151"/>
        <v>20.655000000000001</v>
      </c>
      <c r="C303" s="325">
        <f t="shared" si="126"/>
        <v>26.218256732389829</v>
      </c>
      <c r="D303" s="326">
        <f t="shared" si="127"/>
        <v>1.5326457117618433</v>
      </c>
      <c r="E303" s="326">
        <f t="shared" si="128"/>
        <v>1.000336796059659</v>
      </c>
      <c r="F303" s="327">
        <f t="shared" si="129"/>
        <v>2.5950011965176812E-2</v>
      </c>
      <c r="G303" s="326">
        <f t="shared" si="130"/>
        <v>1</v>
      </c>
      <c r="H303" s="327">
        <f t="shared" si="131"/>
        <v>0</v>
      </c>
      <c r="I303" s="325">
        <f t="shared" si="132"/>
        <v>27414.67601165106</v>
      </c>
      <c r="J303" s="328">
        <f t="shared" si="133"/>
        <v>1.5707598499822655</v>
      </c>
      <c r="K303" s="336">
        <f t="shared" si="153"/>
        <v>5.4038963590430278</v>
      </c>
      <c r="L303" s="337">
        <f t="shared" si="154"/>
        <v>1.3846718952516641</v>
      </c>
      <c r="M303" s="325">
        <f t="shared" si="134"/>
        <v>1.0080145767111397</v>
      </c>
      <c r="N303" s="337">
        <f t="shared" si="135"/>
        <v>0.12618567582063062</v>
      </c>
      <c r="O303" s="343">
        <f t="shared" si="136"/>
        <v>1.0071772424999981</v>
      </c>
      <c r="P303" s="691">
        <f t="shared" si="137"/>
        <v>0.11945355949525804</v>
      </c>
      <c r="Q303" s="336">
        <f t="shared" si="152"/>
        <v>15.147328275894424</v>
      </c>
      <c r="R303" s="692">
        <f t="shared" si="138"/>
        <v>5.5964158996379493E-2</v>
      </c>
      <c r="S303" s="329">
        <f t="shared" si="139"/>
        <v>0.9987772545172322</v>
      </c>
      <c r="T303" s="330">
        <f t="shared" si="140"/>
        <v>0.16484428556091513</v>
      </c>
      <c r="U303" s="331">
        <f t="shared" si="141"/>
        <v>5.6896916357063585</v>
      </c>
      <c r="V303" s="332">
        <f t="shared" si="142"/>
        <v>-110.02647296548399</v>
      </c>
      <c r="W303" s="334">
        <f t="shared" si="143"/>
        <v>69.97352703451601</v>
      </c>
      <c r="Y303" s="307">
        <f t="shared" si="144"/>
        <v>1000000000</v>
      </c>
      <c r="Z303" s="307">
        <f t="shared" si="145"/>
        <v>426629025</v>
      </c>
      <c r="AB303" s="333">
        <f t="shared" si="146"/>
        <v>23.532366020403884</v>
      </c>
      <c r="AC303" s="334">
        <f t="shared" si="147"/>
        <v>-17.891961104257657</v>
      </c>
      <c r="AE303" s="333">
        <f t="shared" si="148"/>
        <v>39.681328370994613</v>
      </c>
      <c r="AF303" s="334">
        <f t="shared" si="149"/>
        <v>-95.772186557784522</v>
      </c>
      <c r="AH303">
        <f t="shared" si="150"/>
        <v>0</v>
      </c>
      <c r="AI303">
        <f t="shared" si="155"/>
        <v>0</v>
      </c>
    </row>
    <row r="304" spans="1:35" x14ac:dyDescent="0.2">
      <c r="A304" s="335">
        <v>20774</v>
      </c>
      <c r="B304" s="352">
        <f t="shared" si="151"/>
        <v>20.774000000000001</v>
      </c>
      <c r="C304" s="325">
        <f t="shared" si="126"/>
        <v>26.3690893012723</v>
      </c>
      <c r="D304" s="326">
        <f t="shared" si="127"/>
        <v>1.5328640402998754</v>
      </c>
      <c r="E304" s="326">
        <f t="shared" si="128"/>
        <v>1.0003406873537504</v>
      </c>
      <c r="F304" s="327">
        <f t="shared" si="129"/>
        <v>2.6099450516586593E-2</v>
      </c>
      <c r="G304" s="326">
        <f t="shared" si="130"/>
        <v>1</v>
      </c>
      <c r="H304" s="327">
        <f t="shared" si="131"/>
        <v>0</v>
      </c>
      <c r="I304" s="325">
        <f t="shared" si="132"/>
        <v>27572.620646899577</v>
      </c>
      <c r="J304" s="328">
        <f t="shared" si="133"/>
        <v>1.5707600589329105</v>
      </c>
      <c r="K304" s="336">
        <f t="shared" si="153"/>
        <v>5.4339667266595404</v>
      </c>
      <c r="L304" s="337">
        <f t="shared" si="154"/>
        <v>1.3857138252617547</v>
      </c>
      <c r="M304" s="325">
        <f t="shared" si="134"/>
        <v>1.008106819364291</v>
      </c>
      <c r="N304" s="337">
        <f t="shared" si="135"/>
        <v>0.12690491305132134</v>
      </c>
      <c r="O304" s="343">
        <f t="shared" si="136"/>
        <v>1.007259882563281</v>
      </c>
      <c r="P304" s="691">
        <f t="shared" si="137"/>
        <v>0.12013518530504019</v>
      </c>
      <c r="Q304" s="336">
        <f t="shared" si="152"/>
        <v>15.147594253923224</v>
      </c>
      <c r="R304" s="692">
        <f t="shared" si="138"/>
        <v>5.6285936816068881E-2</v>
      </c>
      <c r="S304" s="329">
        <f t="shared" si="139"/>
        <v>0.9987643912064551</v>
      </c>
      <c r="T304" s="330">
        <f t="shared" si="140"/>
        <v>0.16580493447859745</v>
      </c>
      <c r="U304" s="331">
        <f t="shared" si="141"/>
        <v>5.6380769586624258</v>
      </c>
      <c r="V304" s="332">
        <f t="shared" si="142"/>
        <v>-110.04636646612049</v>
      </c>
      <c r="W304" s="334">
        <f t="shared" si="143"/>
        <v>69.953633533879511</v>
      </c>
      <c r="Y304" s="307">
        <f t="shared" si="144"/>
        <v>1000000000</v>
      </c>
      <c r="Z304" s="307">
        <f t="shared" si="145"/>
        <v>431559076</v>
      </c>
      <c r="AB304" s="333">
        <f t="shared" si="146"/>
        <v>23.529871931909327</v>
      </c>
      <c r="AC304" s="334">
        <f t="shared" si="147"/>
        <v>-17.873484141887676</v>
      </c>
      <c r="AE304" s="333">
        <f t="shared" si="148"/>
        <v>39.631647642032746</v>
      </c>
      <c r="AF304" s="334">
        <f t="shared" si="149"/>
        <v>-95.831174791913114</v>
      </c>
      <c r="AH304">
        <f t="shared" si="150"/>
        <v>0</v>
      </c>
      <c r="AI304">
        <f t="shared" si="155"/>
        <v>0</v>
      </c>
    </row>
    <row r="305" spans="1:35" x14ac:dyDescent="0.2">
      <c r="A305" s="335">
        <v>20893</v>
      </c>
      <c r="B305" s="352">
        <f t="shared" si="151"/>
        <v>20.893000000000001</v>
      </c>
      <c r="C305" s="325">
        <f t="shared" si="126"/>
        <v>26.519923112801568</v>
      </c>
      <c r="D305" s="326">
        <f t="shared" si="127"/>
        <v>1.5330798853321841</v>
      </c>
      <c r="E305" s="326">
        <f t="shared" si="128"/>
        <v>1.0003446009871564</v>
      </c>
      <c r="F305" s="327">
        <f t="shared" si="129"/>
        <v>2.6248887902041093E-2</v>
      </c>
      <c r="G305" s="326">
        <f t="shared" si="130"/>
        <v>1</v>
      </c>
      <c r="H305" s="327">
        <f t="shared" si="131"/>
        <v>0</v>
      </c>
      <c r="I305" s="325">
        <f t="shared" si="132"/>
        <v>27730.565282149288</v>
      </c>
      <c r="J305" s="328">
        <f t="shared" si="133"/>
        <v>1.5707602655033204</v>
      </c>
      <c r="K305" s="336">
        <f t="shared" si="153"/>
        <v>5.4640429285547318</v>
      </c>
      <c r="L305" s="337">
        <f t="shared" si="154"/>
        <v>1.3867442860101828</v>
      </c>
      <c r="M305" s="325">
        <f t="shared" si="134"/>
        <v>1.0081995834177286</v>
      </c>
      <c r="N305" s="337">
        <f t="shared" si="135"/>
        <v>0.12762401830047149</v>
      </c>
      <c r="O305" s="343">
        <f t="shared" si="136"/>
        <v>1.0073429905364379</v>
      </c>
      <c r="P305" s="691">
        <f t="shared" si="137"/>
        <v>0.12081669896021549</v>
      </c>
      <c r="Q305" s="336">
        <f t="shared" si="152"/>
        <v>15.147861755227675</v>
      </c>
      <c r="R305" s="692">
        <f t="shared" si="138"/>
        <v>5.6607703470979286E-2</v>
      </c>
      <c r="S305" s="329">
        <f t="shared" si="139"/>
        <v>0.99875148322072627</v>
      </c>
      <c r="T305" s="330">
        <f t="shared" si="140"/>
        <v>0.16676577013202715</v>
      </c>
      <c r="U305" s="331">
        <f t="shared" si="141"/>
        <v>5.5867736475425254</v>
      </c>
      <c r="V305" s="332">
        <f t="shared" si="142"/>
        <v>-110.06678366655133</v>
      </c>
      <c r="W305" s="334">
        <f t="shared" si="143"/>
        <v>69.933216333448669</v>
      </c>
      <c r="Y305" s="307">
        <f t="shared" si="144"/>
        <v>1000000000</v>
      </c>
      <c r="Z305" s="307">
        <f t="shared" si="145"/>
        <v>436517449</v>
      </c>
      <c r="AB305" s="333">
        <f t="shared" si="146"/>
        <v>23.527401728932009</v>
      </c>
      <c r="AC305" s="334">
        <f t="shared" si="147"/>
        <v>-17.855656621443149</v>
      </c>
      <c r="AE305" s="333">
        <f t="shared" si="148"/>
        <v>39.582251288135254</v>
      </c>
      <c r="AF305" s="334">
        <f t="shared" si="149"/>
        <v>-95.890031497619717</v>
      </c>
      <c r="AH305">
        <f t="shared" si="150"/>
        <v>0</v>
      </c>
      <c r="AI305">
        <f t="shared" si="155"/>
        <v>0</v>
      </c>
    </row>
    <row r="306" spans="1:35" x14ac:dyDescent="0.2">
      <c r="A306" s="335">
        <v>21014.75</v>
      </c>
      <c r="B306" s="352">
        <f t="shared" si="151"/>
        <v>21.014749999999999</v>
      </c>
      <c r="C306" s="325">
        <f t="shared" si="126"/>
        <v>26.674243843708176</v>
      </c>
      <c r="D306" s="326">
        <f t="shared" si="127"/>
        <v>1.5332981920400421</v>
      </c>
      <c r="E306" s="326">
        <f t="shared" si="128"/>
        <v>1.0003486281810439</v>
      </c>
      <c r="F306" s="327">
        <f t="shared" si="129"/>
        <v>2.6401777458824081E-2</v>
      </c>
      <c r="G306" s="326">
        <f t="shared" si="130"/>
        <v>1</v>
      </c>
      <c r="H306" s="327">
        <f t="shared" si="131"/>
        <v>0</v>
      </c>
      <c r="I306" s="325">
        <f t="shared" si="132"/>
        <v>27892.1598984669</v>
      </c>
      <c r="J306" s="328">
        <f t="shared" si="133"/>
        <v>1.5707604744262076</v>
      </c>
      <c r="K306" s="336">
        <f t="shared" si="153"/>
        <v>5.4948201068911233</v>
      </c>
      <c r="L306" s="337">
        <f t="shared" si="154"/>
        <v>1.3877868841841461</v>
      </c>
      <c r="M306" s="325">
        <f t="shared" si="134"/>
        <v>1.0082950306414558</v>
      </c>
      <c r="N306" s="337">
        <f t="shared" si="135"/>
        <v>0.12835960419877435</v>
      </c>
      <c r="O306" s="343">
        <f t="shared" si="136"/>
        <v>1.0074285032056061</v>
      </c>
      <c r="P306" s="691">
        <f t="shared" si="137"/>
        <v>0.12151384517706472</v>
      </c>
      <c r="Q306" s="336">
        <f t="shared" si="152"/>
        <v>15.148137014685883</v>
      </c>
      <c r="R306" s="692">
        <f t="shared" si="138"/>
        <v>5.6936894289284973E-2</v>
      </c>
      <c r="S306" s="329">
        <f t="shared" si="139"/>
        <v>0.99873823123065464</v>
      </c>
      <c r="T306" s="330">
        <f t="shared" si="140"/>
        <v>0.1677490042957003</v>
      </c>
      <c r="U306" s="331">
        <f t="shared" si="141"/>
        <v>5.5346029984229332</v>
      </c>
      <c r="V306" s="332">
        <f t="shared" si="142"/>
        <v>-110.08820613245175</v>
      </c>
      <c r="W306" s="334">
        <f t="shared" si="143"/>
        <v>69.911793867548255</v>
      </c>
      <c r="Y306" s="307">
        <f t="shared" si="144"/>
        <v>1000000000</v>
      </c>
      <c r="Z306" s="307">
        <f t="shared" si="145"/>
        <v>441619717.5625</v>
      </c>
      <c r="AB306" s="333">
        <f t="shared" si="146"/>
        <v>23.524898515569561</v>
      </c>
      <c r="AC306" s="334">
        <f t="shared" si="147"/>
        <v>-17.838078084168686</v>
      </c>
      <c r="AE306" s="333">
        <f t="shared" si="148"/>
        <v>39.532004378601307</v>
      </c>
      <c r="AF306" s="334">
        <f t="shared" si="149"/>
        <v>-95.950114792204289</v>
      </c>
      <c r="AH306">
        <f t="shared" si="150"/>
        <v>0</v>
      </c>
      <c r="AI306">
        <f t="shared" si="155"/>
        <v>0</v>
      </c>
    </row>
    <row r="307" spans="1:35" x14ac:dyDescent="0.2">
      <c r="A307" s="335">
        <v>21136.5</v>
      </c>
      <c r="B307" s="352">
        <f t="shared" si="151"/>
        <v>21.136500000000002</v>
      </c>
      <c r="C307" s="325">
        <f t="shared" si="126"/>
        <v>26.828565831226463</v>
      </c>
      <c r="D307" s="326">
        <f t="shared" si="127"/>
        <v>1.5335139872913714</v>
      </c>
      <c r="E307" s="326">
        <f t="shared" si="128"/>
        <v>1.0003526787581085</v>
      </c>
      <c r="F307" s="327">
        <f t="shared" si="129"/>
        <v>2.6554665781035644E-2</v>
      </c>
      <c r="G307" s="326">
        <f t="shared" si="130"/>
        <v>1</v>
      </c>
      <c r="H307" s="327">
        <f t="shared" si="131"/>
        <v>0</v>
      </c>
      <c r="I307" s="325">
        <f t="shared" si="132"/>
        <v>28053.75451478572</v>
      </c>
      <c r="J307" s="328">
        <f t="shared" si="133"/>
        <v>1.5707606809422288</v>
      </c>
      <c r="K307" s="336">
        <f t="shared" si="153"/>
        <v>5.5256031916158843</v>
      </c>
      <c r="L307" s="337">
        <f t="shared" si="154"/>
        <v>1.388817866858679</v>
      </c>
      <c r="M307" s="325">
        <f t="shared" si="134"/>
        <v>1.0083910233366742</v>
      </c>
      <c r="N307" s="337">
        <f t="shared" si="135"/>
        <v>0.12909505044834285</v>
      </c>
      <c r="O307" s="343">
        <f t="shared" si="136"/>
        <v>1.0075145054147179</v>
      </c>
      <c r="P307" s="691">
        <f t="shared" si="137"/>
        <v>0.12221087271476121</v>
      </c>
      <c r="Q307" s="336">
        <f t="shared" si="152"/>
        <v>15.148413868465484</v>
      </c>
      <c r="R307" s="692">
        <f t="shared" si="138"/>
        <v>5.7266073287086099E-2</v>
      </c>
      <c r="S307" s="329">
        <f t="shared" si="139"/>
        <v>0.99872493354600334</v>
      </c>
      <c r="T307" s="330">
        <f t="shared" si="140"/>
        <v>0.16873243608995186</v>
      </c>
      <c r="U307" s="331">
        <f t="shared" si="141"/>
        <v>5.4827502273383866</v>
      </c>
      <c r="V307" s="332">
        <f t="shared" si="142"/>
        <v>-110.11015959908453</v>
      </c>
      <c r="W307" s="334">
        <f t="shared" si="143"/>
        <v>69.889840400915475</v>
      </c>
      <c r="Y307" s="307">
        <f t="shared" si="144"/>
        <v>1000000000</v>
      </c>
      <c r="Z307" s="307">
        <f t="shared" si="145"/>
        <v>446751632.25</v>
      </c>
      <c r="AB307" s="333">
        <f t="shared" si="146"/>
        <v>23.522419011403496</v>
      </c>
      <c r="AC307" s="334">
        <f t="shared" si="147"/>
        <v>-17.821156926802921</v>
      </c>
      <c r="AE307" s="333">
        <f t="shared" si="148"/>
        <v>39.482048391404454</v>
      </c>
      <c r="AF307" s="334">
        <f t="shared" si="149"/>
        <v>-96.010065585062961</v>
      </c>
      <c r="AH307">
        <f t="shared" si="150"/>
        <v>0</v>
      </c>
      <c r="AI307">
        <f t="shared" si="155"/>
        <v>0</v>
      </c>
    </row>
    <row r="308" spans="1:35" x14ac:dyDescent="0.2">
      <c r="A308" s="335">
        <v>21258.25</v>
      </c>
      <c r="B308" s="352">
        <f t="shared" si="151"/>
        <v>21.25825</v>
      </c>
      <c r="C308" s="325">
        <f t="shared" si="126"/>
        <v>26.98288905379578</v>
      </c>
      <c r="D308" s="326">
        <f t="shared" si="127"/>
        <v>1.5337273141572152</v>
      </c>
      <c r="E308" s="326">
        <f t="shared" si="128"/>
        <v>1.0003567527180666</v>
      </c>
      <c r="F308" s="327">
        <f t="shared" si="129"/>
        <v>2.670755286154335E-2</v>
      </c>
      <c r="G308" s="326">
        <f t="shared" si="130"/>
        <v>1</v>
      </c>
      <c r="H308" s="327">
        <f t="shared" si="131"/>
        <v>0</v>
      </c>
      <c r="I308" s="325">
        <f t="shared" si="132"/>
        <v>28215.349131105722</v>
      </c>
      <c r="J308" s="328">
        <f t="shared" si="133"/>
        <v>1.5707608850927379</v>
      </c>
      <c r="K308" s="336">
        <f t="shared" si="153"/>
        <v>5.5563920845626988</v>
      </c>
      <c r="L308" s="337">
        <f t="shared" si="154"/>
        <v>1.3898374249138961</v>
      </c>
      <c r="M308" s="325">
        <f t="shared" si="134"/>
        <v>1.0084875613476216</v>
      </c>
      <c r="N308" s="337">
        <f t="shared" si="135"/>
        <v>0.12983035629359033</v>
      </c>
      <c r="O308" s="343">
        <f t="shared" si="136"/>
        <v>1.0076009970384212</v>
      </c>
      <c r="P308" s="691">
        <f t="shared" si="137"/>
        <v>0.12290778092648304</v>
      </c>
      <c r="Q308" s="336">
        <f t="shared" si="152"/>
        <v>15.148692316479142</v>
      </c>
      <c r="R308" s="692">
        <f t="shared" si="138"/>
        <v>5.7595240396768901E-2</v>
      </c>
      <c r="S308" s="329">
        <f t="shared" si="139"/>
        <v>0.99871159071213056</v>
      </c>
      <c r="T308" s="330">
        <f t="shared" si="140"/>
        <v>0.16971606660799132</v>
      </c>
      <c r="U308" s="331">
        <f t="shared" si="141"/>
        <v>5.431211379417209</v>
      </c>
      <c r="V308" s="332">
        <f t="shared" si="142"/>
        <v>-110.13263565292227</v>
      </c>
      <c r="W308" s="334">
        <f t="shared" si="143"/>
        <v>69.867364347077725</v>
      </c>
      <c r="Y308" s="307">
        <f t="shared" si="144"/>
        <v>1000000000</v>
      </c>
      <c r="Z308" s="307">
        <f t="shared" si="145"/>
        <v>451913193.0625</v>
      </c>
      <c r="AB308" s="333">
        <f t="shared" si="146"/>
        <v>23.519962589448539</v>
      </c>
      <c r="AC308" s="334">
        <f t="shared" si="147"/>
        <v>-17.804882171798365</v>
      </c>
      <c r="AE308" s="333">
        <f t="shared" si="148"/>
        <v>39.432380000708839</v>
      </c>
      <c r="AF308" s="334">
        <f t="shared" si="149"/>
        <v>-96.069886407029685</v>
      </c>
      <c r="AH308">
        <f t="shared" si="150"/>
        <v>0</v>
      </c>
      <c r="AI308">
        <f t="shared" si="155"/>
        <v>0</v>
      </c>
    </row>
    <row r="309" spans="1:35" x14ac:dyDescent="0.2">
      <c r="A309" s="335">
        <v>21380</v>
      </c>
      <c r="B309" s="352">
        <f t="shared" si="151"/>
        <v>21.38</v>
      </c>
      <c r="C309" s="325">
        <f t="shared" si="126"/>
        <v>27.137213490345754</v>
      </c>
      <c r="D309" s="326">
        <f t="shared" si="127"/>
        <v>1.5339382147297782</v>
      </c>
      <c r="E309" s="326">
        <f t="shared" si="128"/>
        <v>1.0003608500606318</v>
      </c>
      <c r="F309" s="327">
        <f t="shared" si="129"/>
        <v>2.68604386932151E-2</v>
      </c>
      <c r="G309" s="326">
        <f t="shared" si="130"/>
        <v>1</v>
      </c>
      <c r="H309" s="327">
        <f t="shared" si="131"/>
        <v>0</v>
      </c>
      <c r="I309" s="325">
        <f t="shared" si="132"/>
        <v>28376.943747426885</v>
      </c>
      <c r="J309" s="328">
        <f t="shared" si="133"/>
        <v>1.5707610869181463</v>
      </c>
      <c r="K309" s="336">
        <f t="shared" si="153"/>
        <v>5.5871866897107578</v>
      </c>
      <c r="L309" s="337">
        <f t="shared" si="154"/>
        <v>1.3908457451178591</v>
      </c>
      <c r="M309" s="325">
        <f t="shared" si="134"/>
        <v>1.0085846445177116</v>
      </c>
      <c r="N309" s="337">
        <f t="shared" si="135"/>
        <v>0.13056552097982593</v>
      </c>
      <c r="O309" s="343">
        <f t="shared" si="136"/>
        <v>1.0076879779506942</v>
      </c>
      <c r="P309" s="691">
        <f t="shared" si="137"/>
        <v>0.12360456916609341</v>
      </c>
      <c r="Q309" s="336">
        <f t="shared" si="152"/>
        <v>15.148972358639027</v>
      </c>
      <c r="R309" s="692">
        <f t="shared" si="138"/>
        <v>5.7924395550734566E-2</v>
      </c>
      <c r="S309" s="329">
        <f t="shared" si="139"/>
        <v>0.99869820327757797</v>
      </c>
      <c r="T309" s="330">
        <f t="shared" si="140"/>
        <v>0.17069989694208856</v>
      </c>
      <c r="U309" s="331">
        <f t="shared" si="141"/>
        <v>5.3799825736518345</v>
      </c>
      <c r="V309" s="332">
        <f t="shared" si="142"/>
        <v>-110.15562605986267</v>
      </c>
      <c r="W309" s="334">
        <f t="shared" si="143"/>
        <v>69.844373940137331</v>
      </c>
      <c r="Y309" s="307">
        <f t="shared" si="144"/>
        <v>1000000000</v>
      </c>
      <c r="Z309" s="307">
        <f t="shared" si="145"/>
        <v>457104400</v>
      </c>
      <c r="AB309" s="333">
        <f t="shared" si="146"/>
        <v>23.517528640037018</v>
      </c>
      <c r="AC309" s="334">
        <f t="shared" si="147"/>
        <v>-17.789243077208109</v>
      </c>
      <c r="AE309" s="333">
        <f t="shared" si="148"/>
        <v>39.382995937235719</v>
      </c>
      <c r="AF309" s="334">
        <f t="shared" si="149"/>
        <v>-96.129579732801204</v>
      </c>
      <c r="AH309">
        <f t="shared" si="150"/>
        <v>0</v>
      </c>
      <c r="AI309">
        <f t="shared" si="155"/>
        <v>0</v>
      </c>
    </row>
    <row r="310" spans="1:35" x14ac:dyDescent="0.2">
      <c r="A310" s="335">
        <v>21504.5</v>
      </c>
      <c r="B310" s="352">
        <f t="shared" si="151"/>
        <v>21.5045</v>
      </c>
      <c r="C310" s="325">
        <f t="shared" si="126"/>
        <v>27.295024928422947</v>
      </c>
      <c r="D310" s="326">
        <f t="shared" si="127"/>
        <v>1.5341514127133373</v>
      </c>
      <c r="E310" s="326">
        <f t="shared" si="128"/>
        <v>1.0003650641314727</v>
      </c>
      <c r="F310" s="327">
        <f t="shared" si="129"/>
        <v>2.7016776499395233E-2</v>
      </c>
      <c r="G310" s="326">
        <f t="shared" si="130"/>
        <v>1</v>
      </c>
      <c r="H310" s="327">
        <f t="shared" si="131"/>
        <v>0</v>
      </c>
      <c r="I310" s="325">
        <f t="shared" si="132"/>
        <v>28542.188344816037</v>
      </c>
      <c r="J310" s="328">
        <f t="shared" si="133"/>
        <v>1.5707612909389166</v>
      </c>
      <c r="K310" s="336">
        <f t="shared" si="153"/>
        <v>5.6186826702228201</v>
      </c>
      <c r="L310" s="337">
        <f t="shared" si="154"/>
        <v>1.3918654094586758</v>
      </c>
      <c r="M310" s="325">
        <f t="shared" si="134"/>
        <v>1.0086844841361571</v>
      </c>
      <c r="N310" s="337">
        <f t="shared" si="135"/>
        <v>0.13131714426558297</v>
      </c>
      <c r="O310" s="343">
        <f t="shared" si="136"/>
        <v>1.0077774293831463</v>
      </c>
      <c r="P310" s="691">
        <f t="shared" si="137"/>
        <v>0.12431697120912182</v>
      </c>
      <c r="Q310" s="336">
        <f t="shared" si="152"/>
        <v>15.149260374658464</v>
      </c>
      <c r="R310" s="692">
        <f t="shared" si="138"/>
        <v>5.8260972986449208E-2</v>
      </c>
      <c r="S310" s="329">
        <f t="shared" si="139"/>
        <v>0.99868446790914678</v>
      </c>
      <c r="T310" s="330">
        <f t="shared" si="140"/>
        <v>0.17170615709063275</v>
      </c>
      <c r="U310" s="331">
        <f t="shared" si="141"/>
        <v>5.327913306574187</v>
      </c>
      <c r="V310" s="332">
        <f t="shared" si="142"/>
        <v>-110.17965927218181</v>
      </c>
      <c r="W310" s="334">
        <f t="shared" si="143"/>
        <v>69.820340727818191</v>
      </c>
      <c r="Y310" s="307">
        <f t="shared" si="144"/>
        <v>1000000000</v>
      </c>
      <c r="Z310" s="307">
        <f t="shared" si="145"/>
        <v>462443520.25</v>
      </c>
      <c r="AB310" s="333">
        <f t="shared" si="146"/>
        <v>23.515062336346688</v>
      </c>
      <c r="AC310" s="334">
        <f t="shared" si="147"/>
        <v>-17.773897145528487</v>
      </c>
      <c r="AE310" s="333">
        <f t="shared" si="148"/>
        <v>39.33278710723603</v>
      </c>
      <c r="AF310" s="334">
        <f t="shared" si="149"/>
        <v>-96.1904920406608</v>
      </c>
      <c r="AH310">
        <f t="shared" si="150"/>
        <v>0</v>
      </c>
      <c r="AI310">
        <f t="shared" si="155"/>
        <v>0</v>
      </c>
    </row>
    <row r="311" spans="1:35" x14ac:dyDescent="0.2">
      <c r="A311" s="335">
        <v>21629</v>
      </c>
      <c r="B311" s="352">
        <f t="shared" si="151"/>
        <v>21.629000000000001</v>
      </c>
      <c r="C311" s="325">
        <f t="shared" si="126"/>
        <v>27.452837592887594</v>
      </c>
      <c r="D311" s="326">
        <f t="shared" si="127"/>
        <v>1.5343621595687391</v>
      </c>
      <c r="E311" s="326">
        <f t="shared" si="128"/>
        <v>1.0003693026525395</v>
      </c>
      <c r="F311" s="327">
        <f t="shared" si="129"/>
        <v>2.7173112984603523E-2</v>
      </c>
      <c r="G311" s="326">
        <f t="shared" si="130"/>
        <v>1</v>
      </c>
      <c r="H311" s="327">
        <f t="shared" si="131"/>
        <v>0</v>
      </c>
      <c r="I311" s="325">
        <f t="shared" si="132"/>
        <v>28707.432942206357</v>
      </c>
      <c r="J311" s="328">
        <f t="shared" si="133"/>
        <v>1.5707614926109341</v>
      </c>
      <c r="K311" s="336">
        <f t="shared" si="153"/>
        <v>5.6501844274335227</v>
      </c>
      <c r="L311" s="337">
        <f t="shared" si="154"/>
        <v>1.3928737048664206</v>
      </c>
      <c r="M311" s="325">
        <f t="shared" si="134"/>
        <v>1.0087848934853749</v>
      </c>
      <c r="N311" s="337">
        <f t="shared" si="135"/>
        <v>0.13206861835024042</v>
      </c>
      <c r="O311" s="343">
        <f t="shared" si="136"/>
        <v>1.0078673921885049</v>
      </c>
      <c r="P311" s="691">
        <f t="shared" si="137"/>
        <v>0.12502924643478103</v>
      </c>
      <c r="Q311" s="336">
        <f t="shared" si="152"/>
        <v>15.149550057464902</v>
      </c>
      <c r="R311" s="692">
        <f t="shared" si="138"/>
        <v>5.8597537777330656E-2</v>
      </c>
      <c r="S311" s="329">
        <f t="shared" si="139"/>
        <v>0.99867068707281825</v>
      </c>
      <c r="T311" s="330">
        <f t="shared" si="140"/>
        <v>0.1727126284908784</v>
      </c>
      <c r="U311" s="331">
        <f t="shared" si="141"/>
        <v>5.2761602660972216</v>
      </c>
      <c r="V311" s="332">
        <f t="shared" si="142"/>
        <v>-110.20421347504015</v>
      </c>
      <c r="W311" s="334">
        <f t="shared" si="143"/>
        <v>69.795786524959851</v>
      </c>
      <c r="Y311" s="307">
        <f t="shared" si="144"/>
        <v>1000000000</v>
      </c>
      <c r="Z311" s="307">
        <f t="shared" si="145"/>
        <v>467813641</v>
      </c>
      <c r="AB311" s="333">
        <f t="shared" si="146"/>
        <v>23.51261829543116</v>
      </c>
      <c r="AC311" s="334">
        <f t="shared" si="147"/>
        <v>-17.759193922565263</v>
      </c>
      <c r="AE311" s="333">
        <f t="shared" si="148"/>
        <v>39.282868854937888</v>
      </c>
      <c r="AF311" s="334">
        <f t="shared" si="149"/>
        <v>-96.251276088738777</v>
      </c>
      <c r="AH311">
        <f t="shared" si="150"/>
        <v>0</v>
      </c>
      <c r="AI311">
        <f t="shared" si="155"/>
        <v>0</v>
      </c>
    </row>
    <row r="312" spans="1:35" x14ac:dyDescent="0.2">
      <c r="A312" s="335">
        <v>21753.5</v>
      </c>
      <c r="B312" s="352">
        <f t="shared" si="151"/>
        <v>21.753499999999999</v>
      </c>
      <c r="C312" s="325">
        <f t="shared" si="126"/>
        <v>27.610651462710912</v>
      </c>
      <c r="D312" s="326">
        <f t="shared" si="127"/>
        <v>1.5345704973067522</v>
      </c>
      <c r="E312" s="326">
        <f t="shared" si="128"/>
        <v>1.0003735656235215</v>
      </c>
      <c r="F312" s="327">
        <f t="shared" si="129"/>
        <v>2.7329448141214734E-2</v>
      </c>
      <c r="G312" s="326">
        <f t="shared" si="130"/>
        <v>1</v>
      </c>
      <c r="H312" s="327">
        <f t="shared" si="131"/>
        <v>0</v>
      </c>
      <c r="I312" s="325">
        <f t="shared" si="132"/>
        <v>28872.677539597829</v>
      </c>
      <c r="J312" s="328">
        <f t="shared" si="133"/>
        <v>1.5707616919745262</v>
      </c>
      <c r="K312" s="336">
        <f t="shared" si="153"/>
        <v>5.6816918652573181</v>
      </c>
      <c r="L312" s="337">
        <f t="shared" si="154"/>
        <v>1.3938708184106152</v>
      </c>
      <c r="M312" s="325">
        <f t="shared" si="134"/>
        <v>1.0088858723952576</v>
      </c>
      <c r="N312" s="337">
        <f t="shared" si="135"/>
        <v>0.13281994242973838</v>
      </c>
      <c r="O312" s="343">
        <f t="shared" si="136"/>
        <v>1.0079578662298458</v>
      </c>
      <c r="P312" s="691">
        <f t="shared" si="137"/>
        <v>0.12574139415439881</v>
      </c>
      <c r="Q312" s="336">
        <f t="shared" si="152"/>
        <v>15.14984140696281</v>
      </c>
      <c r="R312" s="692">
        <f t="shared" si="138"/>
        <v>5.8934089851144338E-2</v>
      </c>
      <c r="S312" s="329">
        <f t="shared" si="139"/>
        <v>0.99865686136548304</v>
      </c>
      <c r="T312" s="330">
        <f t="shared" si="140"/>
        <v>0.17371931230770193</v>
      </c>
      <c r="U312" s="331">
        <f t="shared" si="141"/>
        <v>5.2247195300643279</v>
      </c>
      <c r="V312" s="332">
        <f t="shared" si="142"/>
        <v>-110.22928041592347</v>
      </c>
      <c r="W312" s="334">
        <f t="shared" si="143"/>
        <v>69.770719584076531</v>
      </c>
      <c r="Y312" s="307">
        <f t="shared" si="144"/>
        <v>1000000000</v>
      </c>
      <c r="Z312" s="307">
        <f t="shared" si="145"/>
        <v>473214762.25</v>
      </c>
      <c r="AB312" s="333">
        <f t="shared" si="146"/>
        <v>23.51019591794746</v>
      </c>
      <c r="AC312" s="334">
        <f t="shared" si="147"/>
        <v>-17.745122646265695</v>
      </c>
      <c r="AE312" s="333">
        <f t="shared" si="148"/>
        <v>39.233237859765978</v>
      </c>
      <c r="AF312" s="334">
        <f t="shared" si="149"/>
        <v>-96.311934351254308</v>
      </c>
      <c r="AH312">
        <f t="shared" si="150"/>
        <v>0</v>
      </c>
      <c r="AI312">
        <f t="shared" si="155"/>
        <v>0</v>
      </c>
    </row>
    <row r="313" spans="1:35" x14ac:dyDescent="0.2">
      <c r="A313" s="335">
        <v>21878</v>
      </c>
      <c r="B313" s="352">
        <f t="shared" si="151"/>
        <v>21.878</v>
      </c>
      <c r="C313" s="325">
        <f t="shared" si="126"/>
        <v>27.768466517342006</v>
      </c>
      <c r="D313" s="326">
        <f t="shared" si="127"/>
        <v>1.5347764669839628</v>
      </c>
      <c r="E313" s="326">
        <f t="shared" si="128"/>
        <v>1.0003778530441063</v>
      </c>
      <c r="F313" s="327">
        <f t="shared" si="129"/>
        <v>2.7485781961604023E-2</v>
      </c>
      <c r="G313" s="326">
        <f t="shared" si="130"/>
        <v>1</v>
      </c>
      <c r="H313" s="327">
        <f t="shared" si="131"/>
        <v>0</v>
      </c>
      <c r="I313" s="325">
        <f t="shared" si="132"/>
        <v>29037.922136990444</v>
      </c>
      <c r="J313" s="328">
        <f t="shared" si="133"/>
        <v>1.570761889069102</v>
      </c>
      <c r="K313" s="336">
        <f t="shared" si="153"/>
        <v>5.7132048897111094</v>
      </c>
      <c r="L313" s="337">
        <f t="shared" si="154"/>
        <v>1.3948569331234717</v>
      </c>
      <c r="M313" s="325">
        <f t="shared" si="134"/>
        <v>1.0089874206948009</v>
      </c>
      <c r="N313" s="337">
        <f t="shared" si="135"/>
        <v>0.13357111570101549</v>
      </c>
      <c r="O313" s="343">
        <f t="shared" si="136"/>
        <v>1.0080488513695165</v>
      </c>
      <c r="P313" s="691">
        <f t="shared" si="137"/>
        <v>0.12645341368006682</v>
      </c>
      <c r="Q313" s="336">
        <f t="shared" si="152"/>
        <v>15.150134423056121</v>
      </c>
      <c r="R313" s="692">
        <f t="shared" si="138"/>
        <v>5.9270629135672395E-2</v>
      </c>
      <c r="S313" s="329">
        <f t="shared" si="139"/>
        <v>0.99864299138751511</v>
      </c>
      <c r="T313" s="330">
        <f t="shared" si="140"/>
        <v>0.17472620970492295</v>
      </c>
      <c r="U313" s="331">
        <f t="shared" si="141"/>
        <v>5.1735872493177943</v>
      </c>
      <c r="V313" s="332">
        <f t="shared" si="142"/>
        <v>-110.25485201886879</v>
      </c>
      <c r="W313" s="334">
        <f t="shared" si="143"/>
        <v>69.745147981131211</v>
      </c>
      <c r="Y313" s="307">
        <f t="shared" si="144"/>
        <v>1000000000</v>
      </c>
      <c r="Z313" s="307">
        <f t="shared" si="145"/>
        <v>478646884</v>
      </c>
      <c r="AB313" s="333">
        <f t="shared" si="146"/>
        <v>23.507794621130774</v>
      </c>
      <c r="AC313" s="334">
        <f t="shared" si="147"/>
        <v>-17.731672785902475</v>
      </c>
      <c r="AE313" s="333">
        <f t="shared" si="148"/>
        <v>39.183890857577268</v>
      </c>
      <c r="AF313" s="334">
        <f t="shared" si="149"/>
        <v>-96.372469247695321</v>
      </c>
      <c r="AH313">
        <f t="shared" si="150"/>
        <v>0</v>
      </c>
      <c r="AI313">
        <f t="shared" si="155"/>
        <v>0</v>
      </c>
    </row>
    <row r="314" spans="1:35" x14ac:dyDescent="0.2">
      <c r="A314" s="335">
        <v>22005.25</v>
      </c>
      <c r="B314" s="352">
        <f t="shared" si="151"/>
        <v>22.00525</v>
      </c>
      <c r="C314" s="325">
        <f t="shared" si="126"/>
        <v>27.929768650119122</v>
      </c>
      <c r="D314" s="326">
        <f t="shared" si="127"/>
        <v>1.534984580862685</v>
      </c>
      <c r="E314" s="326">
        <f t="shared" si="128"/>
        <v>1.0003822604320691</v>
      </c>
      <c r="F314" s="327">
        <f t="shared" si="129"/>
        <v>2.7645567549911342E-2</v>
      </c>
      <c r="G314" s="326">
        <f t="shared" si="130"/>
        <v>1</v>
      </c>
      <c r="H314" s="327">
        <f t="shared" si="131"/>
        <v>0</v>
      </c>
      <c r="I314" s="325">
        <f t="shared" si="132"/>
        <v>29206.81671545111</v>
      </c>
      <c r="J314" s="328">
        <f t="shared" si="133"/>
        <v>1.5707620882125157</v>
      </c>
      <c r="K314" s="336">
        <f t="shared" si="153"/>
        <v>5.7454196623842702</v>
      </c>
      <c r="L314" s="337">
        <f t="shared" si="154"/>
        <v>1.3958536499734235</v>
      </c>
      <c r="M314" s="325">
        <f t="shared" si="134"/>
        <v>1.0090918002440059</v>
      </c>
      <c r="N314" s="337">
        <f t="shared" si="135"/>
        <v>0.13433872447639039</v>
      </c>
      <c r="O314" s="343">
        <f t="shared" si="136"/>
        <v>1.008142374234043</v>
      </c>
      <c r="P314" s="691">
        <f t="shared" si="137"/>
        <v>0.12718102735674416</v>
      </c>
      <c r="Q314" s="336">
        <f t="shared" si="152"/>
        <v>15.150435633512364</v>
      </c>
      <c r="R314" s="692">
        <f t="shared" si="138"/>
        <v>5.9614588727547685E-2</v>
      </c>
      <c r="S314" s="329">
        <f t="shared" si="139"/>
        <v>0.99862876992496863</v>
      </c>
      <c r="T314" s="330">
        <f t="shared" si="140"/>
        <v>0.17575556972706841</v>
      </c>
      <c r="U314" s="331">
        <f t="shared" si="141"/>
        <v>5.1216403587085466</v>
      </c>
      <c r="V314" s="332">
        <f t="shared" si="142"/>
        <v>-110.28150173533892</v>
      </c>
      <c r="W314" s="334">
        <f t="shared" si="143"/>
        <v>69.718498264661079</v>
      </c>
      <c r="Y314" s="307">
        <f t="shared" si="144"/>
        <v>1000000000</v>
      </c>
      <c r="Z314" s="307">
        <f t="shared" si="145"/>
        <v>484231027.5625</v>
      </c>
      <c r="AB314" s="333">
        <f t="shared" si="146"/>
        <v>23.505361478021612</v>
      </c>
      <c r="AC314" s="334">
        <f t="shared" si="147"/>
        <v>-17.718557270238993</v>
      </c>
      <c r="AE314" s="333">
        <f t="shared" si="148"/>
        <v>39.133743992840138</v>
      </c>
      <c r="AF314" s="334">
        <f t="shared" si="149"/>
        <v>-96.43421623970616</v>
      </c>
      <c r="AH314">
        <f t="shared" si="150"/>
        <v>0</v>
      </c>
      <c r="AI314">
        <f t="shared" si="155"/>
        <v>0</v>
      </c>
    </row>
    <row r="315" spans="1:35" x14ac:dyDescent="0.2">
      <c r="A315" s="335">
        <v>22132.5</v>
      </c>
      <c r="B315" s="352">
        <f t="shared" si="151"/>
        <v>22.1325</v>
      </c>
      <c r="C315" s="325">
        <f t="shared" si="126"/>
        <v>28.091071978681008</v>
      </c>
      <c r="D315" s="326">
        <f t="shared" si="127"/>
        <v>1.5351903047053539</v>
      </c>
      <c r="E315" s="326">
        <f t="shared" si="128"/>
        <v>1.0003866933610006</v>
      </c>
      <c r="F315" s="327">
        <f t="shared" si="129"/>
        <v>2.7805351726209428E-2</v>
      </c>
      <c r="G315" s="326">
        <f t="shared" si="130"/>
        <v>1</v>
      </c>
      <c r="H315" s="327">
        <f t="shared" si="131"/>
        <v>0</v>
      </c>
      <c r="I315" s="325">
        <f t="shared" si="132"/>
        <v>29375.711293912922</v>
      </c>
      <c r="J315" s="328">
        <f t="shared" si="133"/>
        <v>1.5707622850659939</v>
      </c>
      <c r="K315" s="336">
        <f t="shared" si="153"/>
        <v>5.7776400791593616</v>
      </c>
      <c r="L315" s="337">
        <f t="shared" si="154"/>
        <v>1.3968392509250005</v>
      </c>
      <c r="M315" s="325">
        <f t="shared" si="134"/>
        <v>1.0091967742503456</v>
      </c>
      <c r="N315" s="337">
        <f t="shared" si="135"/>
        <v>0.13510617401457584</v>
      </c>
      <c r="O315" s="343">
        <f t="shared" si="136"/>
        <v>1.0082364307317997</v>
      </c>
      <c r="P315" s="691">
        <f t="shared" si="137"/>
        <v>0.12790850566305659</v>
      </c>
      <c r="Q315" s="336">
        <f t="shared" si="152"/>
        <v>15.150738584797153</v>
      </c>
      <c r="R315" s="692">
        <f t="shared" si="138"/>
        <v>5.99585348064096E-2</v>
      </c>
      <c r="S315" s="329">
        <f t="shared" si="139"/>
        <v>0.99861450349382708</v>
      </c>
      <c r="T315" s="330">
        <f t="shared" si="140"/>
        <v>0.17678515532414218</v>
      </c>
      <c r="U315" s="331">
        <f t="shared" si="141"/>
        <v>5.0700077950106355</v>
      </c>
      <c r="V315" s="332">
        <f t="shared" si="142"/>
        <v>-110.30866213937621</v>
      </c>
      <c r="W315" s="334">
        <f t="shared" si="143"/>
        <v>69.69133786062379</v>
      </c>
      <c r="Y315" s="307">
        <f t="shared" si="144"/>
        <v>1000000000</v>
      </c>
      <c r="Z315" s="307">
        <f t="shared" si="145"/>
        <v>489847556.25</v>
      </c>
      <c r="AB315" s="333">
        <f t="shared" si="146"/>
        <v>23.502949176786473</v>
      </c>
      <c r="AC315" s="334">
        <f t="shared" si="147"/>
        <v>-17.706069393816048</v>
      </c>
      <c r="AE315" s="333">
        <f t="shared" si="148"/>
        <v>39.083887085254062</v>
      </c>
      <c r="AF315" s="334">
        <f t="shared" si="149"/>
        <v>-96.495839298131656</v>
      </c>
      <c r="AH315">
        <f t="shared" si="150"/>
        <v>0</v>
      </c>
      <c r="AI315">
        <f t="shared" si="155"/>
        <v>0</v>
      </c>
    </row>
    <row r="316" spans="1:35" x14ac:dyDescent="0.2">
      <c r="A316" s="335">
        <v>22259.75</v>
      </c>
      <c r="B316" s="352">
        <f t="shared" si="151"/>
        <v>22.25975</v>
      </c>
      <c r="C316" s="325">
        <f t="shared" si="126"/>
        <v>28.252376482546122</v>
      </c>
      <c r="D316" s="326">
        <f t="shared" si="127"/>
        <v>1.5353936794315184</v>
      </c>
      <c r="E316" s="326">
        <f t="shared" si="128"/>
        <v>1.0003911518305608</v>
      </c>
      <c r="F316" s="327">
        <f t="shared" si="129"/>
        <v>2.7965134482358208E-2</v>
      </c>
      <c r="G316" s="326">
        <f t="shared" si="130"/>
        <v>1</v>
      </c>
      <c r="H316" s="327">
        <f t="shared" si="131"/>
        <v>0</v>
      </c>
      <c r="I316" s="325">
        <f t="shared" si="132"/>
        <v>29544.605872375865</v>
      </c>
      <c r="J316" s="328">
        <f t="shared" si="133"/>
        <v>1.5707624796688084</v>
      </c>
      <c r="K316" s="336">
        <f t="shared" si="153"/>
        <v>5.8098660461330258</v>
      </c>
      <c r="L316" s="337">
        <f t="shared" si="154"/>
        <v>1.3978139190191123</v>
      </c>
      <c r="M316" s="325">
        <f t="shared" si="134"/>
        <v>1.0093023425283378</v>
      </c>
      <c r="N316" s="337">
        <f t="shared" si="135"/>
        <v>0.13587346346137558</v>
      </c>
      <c r="O316" s="343">
        <f t="shared" si="136"/>
        <v>1.0083310207134557</v>
      </c>
      <c r="P316" s="691">
        <f t="shared" si="137"/>
        <v>0.12863584786699517</v>
      </c>
      <c r="Q316" s="336">
        <f t="shared" si="152"/>
        <v>15.151043276806156</v>
      </c>
      <c r="R316" s="692">
        <f t="shared" si="138"/>
        <v>6.0302467295203076E-2</v>
      </c>
      <c r="S316" s="329">
        <f t="shared" si="139"/>
        <v>0.99860019274641865</v>
      </c>
      <c r="T316" s="330">
        <f t="shared" si="140"/>
        <v>0.1778149677353284</v>
      </c>
      <c r="U316" s="331">
        <f t="shared" si="141"/>
        <v>5.0186856731283092</v>
      </c>
      <c r="V316" s="332">
        <f t="shared" si="142"/>
        <v>-110.33632515032727</v>
      </c>
      <c r="W316" s="334">
        <f t="shared" si="143"/>
        <v>69.663674849672731</v>
      </c>
      <c r="Y316" s="307">
        <f t="shared" si="144"/>
        <v>1000000000</v>
      </c>
      <c r="Z316" s="307">
        <f t="shared" si="145"/>
        <v>495496470.0625</v>
      </c>
      <c r="AB316" s="333">
        <f t="shared" si="146"/>
        <v>23.500557145427976</v>
      </c>
      <c r="AC316" s="334">
        <f t="shared" si="147"/>
        <v>-17.694198622470328</v>
      </c>
      <c r="AE316" s="333">
        <f t="shared" si="148"/>
        <v>39.034316824160072</v>
      </c>
      <c r="AF316" s="334">
        <f t="shared" si="149"/>
        <v>-96.557340838955653</v>
      </c>
      <c r="AH316">
        <f t="shared" si="150"/>
        <v>0</v>
      </c>
      <c r="AI316">
        <f t="shared" si="155"/>
        <v>0</v>
      </c>
    </row>
    <row r="317" spans="1:35" x14ac:dyDescent="0.2">
      <c r="A317" s="335">
        <v>22387</v>
      </c>
      <c r="B317" s="352">
        <f t="shared" si="151"/>
        <v>22.387</v>
      </c>
      <c r="C317" s="325">
        <f t="shared" si="126"/>
        <v>28.413682141697869</v>
      </c>
      <c r="D317" s="326">
        <f t="shared" si="127"/>
        <v>1.5355947450323073</v>
      </c>
      <c r="E317" s="326">
        <f t="shared" si="128"/>
        <v>1.0003956358404087</v>
      </c>
      <c r="F317" s="327">
        <f t="shared" si="129"/>
        <v>2.8124915810218056E-2</v>
      </c>
      <c r="G317" s="326">
        <f t="shared" si="130"/>
        <v>1</v>
      </c>
      <c r="H317" s="327">
        <f t="shared" si="131"/>
        <v>0</v>
      </c>
      <c r="I317" s="325">
        <f t="shared" si="132"/>
        <v>29713.500450839911</v>
      </c>
      <c r="J317" s="328">
        <f t="shared" si="133"/>
        <v>1.5707626720593382</v>
      </c>
      <c r="K317" s="336">
        <f t="shared" si="153"/>
        <v>5.8420974714578477</v>
      </c>
      <c r="L317" s="337">
        <f t="shared" si="154"/>
        <v>1.3987778333413849</v>
      </c>
      <c r="M317" s="325">
        <f t="shared" si="134"/>
        <v>1.009408504891528</v>
      </c>
      <c r="N317" s="337">
        <f t="shared" si="135"/>
        <v>0.13664059196370379</v>
      </c>
      <c r="O317" s="343">
        <f t="shared" si="136"/>
        <v>1.0084261440288891</v>
      </c>
      <c r="P317" s="691">
        <f t="shared" si="137"/>
        <v>0.12936305323740085</v>
      </c>
      <c r="Q317" s="336">
        <f t="shared" si="152"/>
        <v>15.151349709434447</v>
      </c>
      <c r="R317" s="692">
        <f t="shared" si="138"/>
        <v>6.0646386116891722E-2</v>
      </c>
      <c r="S317" s="329">
        <f t="shared" si="139"/>
        <v>0.9985858383388756</v>
      </c>
      <c r="T317" s="330">
        <f t="shared" si="140"/>
        <v>0.17884500819862442</v>
      </c>
      <c r="U317" s="331">
        <f t="shared" si="141"/>
        <v>4.967670179992191</v>
      </c>
      <c r="V317" s="332">
        <f t="shared" si="142"/>
        <v>-110.364482860862</v>
      </c>
      <c r="W317" s="334">
        <f t="shared" si="143"/>
        <v>69.635517139138003</v>
      </c>
      <c r="Y317" s="307">
        <f t="shared" si="144"/>
        <v>1000000000</v>
      </c>
      <c r="Z317" s="307">
        <f t="shared" si="145"/>
        <v>501177769</v>
      </c>
      <c r="AB317" s="333">
        <f t="shared" si="146"/>
        <v>23.498184827786748</v>
      </c>
      <c r="AC317" s="334">
        <f t="shared" si="147"/>
        <v>-17.682934648671985</v>
      </c>
      <c r="AE317" s="333">
        <f t="shared" si="148"/>
        <v>38.985029955100067</v>
      </c>
      <c r="AF317" s="334">
        <f t="shared" si="149"/>
        <v>-96.618723224899441</v>
      </c>
      <c r="AH317">
        <f t="shared" si="150"/>
        <v>0</v>
      </c>
      <c r="AI317">
        <f t="shared" si="155"/>
        <v>0</v>
      </c>
    </row>
    <row r="318" spans="1:35" x14ac:dyDescent="0.2">
      <c r="A318" s="335">
        <v>22517.5</v>
      </c>
      <c r="B318" s="352">
        <f t="shared" si="151"/>
        <v>22.517499999999998</v>
      </c>
      <c r="C318" s="325">
        <f t="shared" si="126"/>
        <v>28.579108771183556</v>
      </c>
      <c r="D318" s="326">
        <f t="shared" si="127"/>
        <v>1.5357985885006742</v>
      </c>
      <c r="E318" s="326">
        <f t="shared" si="128"/>
        <v>1.0004002608998179</v>
      </c>
      <c r="F318" s="327">
        <f t="shared" si="129"/>
        <v>2.8288776505140403E-2</v>
      </c>
      <c r="G318" s="326">
        <f t="shared" si="130"/>
        <v>1</v>
      </c>
      <c r="H318" s="327">
        <f t="shared" si="131"/>
        <v>0</v>
      </c>
      <c r="I318" s="325">
        <f t="shared" si="132"/>
        <v>29886.708643293361</v>
      </c>
      <c r="J318" s="328">
        <f t="shared" si="133"/>
        <v>1.5707628671051019</v>
      </c>
      <c r="K318" s="336">
        <f t="shared" si="153"/>
        <v>5.8751576713940397</v>
      </c>
      <c r="L318" s="337">
        <f t="shared" si="154"/>
        <v>1.3997553805701795</v>
      </c>
      <c r="M318" s="325">
        <f t="shared" si="134"/>
        <v>1.0095179955129532</v>
      </c>
      <c r="N318" s="337">
        <f t="shared" si="135"/>
        <v>0.13742714508375284</v>
      </c>
      <c r="O318" s="343">
        <f t="shared" si="136"/>
        <v>1.0085242506018433</v>
      </c>
      <c r="P318" s="691">
        <f t="shared" si="137"/>
        <v>0.13010868874769979</v>
      </c>
      <c r="Q318" s="336">
        <f t="shared" si="152"/>
        <v>15.151665776196657</v>
      </c>
      <c r="R318" s="692">
        <f t="shared" si="138"/>
        <v>6.099907444405183E-2</v>
      </c>
      <c r="S318" s="329">
        <f t="shared" si="139"/>
        <v>0.99857107266009892</v>
      </c>
      <c r="T318" s="330">
        <f t="shared" si="140"/>
        <v>0.17990159433744127</v>
      </c>
      <c r="U318" s="331">
        <f t="shared" si="141"/>
        <v>4.9156662928855699</v>
      </c>
      <c r="V318" s="332">
        <f t="shared" si="142"/>
        <v>-110.39386543530406</v>
      </c>
      <c r="W318" s="334">
        <f t="shared" si="143"/>
        <v>69.606134564695935</v>
      </c>
      <c r="Y318" s="307">
        <f t="shared" si="144"/>
        <v>1000000000</v>
      </c>
      <c r="Z318" s="307">
        <f t="shared" si="145"/>
        <v>507037806.25</v>
      </c>
      <c r="AB318" s="333">
        <f t="shared" si="146"/>
        <v>23.495771829471078</v>
      </c>
      <c r="AC318" s="334">
        <f t="shared" si="147"/>
        <v>-17.67200266761559</v>
      </c>
      <c r="AE318" s="333">
        <f t="shared" si="148"/>
        <v>38.934775276103366</v>
      </c>
      <c r="AF318" s="334">
        <f t="shared" si="149"/>
        <v>-96.681551995589075</v>
      </c>
      <c r="AH318">
        <f t="shared" si="150"/>
        <v>0</v>
      </c>
      <c r="AI318">
        <f t="shared" si="155"/>
        <v>0</v>
      </c>
    </row>
    <row r="319" spans="1:35" x14ac:dyDescent="0.2">
      <c r="A319" s="335">
        <v>22648</v>
      </c>
      <c r="B319" s="352">
        <f t="shared" si="151"/>
        <v>22.648</v>
      </c>
      <c r="C319" s="325">
        <f t="shared" si="126"/>
        <v>28.744536574524354</v>
      </c>
      <c r="D319" s="326">
        <f t="shared" si="127"/>
        <v>1.5360000856965292</v>
      </c>
      <c r="E319" s="326">
        <f t="shared" si="128"/>
        <v>1.0004049128200527</v>
      </c>
      <c r="F319" s="327">
        <f t="shared" si="129"/>
        <v>2.8452635680545683E-2</v>
      </c>
      <c r="G319" s="326">
        <f t="shared" si="130"/>
        <v>1</v>
      </c>
      <c r="H319" s="327">
        <f t="shared" si="131"/>
        <v>0</v>
      </c>
      <c r="I319" s="325">
        <f t="shared" si="132"/>
        <v>30059.916835747932</v>
      </c>
      <c r="J319" s="328">
        <f t="shared" si="133"/>
        <v>1.5707630599031202</v>
      </c>
      <c r="K319" s="336">
        <f t="shared" si="153"/>
        <v>5.9082234227885335</v>
      </c>
      <c r="L319" s="337">
        <f t="shared" si="154"/>
        <v>1.4007219869025156</v>
      </c>
      <c r="M319" s="325">
        <f t="shared" si="134"/>
        <v>1.0096281105529608</v>
      </c>
      <c r="N319" s="337">
        <f t="shared" si="135"/>
        <v>0.13821352711946697</v>
      </c>
      <c r="O319" s="343">
        <f t="shared" si="136"/>
        <v>1.0086229177770987</v>
      </c>
      <c r="P319" s="691">
        <f t="shared" si="137"/>
        <v>0.13085417879082886</v>
      </c>
      <c r="Q319" s="336">
        <f t="shared" si="152"/>
        <v>15.151983673399927</v>
      </c>
      <c r="R319" s="692">
        <f t="shared" si="138"/>
        <v>6.1351748233016735E-2</v>
      </c>
      <c r="S319" s="329">
        <f t="shared" si="139"/>
        <v>0.99855626247257923</v>
      </c>
      <c r="T319" s="330">
        <f t="shared" si="140"/>
        <v>0.18095842295962816</v>
      </c>
      <c r="U319" s="331">
        <f t="shared" si="141"/>
        <v>4.863976998988754</v>
      </c>
      <c r="V319" s="332">
        <f t="shared" si="142"/>
        <v>-110.42375199624203</v>
      </c>
      <c r="W319" s="334">
        <f t="shared" si="143"/>
        <v>69.576248003757968</v>
      </c>
      <c r="Y319" s="307">
        <f t="shared" si="144"/>
        <v>1000000000</v>
      </c>
      <c r="Z319" s="307">
        <f t="shared" si="145"/>
        <v>512931904</v>
      </c>
      <c r="AB319" s="333">
        <f t="shared" si="146"/>
        <v>23.493378428810235</v>
      </c>
      <c r="AC319" s="334">
        <f t="shared" si="147"/>
        <v>-17.661687622554393</v>
      </c>
      <c r="AE319" s="333">
        <f t="shared" si="148"/>
        <v>38.884811892675579</v>
      </c>
      <c r="AF319" s="334">
        <f t="shared" si="149"/>
        <v>-96.74426031510167</v>
      </c>
      <c r="AH319">
        <f t="shared" si="150"/>
        <v>0</v>
      </c>
      <c r="AI319">
        <f t="shared" si="155"/>
        <v>0</v>
      </c>
    </row>
    <row r="320" spans="1:35" x14ac:dyDescent="0.2">
      <c r="A320" s="335">
        <v>22778.5</v>
      </c>
      <c r="B320" s="352">
        <f t="shared" si="151"/>
        <v>22.778500000000001</v>
      </c>
      <c r="C320" s="325">
        <f t="shared" si="126"/>
        <v>28.909965531569263</v>
      </c>
      <c r="D320" s="326">
        <f t="shared" si="127"/>
        <v>1.536199276880976</v>
      </c>
      <c r="E320" s="326">
        <f t="shared" si="128"/>
        <v>1.0004095916007387</v>
      </c>
      <c r="F320" s="327">
        <f t="shared" si="129"/>
        <v>2.8616493327655961E-2</v>
      </c>
      <c r="G320" s="326">
        <f t="shared" si="130"/>
        <v>1</v>
      </c>
      <c r="H320" s="327">
        <f t="shared" si="131"/>
        <v>0</v>
      </c>
      <c r="I320" s="325">
        <f t="shared" si="132"/>
        <v>30233.125028203613</v>
      </c>
      <c r="J320" s="328">
        <f t="shared" si="133"/>
        <v>1.5707632504920253</v>
      </c>
      <c r="K320" s="336">
        <f t="shared" si="153"/>
        <v>5.9412946329528751</v>
      </c>
      <c r="L320" s="337">
        <f t="shared" si="154"/>
        <v>1.4016778332188329</v>
      </c>
      <c r="M320" s="325">
        <f t="shared" si="134"/>
        <v>1.0097388498072664</v>
      </c>
      <c r="N320" s="337">
        <f t="shared" si="135"/>
        <v>0.13899973715438566</v>
      </c>
      <c r="O320" s="343">
        <f t="shared" si="136"/>
        <v>1.0087221453901514</v>
      </c>
      <c r="P320" s="691">
        <f t="shared" si="137"/>
        <v>0.1315995225809761</v>
      </c>
      <c r="Q320" s="336">
        <f t="shared" si="152"/>
        <v>15.152303400929153</v>
      </c>
      <c r="R320" s="692">
        <f t="shared" si="138"/>
        <v>6.170440740075725E-2</v>
      </c>
      <c r="S320" s="329">
        <f t="shared" si="139"/>
        <v>0.99854140849648698</v>
      </c>
      <c r="T320" s="330">
        <f t="shared" si="140"/>
        <v>0.18201549539653733</v>
      </c>
      <c r="U320" s="331">
        <f t="shared" si="141"/>
        <v>4.8125984100136767</v>
      </c>
      <c r="V320" s="332">
        <f t="shared" si="142"/>
        <v>-110.45413455353577</v>
      </c>
      <c r="W320" s="334">
        <f t="shared" si="143"/>
        <v>69.545865446464234</v>
      </c>
      <c r="Y320" s="307">
        <f t="shared" si="144"/>
        <v>1000000000</v>
      </c>
      <c r="Z320" s="307">
        <f t="shared" si="145"/>
        <v>518860062.25</v>
      </c>
      <c r="AB320" s="333">
        <f t="shared" si="146"/>
        <v>23.491004074499472</v>
      </c>
      <c r="AC320" s="334">
        <f t="shared" si="147"/>
        <v>-17.651979099506754</v>
      </c>
      <c r="AE320" s="333">
        <f t="shared" si="148"/>
        <v>38.835136470518691</v>
      </c>
      <c r="AF320" s="334">
        <f t="shared" si="149"/>
        <v>-96.806850567012333</v>
      </c>
      <c r="AH320">
        <f t="shared" si="150"/>
        <v>0</v>
      </c>
      <c r="AI320">
        <f t="shared" si="155"/>
        <v>0</v>
      </c>
    </row>
    <row r="321" spans="1:35" x14ac:dyDescent="0.2">
      <c r="A321" s="335">
        <v>22909</v>
      </c>
      <c r="B321" s="352">
        <f t="shared" si="151"/>
        <v>22.908999999999999</v>
      </c>
      <c r="C321" s="325">
        <f t="shared" si="126"/>
        <v>29.075395622625742</v>
      </c>
      <c r="D321" s="326">
        <f t="shared" si="127"/>
        <v>1.5363962013995658</v>
      </c>
      <c r="E321" s="326">
        <f t="shared" si="128"/>
        <v>1.0004142972414987</v>
      </c>
      <c r="F321" s="327">
        <f t="shared" si="129"/>
        <v>2.8780349437693819E-2</v>
      </c>
      <c r="G321" s="326">
        <f t="shared" si="130"/>
        <v>1</v>
      </c>
      <c r="H321" s="327">
        <f t="shared" si="131"/>
        <v>0</v>
      </c>
      <c r="I321" s="325">
        <f t="shared" si="132"/>
        <v>30406.333220660377</v>
      </c>
      <c r="J321" s="328">
        <f t="shared" si="133"/>
        <v>1.5707634389095695</v>
      </c>
      <c r="K321" s="336">
        <f t="shared" si="153"/>
        <v>5.9743712112357867</v>
      </c>
      <c r="L321" s="337">
        <f t="shared" si="154"/>
        <v>1.4026230964734989</v>
      </c>
      <c r="M321" s="325">
        <f t="shared" si="134"/>
        <v>1.009850213070518</v>
      </c>
      <c r="N321" s="337">
        <f t="shared" si="135"/>
        <v>0.1397857742732998</v>
      </c>
      <c r="O321" s="343">
        <f t="shared" si="136"/>
        <v>1.008821933275627</v>
      </c>
      <c r="P321" s="691">
        <f t="shared" si="137"/>
        <v>0.1323447193332879</v>
      </c>
      <c r="Q321" s="336">
        <f t="shared" si="152"/>
        <v>15.152624958668573</v>
      </c>
      <c r="R321" s="692">
        <f t="shared" si="138"/>
        <v>6.2057051864265314E-2</v>
      </c>
      <c r="S321" s="329">
        <f t="shared" si="139"/>
        <v>0.99852651145620275</v>
      </c>
      <c r="T321" s="330">
        <f t="shared" si="140"/>
        <v>0.18307281297817005</v>
      </c>
      <c r="U321" s="331">
        <f t="shared" si="141"/>
        <v>4.7615267097165761</v>
      </c>
      <c r="V321" s="332">
        <f t="shared" si="142"/>
        <v>-110.48500528942546</v>
      </c>
      <c r="W321" s="334">
        <f t="shared" si="143"/>
        <v>69.514994710574541</v>
      </c>
      <c r="Y321" s="307">
        <f t="shared" si="144"/>
        <v>1000000000</v>
      </c>
      <c r="Z321" s="307">
        <f t="shared" si="145"/>
        <v>524822281</v>
      </c>
      <c r="AB321" s="333">
        <f t="shared" si="146"/>
        <v>23.488648230566255</v>
      </c>
      <c r="AC321" s="334">
        <f t="shared" si="147"/>
        <v>-17.642866909459649</v>
      </c>
      <c r="AE321" s="333">
        <f t="shared" si="148"/>
        <v>38.785745732060462</v>
      </c>
      <c r="AF321" s="334">
        <f t="shared" si="149"/>
        <v>-96.869325082361485</v>
      </c>
      <c r="AH321">
        <f t="shared" si="150"/>
        <v>0</v>
      </c>
      <c r="AI321">
        <f t="shared" si="155"/>
        <v>0</v>
      </c>
    </row>
    <row r="322" spans="1:35" x14ac:dyDescent="0.2">
      <c r="A322" s="335">
        <v>23042.25</v>
      </c>
      <c r="B322" s="352">
        <f t="shared" si="151"/>
        <v>23.042249999999999</v>
      </c>
      <c r="C322" s="325">
        <f t="shared" si="126"/>
        <v>29.244312938509729</v>
      </c>
      <c r="D322" s="326">
        <f t="shared" si="127"/>
        <v>1.5365949768058633</v>
      </c>
      <c r="E322" s="326">
        <f t="shared" si="128"/>
        <v>1.0004191297579401</v>
      </c>
      <c r="F322" s="327">
        <f t="shared" si="129"/>
        <v>2.8947656859145781E-2</v>
      </c>
      <c r="G322" s="326">
        <f t="shared" si="130"/>
        <v>1</v>
      </c>
      <c r="H322" s="327">
        <f t="shared" si="131"/>
        <v>0</v>
      </c>
      <c r="I322" s="325">
        <f t="shared" si="132"/>
        <v>30583.191394185335</v>
      </c>
      <c r="J322" s="328">
        <f t="shared" si="133"/>
        <v>1.5707636290954547</v>
      </c>
      <c r="K322" s="336">
        <f t="shared" si="153"/>
        <v>6.0081502524046693</v>
      </c>
      <c r="L322" s="337">
        <f t="shared" si="154"/>
        <v>1.4035775390138692</v>
      </c>
      <c r="M322" s="325">
        <f t="shared" si="134"/>
        <v>1.0099645667266268</v>
      </c>
      <c r="N322" s="337">
        <f t="shared" si="135"/>
        <v>0.14058819602300954</v>
      </c>
      <c r="O322" s="343">
        <f t="shared" si="136"/>
        <v>1.0089244019047885</v>
      </c>
      <c r="P322" s="691">
        <f t="shared" si="137"/>
        <v>0.13310546693268829</v>
      </c>
      <c r="Q322" s="336">
        <f t="shared" si="152"/>
        <v>15.152955180876001</v>
      </c>
      <c r="R322" s="692">
        <f t="shared" si="138"/>
        <v>6.2417112274427151E-2</v>
      </c>
      <c r="S322" s="329">
        <f t="shared" si="139"/>
        <v>0.9985112568157225</v>
      </c>
      <c r="T322" s="330">
        <f t="shared" si="140"/>
        <v>0.18415266552703249</v>
      </c>
      <c r="U322" s="331">
        <f t="shared" si="141"/>
        <v>4.7096915511748012</v>
      </c>
      <c r="V322" s="332">
        <f t="shared" si="142"/>
        <v>-110.51702232802687</v>
      </c>
      <c r="W322" s="334">
        <f t="shared" si="143"/>
        <v>69.482977671973131</v>
      </c>
      <c r="Y322" s="307">
        <f t="shared" si="144"/>
        <v>1000000000</v>
      </c>
      <c r="Z322" s="307">
        <f t="shared" si="145"/>
        <v>530945285.0625</v>
      </c>
      <c r="AB322" s="333">
        <f t="shared" si="146"/>
        <v>23.486261300568586</v>
      </c>
      <c r="AC322" s="334">
        <f t="shared" si="147"/>
        <v>-17.634167656595171</v>
      </c>
      <c r="AE322" s="333">
        <f t="shared" si="148"/>
        <v>38.735604590381925</v>
      </c>
      <c r="AF322" s="334">
        <f t="shared" si="149"/>
        <v>-96.932999058701952</v>
      </c>
      <c r="AH322">
        <f t="shared" si="150"/>
        <v>0</v>
      </c>
      <c r="AI322">
        <f t="shared" si="155"/>
        <v>0</v>
      </c>
    </row>
    <row r="323" spans="1:35" x14ac:dyDescent="0.2">
      <c r="A323" s="335">
        <v>23175.5</v>
      </c>
      <c r="B323" s="352">
        <f t="shared" si="151"/>
        <v>23.1755</v>
      </c>
      <c r="C323" s="325">
        <f t="shared" si="126"/>
        <v>29.413231396613359</v>
      </c>
      <c r="D323" s="326">
        <f t="shared" si="127"/>
        <v>1.5367914691089142</v>
      </c>
      <c r="E323" s="326">
        <f t="shared" si="128"/>
        <v>1.0004239902776162</v>
      </c>
      <c r="F323" s="327">
        <f t="shared" si="129"/>
        <v>2.9114962659568155E-2</v>
      </c>
      <c r="G323" s="326">
        <f t="shared" si="130"/>
        <v>1</v>
      </c>
      <c r="H323" s="327">
        <f t="shared" si="131"/>
        <v>0</v>
      </c>
      <c r="I323" s="325">
        <f t="shared" si="132"/>
        <v>30760.049567711394</v>
      </c>
      <c r="J323" s="328">
        <f t="shared" si="133"/>
        <v>1.5707638170943523</v>
      </c>
      <c r="K323" s="336">
        <f t="shared" si="153"/>
        <v>6.0419347055599752</v>
      </c>
      <c r="L323" s="337">
        <f t="shared" si="154"/>
        <v>1.4045213085669339</v>
      </c>
      <c r="M323" s="325">
        <f t="shared" si="134"/>
        <v>1.0100795705319046</v>
      </c>
      <c r="N323" s="337">
        <f t="shared" si="135"/>
        <v>0.14139043556781158</v>
      </c>
      <c r="O323" s="343">
        <f t="shared" si="136"/>
        <v>1.0090274543169511</v>
      </c>
      <c r="P323" s="691">
        <f t="shared" si="137"/>
        <v>0.13386605958123152</v>
      </c>
      <c r="Q323" s="336">
        <f t="shared" si="152"/>
        <v>15.153287310995641</v>
      </c>
      <c r="R323" s="692">
        <f t="shared" si="138"/>
        <v>6.2777157179265741E-2</v>
      </c>
      <c r="S323" s="329">
        <f t="shared" si="139"/>
        <v>0.99849595881675812</v>
      </c>
      <c r="T323" s="330">
        <f t="shared" si="140"/>
        <v>0.18523277645941402</v>
      </c>
      <c r="U323" s="331">
        <f t="shared" si="141"/>
        <v>4.6581685322048818</v>
      </c>
      <c r="V323" s="332">
        <f t="shared" si="142"/>
        <v>-110.54953239350249</v>
      </c>
      <c r="W323" s="334">
        <f t="shared" si="143"/>
        <v>69.450467606497511</v>
      </c>
      <c r="Y323" s="307">
        <f t="shared" si="144"/>
        <v>1000000000</v>
      </c>
      <c r="Z323" s="307">
        <f t="shared" si="145"/>
        <v>537103800.25</v>
      </c>
      <c r="AB323" s="333">
        <f t="shared" si="146"/>
        <v>23.483892586655642</v>
      </c>
      <c r="AC323" s="334">
        <f t="shared" si="147"/>
        <v>-17.626069355981393</v>
      </c>
      <c r="AE323" s="333">
        <f t="shared" si="148"/>
        <v>38.685753525967542</v>
      </c>
      <c r="AF323" s="334">
        <f t="shared" si="149"/>
        <v>-96.996557120025329</v>
      </c>
      <c r="AH323">
        <f t="shared" si="150"/>
        <v>0</v>
      </c>
      <c r="AI323">
        <f t="shared" si="155"/>
        <v>0</v>
      </c>
    </row>
    <row r="324" spans="1:35" x14ac:dyDescent="0.2">
      <c r="A324" s="335">
        <v>23308.75</v>
      </c>
      <c r="B324" s="352">
        <f t="shared" si="151"/>
        <v>23.30875</v>
      </c>
      <c r="C324" s="325">
        <f t="shared" si="126"/>
        <v>29.582150977369889</v>
      </c>
      <c r="D324" s="326">
        <f t="shared" si="127"/>
        <v>1.5369857174042454</v>
      </c>
      <c r="E324" s="326">
        <f t="shared" si="128"/>
        <v>1.0004288788001185</v>
      </c>
      <c r="F324" s="327">
        <f t="shared" si="129"/>
        <v>2.9282266829618438E-2</v>
      </c>
      <c r="G324" s="326">
        <f t="shared" si="130"/>
        <v>1</v>
      </c>
      <c r="H324" s="327">
        <f t="shared" si="131"/>
        <v>0</v>
      </c>
      <c r="I324" s="325">
        <f t="shared" si="132"/>
        <v>30936.907741238523</v>
      </c>
      <c r="J324" s="328">
        <f t="shared" si="133"/>
        <v>1.5707640029437691</v>
      </c>
      <c r="K324" s="336">
        <f t="shared" si="153"/>
        <v>6.075724480420619</v>
      </c>
      <c r="L324" s="337">
        <f t="shared" si="154"/>
        <v>1.4054545815088046</v>
      </c>
      <c r="M324" s="325">
        <f t="shared" si="134"/>
        <v>1.0101952242643055</v>
      </c>
      <c r="N324" s="337">
        <f t="shared" si="135"/>
        <v>0.14219249193748734</v>
      </c>
      <c r="O324" s="343">
        <f t="shared" si="136"/>
        <v>1.0091310903332666</v>
      </c>
      <c r="P324" s="691">
        <f t="shared" si="137"/>
        <v>0.13462649644651623</v>
      </c>
      <c r="Q324" s="336">
        <f t="shared" si="152"/>
        <v>15.153621348902153</v>
      </c>
      <c r="R324" s="692">
        <f t="shared" si="138"/>
        <v>6.3137186490482944E-2</v>
      </c>
      <c r="S324" s="329">
        <f t="shared" si="139"/>
        <v>0.99848061824404788</v>
      </c>
      <c r="T324" s="330">
        <f t="shared" si="140"/>
        <v>0.18631314718675798</v>
      </c>
      <c r="U324" s="331">
        <f t="shared" si="141"/>
        <v>4.6069538113205661</v>
      </c>
      <c r="V324" s="332">
        <f t="shared" si="142"/>
        <v>-110.58252769085276</v>
      </c>
      <c r="W324" s="334">
        <f t="shared" si="143"/>
        <v>69.417472309147243</v>
      </c>
      <c r="Y324" s="307">
        <f t="shared" si="144"/>
        <v>1000000000</v>
      </c>
      <c r="Z324" s="307">
        <f t="shared" si="145"/>
        <v>543297826.5625</v>
      </c>
      <c r="AB324" s="333">
        <f t="shared" si="146"/>
        <v>23.481541564547832</v>
      </c>
      <c r="AC324" s="334">
        <f t="shared" si="147"/>
        <v>-17.618561848571073</v>
      </c>
      <c r="AE324" s="333">
        <f t="shared" si="148"/>
        <v>38.636189224527847</v>
      </c>
      <c r="AF324" s="334">
        <f t="shared" si="149"/>
        <v>-97.06000158774539</v>
      </c>
      <c r="AH324">
        <f t="shared" si="150"/>
        <v>0</v>
      </c>
      <c r="AI324">
        <f t="shared" si="155"/>
        <v>0</v>
      </c>
    </row>
    <row r="325" spans="1:35" x14ac:dyDescent="0.2">
      <c r="A325" s="335">
        <v>23442</v>
      </c>
      <c r="B325" s="352">
        <f t="shared" si="151"/>
        <v>23.442</v>
      </c>
      <c r="C325" s="325">
        <f t="shared" si="126"/>
        <v>29.751071661656855</v>
      </c>
      <c r="D325" s="326">
        <f t="shared" si="127"/>
        <v>1.5371777599001641</v>
      </c>
      <c r="E325" s="326">
        <f t="shared" si="128"/>
        <v>1.0004337953250366</v>
      </c>
      <c r="F325" s="327">
        <f t="shared" si="129"/>
        <v>2.9449569359954682E-2</v>
      </c>
      <c r="G325" s="326">
        <f t="shared" si="130"/>
        <v>1</v>
      </c>
      <c r="H325" s="327">
        <f t="shared" si="131"/>
        <v>0</v>
      </c>
      <c r="I325" s="325">
        <f t="shared" si="132"/>
        <v>31113.765914766711</v>
      </c>
      <c r="J325" s="328">
        <f t="shared" si="133"/>
        <v>1.5707641866803599</v>
      </c>
      <c r="K325" s="336">
        <f t="shared" si="153"/>
        <v>6.1095194886887114</v>
      </c>
      <c r="L325" s="337">
        <f t="shared" si="154"/>
        <v>1.4063775303871378</v>
      </c>
      <c r="M325" s="325">
        <f t="shared" si="134"/>
        <v>1.0103115277006323</v>
      </c>
      <c r="N325" s="337">
        <f t="shared" si="135"/>
        <v>0.14299436416320416</v>
      </c>
      <c r="O325" s="343">
        <f t="shared" si="136"/>
        <v>1.0092353097739493</v>
      </c>
      <c r="P325" s="691">
        <f t="shared" si="137"/>
        <v>0.13538677669720262</v>
      </c>
      <c r="Q325" s="336">
        <f t="shared" si="152"/>
        <v>15.153957294469489</v>
      </c>
      <c r="R325" s="692">
        <f t="shared" si="138"/>
        <v>6.3497200119804073E-2</v>
      </c>
      <c r="S325" s="329">
        <f t="shared" si="139"/>
        <v>0.99846523588690927</v>
      </c>
      <c r="T325" s="330">
        <f t="shared" si="140"/>
        <v>0.1873937791189966</v>
      </c>
      <c r="U325" s="331">
        <f t="shared" si="141"/>
        <v>4.5560436178664805</v>
      </c>
      <c r="V325" s="332">
        <f t="shared" si="142"/>
        <v>-110.61600059348309</v>
      </c>
      <c r="W325" s="334">
        <f t="shared" si="143"/>
        <v>69.383999406516907</v>
      </c>
      <c r="Y325" s="307">
        <f t="shared" si="144"/>
        <v>1000000000</v>
      </c>
      <c r="Z325" s="307">
        <f t="shared" si="145"/>
        <v>549527364</v>
      </c>
      <c r="AB325" s="333">
        <f t="shared" si="146"/>
        <v>23.479207724548544</v>
      </c>
      <c r="AC325" s="334">
        <f t="shared" si="147"/>
        <v>-17.611635194701872</v>
      </c>
      <c r="AE325" s="333">
        <f t="shared" si="148"/>
        <v>38.586908428035997</v>
      </c>
      <c r="AF325" s="334">
        <f t="shared" si="149"/>
        <v>-97.123334732355275</v>
      </c>
      <c r="AH325">
        <f t="shared" si="150"/>
        <v>0</v>
      </c>
      <c r="AI325">
        <f t="shared" si="155"/>
        <v>0</v>
      </c>
    </row>
    <row r="326" spans="1:35" x14ac:dyDescent="0.2">
      <c r="A326" s="335">
        <v>23578.5</v>
      </c>
      <c r="B326" s="352">
        <f t="shared" si="151"/>
        <v>23.578499999999998</v>
      </c>
      <c r="C326" s="325">
        <f t="shared" si="126"/>
        <v>29.924113487330477</v>
      </c>
      <c r="D326" s="326">
        <f t="shared" si="127"/>
        <v>1.5373722382368968</v>
      </c>
      <c r="E326" s="326">
        <f t="shared" si="128"/>
        <v>1.0004388607999888</v>
      </c>
      <c r="F326" s="327">
        <f t="shared" si="129"/>
        <v>2.9620950729855353E-2</v>
      </c>
      <c r="G326" s="326">
        <f t="shared" si="130"/>
        <v>1</v>
      </c>
      <c r="H326" s="327">
        <f t="shared" si="131"/>
        <v>0</v>
      </c>
      <c r="I326" s="325">
        <f t="shared" si="132"/>
        <v>31294.937702284467</v>
      </c>
      <c r="J326" s="328">
        <f t="shared" si="133"/>
        <v>1.5707643727450218</v>
      </c>
      <c r="K326" s="336">
        <f t="shared" si="153"/>
        <v>6.1441441016113236</v>
      </c>
      <c r="L326" s="337">
        <f t="shared" si="154"/>
        <v>1.4073124618177733</v>
      </c>
      <c r="M326" s="325">
        <f t="shared" si="134"/>
        <v>1.010431341238446</v>
      </c>
      <c r="N326" s="337">
        <f t="shared" si="135"/>
        <v>0.14381560230111023</v>
      </c>
      <c r="O326" s="343">
        <f t="shared" si="136"/>
        <v>1.0093426759059849</v>
      </c>
      <c r="P326" s="691">
        <f t="shared" si="137"/>
        <v>0.13616543710976478</v>
      </c>
      <c r="Q326" s="336">
        <f t="shared" si="152"/>
        <v>15.154303411719351</v>
      </c>
      <c r="R326" s="692">
        <f t="shared" si="138"/>
        <v>6.3865978216814279E-2</v>
      </c>
      <c r="S326" s="329">
        <f t="shared" si="139"/>
        <v>0.99844943585467316</v>
      </c>
      <c r="T326" s="330">
        <f t="shared" si="140"/>
        <v>0.18850104023871506</v>
      </c>
      <c r="U326" s="331">
        <f t="shared" si="141"/>
        <v>4.5042036027661227</v>
      </c>
      <c r="V326" s="332">
        <f t="shared" si="142"/>
        <v>-110.65077732932994</v>
      </c>
      <c r="W326" s="334">
        <f t="shared" si="143"/>
        <v>69.349222670670059</v>
      </c>
      <c r="Y326" s="307">
        <f t="shared" si="144"/>
        <v>1000000000</v>
      </c>
      <c r="Z326" s="307">
        <f t="shared" si="145"/>
        <v>555945662.25</v>
      </c>
      <c r="AB326" s="333">
        <f t="shared" si="146"/>
        <v>23.476834259495405</v>
      </c>
      <c r="AC326" s="334">
        <f t="shared" si="147"/>
        <v>-17.605131709581936</v>
      </c>
      <c r="AE326" s="333">
        <f t="shared" si="148"/>
        <v>38.536716274476824</v>
      </c>
      <c r="AF326" s="334">
        <f t="shared" si="149"/>
        <v>-97.188099480127107</v>
      </c>
      <c r="AH326">
        <f t="shared" si="150"/>
        <v>0</v>
      </c>
      <c r="AI326">
        <f t="shared" si="155"/>
        <v>0</v>
      </c>
    </row>
    <row r="327" spans="1:35" x14ac:dyDescent="0.2">
      <c r="A327" s="335">
        <v>23715</v>
      </c>
      <c r="B327" s="352">
        <f t="shared" si="151"/>
        <v>23.715</v>
      </c>
      <c r="C327" s="325">
        <f t="shared" si="126"/>
        <v>30.097156431774359</v>
      </c>
      <c r="D327" s="326">
        <f t="shared" si="127"/>
        <v>1.5375644802829203</v>
      </c>
      <c r="E327" s="326">
        <f t="shared" si="128"/>
        <v>1.0004439556591065</v>
      </c>
      <c r="F327" s="327">
        <f t="shared" si="129"/>
        <v>2.979233035923675E-2</v>
      </c>
      <c r="G327" s="326">
        <f t="shared" si="130"/>
        <v>1</v>
      </c>
      <c r="H327" s="327">
        <f t="shared" si="131"/>
        <v>0</v>
      </c>
      <c r="I327" s="325">
        <f t="shared" si="132"/>
        <v>31476.109489803293</v>
      </c>
      <c r="J327" s="328">
        <f t="shared" si="133"/>
        <v>1.5707645566677628</v>
      </c>
      <c r="K327" s="336">
        <f t="shared" si="153"/>
        <v>6.1787740249165157</v>
      </c>
      <c r="L327" s="337">
        <f t="shared" si="154"/>
        <v>1.4082369141046627</v>
      </c>
      <c r="M327" s="325">
        <f t="shared" si="134"/>
        <v>1.0105518360817092</v>
      </c>
      <c r="N327" s="337">
        <f t="shared" si="135"/>
        <v>0.14463664514923039</v>
      </c>
      <c r="O327" s="343">
        <f t="shared" si="136"/>
        <v>1.0094506538842385</v>
      </c>
      <c r="P327" s="691">
        <f t="shared" si="137"/>
        <v>0.13694393141220856</v>
      </c>
      <c r="Q327" s="336">
        <f t="shared" si="152"/>
        <v>15.154651530551451</v>
      </c>
      <c r="R327" s="692">
        <f t="shared" si="138"/>
        <v>6.4234739670179106E-2</v>
      </c>
      <c r="S327" s="329">
        <f t="shared" si="139"/>
        <v>0.99843359366640316</v>
      </c>
      <c r="T327" s="330">
        <f t="shared" si="140"/>
        <v>0.18960857845069115</v>
      </c>
      <c r="U327" s="331">
        <f t="shared" si="141"/>
        <v>4.452675361432572</v>
      </c>
      <c r="V327" s="332">
        <f t="shared" si="142"/>
        <v>-110.6860395736034</v>
      </c>
      <c r="W327" s="334">
        <f t="shared" si="143"/>
        <v>69.313960426396605</v>
      </c>
      <c r="Y327" s="307">
        <f t="shared" si="144"/>
        <v>1000000000</v>
      </c>
      <c r="Z327" s="307">
        <f t="shared" si="145"/>
        <v>562401225</v>
      </c>
      <c r="AB327" s="333">
        <f t="shared" si="146"/>
        <v>23.474477787019023</v>
      </c>
      <c r="AC327" s="334">
        <f t="shared" si="147"/>
        <v>-17.599217323168713</v>
      </c>
      <c r="AE327" s="333">
        <f t="shared" si="148"/>
        <v>38.486814878389602</v>
      </c>
      <c r="AF327" s="334">
        <f t="shared" si="149"/>
        <v>-97.252752073820716</v>
      </c>
      <c r="AH327">
        <f t="shared" si="150"/>
        <v>0</v>
      </c>
      <c r="AI327">
        <f t="shared" si="155"/>
        <v>0</v>
      </c>
    </row>
    <row r="328" spans="1:35" x14ac:dyDescent="0.2">
      <c r="A328" s="335">
        <v>23851.5</v>
      </c>
      <c r="B328" s="352">
        <f t="shared" si="151"/>
        <v>23.851500000000001</v>
      </c>
      <c r="C328" s="325">
        <f t="shared" si="126"/>
        <v>30.270200475801776</v>
      </c>
      <c r="D328" s="326">
        <f t="shared" si="127"/>
        <v>1.5377545243761546</v>
      </c>
      <c r="E328" s="326">
        <f t="shared" si="128"/>
        <v>1.0004490799019414</v>
      </c>
      <c r="F328" s="327">
        <f t="shared" si="129"/>
        <v>2.9963708238058363E-2</v>
      </c>
      <c r="G328" s="326">
        <f t="shared" si="130"/>
        <v>1</v>
      </c>
      <c r="H328" s="327">
        <f t="shared" si="131"/>
        <v>0</v>
      </c>
      <c r="I328" s="325">
        <f t="shared" si="132"/>
        <v>31657.281277323171</v>
      </c>
      <c r="J328" s="328">
        <f t="shared" si="133"/>
        <v>1.5707647384853571</v>
      </c>
      <c r="K328" s="336">
        <f t="shared" si="153"/>
        <v>6.213409169813354</v>
      </c>
      <c r="L328" s="337">
        <f t="shared" si="154"/>
        <v>1.4091510608947002</v>
      </c>
      <c r="M328" s="325">
        <f t="shared" si="134"/>
        <v>1.0106730119867411</v>
      </c>
      <c r="N328" s="337">
        <f t="shared" si="135"/>
        <v>0.14545749167066357</v>
      </c>
      <c r="O328" s="343">
        <f t="shared" si="136"/>
        <v>1.0095592435123883</v>
      </c>
      <c r="P328" s="691">
        <f t="shared" si="137"/>
        <v>0.137722258714367</v>
      </c>
      <c r="Q328" s="336">
        <f t="shared" si="152"/>
        <v>15.155001650827973</v>
      </c>
      <c r="R328" s="692">
        <f t="shared" si="138"/>
        <v>6.4603484385083343E-2</v>
      </c>
      <c r="S328" s="329">
        <f t="shared" si="139"/>
        <v>0.99841771018554371</v>
      </c>
      <c r="T328" s="330">
        <f t="shared" si="140"/>
        <v>0.19071639526555428</v>
      </c>
      <c r="U328" s="331">
        <f t="shared" si="141"/>
        <v>4.4014550604541842</v>
      </c>
      <c r="V328" s="332">
        <f t="shared" si="142"/>
        <v>-110.72177964906548</v>
      </c>
      <c r="W328" s="334">
        <f t="shared" si="143"/>
        <v>69.278220350934518</v>
      </c>
      <c r="Y328" s="307">
        <f t="shared" si="144"/>
        <v>1000000000</v>
      </c>
      <c r="Z328" s="307">
        <f t="shared" si="145"/>
        <v>568894052.25</v>
      </c>
      <c r="AB328" s="333">
        <f t="shared" si="146"/>
        <v>23.472137803745849</v>
      </c>
      <c r="AC328" s="334">
        <f t="shared" si="147"/>
        <v>-17.593882028924934</v>
      </c>
      <c r="AE328" s="333">
        <f t="shared" si="148"/>
        <v>38.437200912935829</v>
      </c>
      <c r="AF328" s="334">
        <f t="shared" si="149"/>
        <v>-97.317294797165076</v>
      </c>
      <c r="AH328">
        <f t="shared" si="150"/>
        <v>0</v>
      </c>
      <c r="AI328">
        <f t="shared" si="155"/>
        <v>0</v>
      </c>
    </row>
    <row r="329" spans="1:35" x14ac:dyDescent="0.2">
      <c r="A329" s="335">
        <v>23988</v>
      </c>
      <c r="B329" s="352">
        <f t="shared" si="151"/>
        <v>23.988</v>
      </c>
      <c r="C329" s="325">
        <f t="shared" si="126"/>
        <v>30.443245600662127</v>
      </c>
      <c r="D329" s="326">
        <f t="shared" si="127"/>
        <v>1.5379424079834827</v>
      </c>
      <c r="E329" s="326">
        <f t="shared" si="128"/>
        <v>1.000454233528042</v>
      </c>
      <c r="F329" s="327">
        <f t="shared" si="129"/>
        <v>3.0135084356280307E-2</v>
      </c>
      <c r="G329" s="326">
        <f t="shared" si="130"/>
        <v>1</v>
      </c>
      <c r="H329" s="327">
        <f t="shared" si="131"/>
        <v>0</v>
      </c>
      <c r="I329" s="325">
        <f t="shared" si="132"/>
        <v>31838.453064844089</v>
      </c>
      <c r="J329" s="328">
        <f t="shared" si="133"/>
        <v>1.5707649182337418</v>
      </c>
      <c r="K329" s="336">
        <f t="shared" si="153"/>
        <v>6.2480494494664578</v>
      </c>
      <c r="L329" s="337">
        <f t="shared" si="154"/>
        <v>1.4100550720536353</v>
      </c>
      <c r="M329" s="325">
        <f t="shared" si="134"/>
        <v>1.010794868708601</v>
      </c>
      <c r="N329" s="337">
        <f t="shared" si="135"/>
        <v>0.14627814083006282</v>
      </c>
      <c r="O329" s="343">
        <f t="shared" si="136"/>
        <v>1.0096684445930866</v>
      </c>
      <c r="P329" s="691">
        <f t="shared" si="137"/>
        <v>0.13850041812726438</v>
      </c>
      <c r="Q329" s="336">
        <f t="shared" si="152"/>
        <v>15.155353772410326</v>
      </c>
      <c r="R329" s="692">
        <f t="shared" si="138"/>
        <v>6.4972212266738258E-2</v>
      </c>
      <c r="S329" s="329">
        <f t="shared" si="139"/>
        <v>0.99840178628058551</v>
      </c>
      <c r="T329" s="330">
        <f t="shared" si="140"/>
        <v>0.19182449219222061</v>
      </c>
      <c r="U329" s="331">
        <f t="shared" si="141"/>
        <v>4.3505389369863243</v>
      </c>
      <c r="V329" s="332">
        <f t="shared" si="142"/>
        <v>-110.75799004509129</v>
      </c>
      <c r="W329" s="334">
        <f t="shared" si="143"/>
        <v>69.24200995490871</v>
      </c>
      <c r="Y329" s="307">
        <f t="shared" si="144"/>
        <v>1000000000</v>
      </c>
      <c r="Z329" s="307">
        <f t="shared" si="145"/>
        <v>575424144</v>
      </c>
      <c r="AB329" s="333">
        <f t="shared" si="146"/>
        <v>23.469813820352364</v>
      </c>
      <c r="AC329" s="334">
        <f t="shared" si="147"/>
        <v>-17.589116036998131</v>
      </c>
      <c r="AE329" s="333">
        <f t="shared" si="148"/>
        <v>38.387871107810085</v>
      </c>
      <c r="AF329" s="334">
        <f t="shared" si="149"/>
        <v>-97.381729883884248</v>
      </c>
      <c r="AH329">
        <f t="shared" si="150"/>
        <v>0</v>
      </c>
      <c r="AI329">
        <f t="shared" si="155"/>
        <v>0</v>
      </c>
    </row>
    <row r="330" spans="1:35" x14ac:dyDescent="0.2">
      <c r="A330" s="335">
        <v>24127.75</v>
      </c>
      <c r="B330" s="352">
        <f t="shared" si="151"/>
        <v>24.127749999999999</v>
      </c>
      <c r="C330" s="325">
        <f t="shared" si="126"/>
        <v>30.620411948148796</v>
      </c>
      <c r="D330" s="326">
        <f t="shared" si="127"/>
        <v>1.5381325649861806</v>
      </c>
      <c r="E330" s="326">
        <f t="shared" si="128"/>
        <v>1.000459540300048</v>
      </c>
      <c r="F330" s="327">
        <f t="shared" si="129"/>
        <v>3.0310539023808973E-2</v>
      </c>
      <c r="G330" s="326">
        <f t="shared" si="130"/>
        <v>1</v>
      </c>
      <c r="H330" s="327">
        <f t="shared" si="131"/>
        <v>0</v>
      </c>
      <c r="I330" s="325">
        <f t="shared" si="132"/>
        <v>32023.938466354648</v>
      </c>
      <c r="J330" s="328">
        <f t="shared" si="133"/>
        <v>1.5707651001548251</v>
      </c>
      <c r="K330" s="336">
        <f t="shared" si="153"/>
        <v>6.2835197286014015</v>
      </c>
      <c r="L330" s="337">
        <f t="shared" si="154"/>
        <v>1.4109702803093187</v>
      </c>
      <c r="M330" s="325">
        <f t="shared" si="134"/>
        <v>1.0109203318485784</v>
      </c>
      <c r="N330" s="337">
        <f t="shared" si="135"/>
        <v>0.14711812370905245</v>
      </c>
      <c r="O330" s="343">
        <f t="shared" si="136"/>
        <v>1.0097808789558167</v>
      </c>
      <c r="P330" s="691">
        <f t="shared" si="137"/>
        <v>0.13929693028530801</v>
      </c>
      <c r="Q330" s="336">
        <f t="shared" si="152"/>
        <v>15.155716351042644</v>
      </c>
      <c r="R330" s="692">
        <f t="shared" si="138"/>
        <v>6.5349701845510089E-2</v>
      </c>
      <c r="S330" s="329">
        <f t="shared" si="139"/>
        <v>0.99838544226795389</v>
      </c>
      <c r="T330" s="330">
        <f t="shared" si="140"/>
        <v>0.19295926414806622</v>
      </c>
      <c r="U330" s="331">
        <f t="shared" si="141"/>
        <v>4.2987217951302314</v>
      </c>
      <c r="V330" s="332">
        <f t="shared" si="142"/>
        <v>-110.79554217206859</v>
      </c>
      <c r="W330" s="334">
        <f t="shared" si="143"/>
        <v>69.204457827931407</v>
      </c>
      <c r="Y330" s="307">
        <f t="shared" si="144"/>
        <v>1000000000</v>
      </c>
      <c r="Z330" s="307">
        <f t="shared" si="145"/>
        <v>582148320.0625</v>
      </c>
      <c r="AB330" s="333">
        <f t="shared" si="146"/>
        <v>23.467450583170905</v>
      </c>
      <c r="AC330" s="334">
        <f t="shared" si="147"/>
        <v>-17.584816363706661</v>
      </c>
      <c r="AE330" s="333">
        <f t="shared" si="148"/>
        <v>38.337657816088544</v>
      </c>
      <c r="AF330" s="334">
        <f t="shared" si="149"/>
        <v>-97.447589909493445</v>
      </c>
      <c r="AH330">
        <f t="shared" si="150"/>
        <v>0</v>
      </c>
      <c r="AI330">
        <f t="shared" si="155"/>
        <v>0</v>
      </c>
    </row>
    <row r="331" spans="1:35" x14ac:dyDescent="0.2">
      <c r="A331" s="335">
        <v>24267.5</v>
      </c>
      <c r="B331" s="352">
        <f t="shared" si="151"/>
        <v>24.267499999999998</v>
      </c>
      <c r="C331" s="325">
        <f t="shared" si="126"/>
        <v>30.797579390121058</v>
      </c>
      <c r="D331" s="326">
        <f t="shared" si="127"/>
        <v>1.5383205341853727</v>
      </c>
      <c r="E331" s="326">
        <f t="shared" si="128"/>
        <v>1.0004648778702137</v>
      </c>
      <c r="F331" s="327">
        <f t="shared" si="129"/>
        <v>3.0485991824605901E-2</v>
      </c>
      <c r="G331" s="326">
        <f t="shared" si="130"/>
        <v>1</v>
      </c>
      <c r="H331" s="327">
        <f t="shared" si="131"/>
        <v>0</v>
      </c>
      <c r="I331" s="325">
        <f t="shared" si="132"/>
        <v>32209.423867866255</v>
      </c>
      <c r="J331" s="328">
        <f t="shared" si="133"/>
        <v>1.5707652799806393</v>
      </c>
      <c r="K331" s="336">
        <f t="shared" si="153"/>
        <v>6.3189952117619113</v>
      </c>
      <c r="L331" s="337">
        <f t="shared" si="154"/>
        <v>1.4118752131710497</v>
      </c>
      <c r="M331" s="325">
        <f t="shared" si="134"/>
        <v>1.011046508087547</v>
      </c>
      <c r="N331" s="337">
        <f t="shared" si="135"/>
        <v>0.14795789752464289</v>
      </c>
      <c r="O331" s="343">
        <f t="shared" si="136"/>
        <v>1.0098939538125786</v>
      </c>
      <c r="P331" s="691">
        <f t="shared" si="137"/>
        <v>0.14009326458222832</v>
      </c>
      <c r="Q331" s="336">
        <f t="shared" si="152"/>
        <v>15.156081027119098</v>
      </c>
      <c r="R331" s="692">
        <f t="shared" si="138"/>
        <v>6.5727173578913958E-2</v>
      </c>
      <c r="S331" s="329">
        <f t="shared" si="139"/>
        <v>0.99836905774191065</v>
      </c>
      <c r="T331" s="330">
        <f t="shared" si="140"/>
        <v>0.19409433290851721</v>
      </c>
      <c r="U331" s="331">
        <f t="shared" si="141"/>
        <v>4.2472157248175124</v>
      </c>
      <c r="V331" s="332">
        <f t="shared" si="142"/>
        <v>-110.83357186617953</v>
      </c>
      <c r="W331" s="334">
        <f t="shared" si="143"/>
        <v>69.166428133820474</v>
      </c>
      <c r="Y331" s="307">
        <f t="shared" si="144"/>
        <v>1000000000</v>
      </c>
      <c r="Z331" s="307">
        <f t="shared" si="145"/>
        <v>588911556.25</v>
      </c>
      <c r="AB331" s="333">
        <f t="shared" si="146"/>
        <v>23.465103121974337</v>
      </c>
      <c r="AC331" s="334">
        <f t="shared" si="147"/>
        <v>-17.581093328621662</v>
      </c>
      <c r="AE331" s="333">
        <f t="shared" si="148"/>
        <v>38.287735615918109</v>
      </c>
      <c r="AF331" s="334">
        <f t="shared" si="149"/>
        <v>-97.51334169580231</v>
      </c>
      <c r="AH331">
        <f t="shared" si="150"/>
        <v>0</v>
      </c>
      <c r="AI331">
        <f t="shared" si="155"/>
        <v>0</v>
      </c>
    </row>
    <row r="332" spans="1:35" x14ac:dyDescent="0.2">
      <c r="A332" s="335">
        <v>24407.25</v>
      </c>
      <c r="B332" s="352">
        <f t="shared" si="151"/>
        <v>24.407250000000001</v>
      </c>
      <c r="C332" s="325">
        <f t="shared" si="126"/>
        <v>30.974747907798406</v>
      </c>
      <c r="D332" s="326">
        <f t="shared" si="127"/>
        <v>1.5385063531088776</v>
      </c>
      <c r="E332" s="326">
        <f t="shared" si="128"/>
        <v>1.0004702462380461</v>
      </c>
      <c r="F332" s="327">
        <f t="shared" si="129"/>
        <v>3.0661442747898896E-2</v>
      </c>
      <c r="G332" s="326">
        <f t="shared" si="130"/>
        <v>1</v>
      </c>
      <c r="H332" s="327">
        <f t="shared" si="131"/>
        <v>0</v>
      </c>
      <c r="I332" s="325">
        <f t="shared" si="132"/>
        <v>32394.909269378895</v>
      </c>
      <c r="J332" s="328">
        <f t="shared" si="133"/>
        <v>1.5707654577471755</v>
      </c>
      <c r="K332" s="336">
        <f t="shared" si="153"/>
        <v>6.354475811789583</v>
      </c>
      <c r="L332" s="337">
        <f t="shared" si="154"/>
        <v>1.4127700412640234</v>
      </c>
      <c r="M332" s="325">
        <f t="shared" si="134"/>
        <v>1.011173397158561</v>
      </c>
      <c r="N332" s="337">
        <f t="shared" si="135"/>
        <v>0.14879746117086826</v>
      </c>
      <c r="O332" s="343">
        <f t="shared" si="136"/>
        <v>1.010007668948254</v>
      </c>
      <c r="P332" s="691">
        <f t="shared" si="137"/>
        <v>0.14088942006794461</v>
      </c>
      <c r="Q332" s="336">
        <f t="shared" si="152"/>
        <v>15.156447800488426</v>
      </c>
      <c r="R332" s="692">
        <f t="shared" si="138"/>
        <v>6.6104627365314986E-2</v>
      </c>
      <c r="S332" s="329">
        <f t="shared" si="139"/>
        <v>0.99835263365091231</v>
      </c>
      <c r="T332" s="330">
        <f t="shared" si="140"/>
        <v>0.19522970008719248</v>
      </c>
      <c r="U332" s="331">
        <f t="shared" si="141"/>
        <v>4.196016906668846</v>
      </c>
      <c r="V332" s="332">
        <f t="shared" si="142"/>
        <v>-110.87207158188414</v>
      </c>
      <c r="W332" s="334">
        <f t="shared" si="143"/>
        <v>69.127928418115857</v>
      </c>
      <c r="Y332" s="307">
        <f t="shared" si="144"/>
        <v>1000000000</v>
      </c>
      <c r="Z332" s="307">
        <f t="shared" si="145"/>
        <v>595713852.5625</v>
      </c>
      <c r="AB332" s="333">
        <f t="shared" si="146"/>
        <v>23.462770954464894</v>
      </c>
      <c r="AC332" s="334">
        <f t="shared" si="147"/>
        <v>-17.577937094334509</v>
      </c>
      <c r="AE332" s="333">
        <f t="shared" si="148"/>
        <v>38.238101173720175</v>
      </c>
      <c r="AF332" s="334">
        <f t="shared" si="149"/>
        <v>-97.578987486067234</v>
      </c>
      <c r="AH332">
        <f t="shared" si="150"/>
        <v>0</v>
      </c>
      <c r="AI332">
        <f t="shared" si="155"/>
        <v>0</v>
      </c>
    </row>
    <row r="333" spans="1:35" x14ac:dyDescent="0.2">
      <c r="A333" s="335">
        <v>24547</v>
      </c>
      <c r="B333" s="352">
        <f t="shared" si="151"/>
        <v>24.547000000000001</v>
      </c>
      <c r="C333" s="325">
        <f t="shared" ref="C333:C396" si="156">SQRT(1+(A333/pole1)^2)</f>
        <v>31.15191748282745</v>
      </c>
      <c r="D333" s="326">
        <f t="shared" ref="D333:D396" si="157">ATAN(A333/pole1)</f>
        <v>1.5386900584313907</v>
      </c>
      <c r="E333" s="326">
        <f t="shared" ref="E333:E396" si="158">SQRT(1+(A333/Zero1)^2)</f>
        <v>1.0004756454030497</v>
      </c>
      <c r="F333" s="327">
        <f t="shared" ref="F333:F396" si="159">ATAN(A333/Zero1)</f>
        <v>3.0836891782916442E-2</v>
      </c>
      <c r="G333" s="326">
        <f t="shared" ref="G333:G396" si="160">IF(VIN_nom&gt;Vout, 1, SQRT(1+(A333/z_RHP)^2))</f>
        <v>1</v>
      </c>
      <c r="H333" s="327">
        <f t="shared" ref="H333:H396" si="161">IF(VIN_nom&gt;Vout, 0, -ATAN(A333/z_RHP))</f>
        <v>0</v>
      </c>
      <c r="I333" s="325">
        <f t="shared" ref="I333:I396" si="162">SQRT(1+(A333/Pole2)^2)</f>
        <v>32580.394670892543</v>
      </c>
      <c r="J333" s="328">
        <f t="shared" ref="J333:J396" si="163">ATAN(A333/Pole2)</f>
        <v>1.570765633489605</v>
      </c>
      <c r="K333" s="336">
        <f t="shared" si="153"/>
        <v>6.3899614434493888</v>
      </c>
      <c r="L333" s="337">
        <f t="shared" si="154"/>
        <v>1.4136549314888274</v>
      </c>
      <c r="M333" s="325">
        <f t="shared" ref="M333:M396" si="164">SQRT(1+(A333/pole4)^2)</f>
        <v>1.0113009987933013</v>
      </c>
      <c r="N333" s="337">
        <f t="shared" ref="N333:N396" si="165">ATAN(A333/pole4)</f>
        <v>0.14963681354350114</v>
      </c>
      <c r="O333" s="343">
        <f t="shared" ref="O333:O396" si="166">IF(VOUT_setting=1,1,SQRT(1+(A333*zterm1)^2))</f>
        <v>1.0101220241466031</v>
      </c>
      <c r="P333" s="691">
        <f t="shared" ref="P333:P396" si="167">IF(VOUT_setting=1,0,ATAN(((A333*zterm1))))</f>
        <v>0.14168539579370953</v>
      </c>
      <c r="Q333" s="336">
        <f t="shared" si="152"/>
        <v>15.156816670998504</v>
      </c>
      <c r="R333" s="692">
        <f t="shared" ref="R333:R396" si="168">IF(VOUT_setting=1,0,ATAN(A333*$Q$4/(1+Afbr-$Q$5*(A333)^2)))</f>
        <v>6.6482063103108002E-2</v>
      </c>
      <c r="S333" s="329">
        <f t="shared" ref="S333:S396" si="169">SQRT((1-(Z333/pterm2))^2+(A333/pterm1)^2)</f>
        <v>0.99833617094896188</v>
      </c>
      <c r="T333" s="330">
        <f t="shared" ref="T333:T396" si="170">IF((ATAN((A333/pterm1)/(1-A333^2/pterm2))&gt;0),ATAN((A333/pterm1)/(1-A333^2/pterm2)),PI()+ATAN((A333/pterm1)/(1-A333^2/pterm2)))</f>
        <v>0.1963653672957725</v>
      </c>
      <c r="U333" s="331">
        <f t="shared" ref="U333:U396" si="171">20*LOG10(((E333*K333*G333*O333)/(C333*I333*S333*M333*Q333))*Adc)</f>
        <v>4.1451215914599455</v>
      </c>
      <c r="V333" s="332">
        <f t="shared" ref="V333:V396" si="172">((F333+L333+H333+P333)-(D333+J333+T333+N333+R333))*radconv</f>
        <v>-110.9110339380334</v>
      </c>
      <c r="W333" s="334">
        <f t="shared" ref="W333:W396" si="173">IF(V333&gt;0,V333,V333+180)</f>
        <v>69.088966061966602</v>
      </c>
      <c r="Y333" s="307">
        <f t="shared" ref="Y333:Y396" si="174">IF(U333&lt;0,A333,1000000000)</f>
        <v>1000000000</v>
      </c>
      <c r="Z333" s="307">
        <f t="shared" ref="Z333:Z396" si="175">A333^2</f>
        <v>602555209</v>
      </c>
      <c r="AB333" s="333">
        <f t="shared" ref="AB333:AB396" si="176">20*LOG10((K333/(I333*M333))*AEA)</f>
        <v>23.460453611847075</v>
      </c>
      <c r="AC333" s="334">
        <f t="shared" ref="AC333:AC396" si="177">(L333-(J333+N333))*radconv</f>
        <v>-17.575338036893534</v>
      </c>
      <c r="AE333" s="333">
        <f t="shared" ref="AE333:AE396" si="178">20*LOG10((E333*G333/(C333*S333))*Acs*Am)</f>
        <v>38.188751212586439</v>
      </c>
      <c r="AF333" s="334">
        <f t="shared" ref="AF333:AF396" si="179">(F333+H333-(D333+T333))*radconv</f>
        <v>-97.64452947455311</v>
      </c>
      <c r="AH333">
        <f t="shared" ref="AH333:AH396" si="180">SUM((U334&lt;0)*(U333&gt;0))*A333</f>
        <v>0</v>
      </c>
      <c r="AI333">
        <f t="shared" si="155"/>
        <v>0</v>
      </c>
    </row>
    <row r="334" spans="1:35" x14ac:dyDescent="0.2">
      <c r="A334" s="335">
        <v>24690</v>
      </c>
      <c r="B334" s="352">
        <f t="shared" ref="B334:B397" si="181">A334/1000</f>
        <v>24.69</v>
      </c>
      <c r="C334" s="325">
        <f t="shared" si="156"/>
        <v>31.333208356343135</v>
      </c>
      <c r="D334" s="326">
        <f t="shared" si="157"/>
        <v>1.5388758854564171</v>
      </c>
      <c r="E334" s="326">
        <f t="shared" si="158"/>
        <v>1.0004812020093288</v>
      </c>
      <c r="F334" s="327">
        <f t="shared" si="159"/>
        <v>3.1016419062158657E-2</v>
      </c>
      <c r="G334" s="326">
        <f t="shared" si="160"/>
        <v>1</v>
      </c>
      <c r="H334" s="327">
        <f t="shared" si="161"/>
        <v>0</v>
      </c>
      <c r="I334" s="325">
        <f t="shared" si="162"/>
        <v>32770.193686395913</v>
      </c>
      <c r="J334" s="328">
        <f t="shared" si="163"/>
        <v>1.5707658112596599</v>
      </c>
      <c r="K334" s="336">
        <f t="shared" si="153"/>
        <v>6.4262774439193864</v>
      </c>
      <c r="L334" s="337">
        <f t="shared" si="154"/>
        <v>1.4145502836354131</v>
      </c>
      <c r="M334" s="325">
        <f t="shared" si="164"/>
        <v>1.0114323052398644</v>
      </c>
      <c r="N334" s="337">
        <f t="shared" si="165"/>
        <v>0.15049546588794632</v>
      </c>
      <c r="O334" s="343">
        <f t="shared" si="166"/>
        <v>1.0102397011049447</v>
      </c>
      <c r="P334" s="691">
        <f t="shared" si="167"/>
        <v>0.14249969551529956</v>
      </c>
      <c r="Q334" s="336">
        <f t="shared" si="152"/>
        <v>15.157196290596872</v>
      </c>
      <c r="R334" s="692">
        <f t="shared" si="168"/>
        <v>6.6868257627146183E-2</v>
      </c>
      <c r="S334" s="329">
        <f t="shared" si="169"/>
        <v>0.99831928642620815</v>
      </c>
      <c r="T334" s="330">
        <f t="shared" si="170"/>
        <v>0.19752775762608762</v>
      </c>
      <c r="U334" s="331">
        <f t="shared" si="171"/>
        <v>4.0933529972743852</v>
      </c>
      <c r="V334" s="332">
        <f t="shared" si="172"/>
        <v>-110.95137376769371</v>
      </c>
      <c r="W334" s="334">
        <f t="shared" si="173"/>
        <v>69.04862623230629</v>
      </c>
      <c r="Y334" s="307">
        <f t="shared" si="174"/>
        <v>1000000000</v>
      </c>
      <c r="Z334" s="307">
        <f t="shared" si="175"/>
        <v>609596100</v>
      </c>
      <c r="AB334" s="333">
        <f t="shared" si="176"/>
        <v>23.458097248250457</v>
      </c>
      <c r="AC334" s="334">
        <f t="shared" si="177"/>
        <v>-17.573245478593392</v>
      </c>
      <c r="AE334" s="333">
        <f t="shared" si="178"/>
        <v>38.138544699398395</v>
      </c>
      <c r="AF334" s="334">
        <f t="shared" si="179"/>
        <v>-97.711490483548928</v>
      </c>
      <c r="AH334">
        <f t="shared" si="180"/>
        <v>0</v>
      </c>
      <c r="AI334">
        <f t="shared" si="155"/>
        <v>0</v>
      </c>
    </row>
    <row r="335" spans="1:35" x14ac:dyDescent="0.2">
      <c r="A335" s="335">
        <v>24833</v>
      </c>
      <c r="B335" s="352">
        <f t="shared" si="181"/>
        <v>24.832999999999998</v>
      </c>
      <c r="C335" s="325">
        <f t="shared" si="156"/>
        <v>31.514500299398701</v>
      </c>
      <c r="D335" s="326">
        <f t="shared" si="157"/>
        <v>1.5390595744914308</v>
      </c>
      <c r="E335" s="326">
        <f t="shared" si="158"/>
        <v>1.0004867908608024</v>
      </c>
      <c r="F335" s="327">
        <f t="shared" si="159"/>
        <v>3.1195944341460696E-2</v>
      </c>
      <c r="G335" s="326">
        <f t="shared" si="160"/>
        <v>1</v>
      </c>
      <c r="H335" s="327">
        <f t="shared" si="161"/>
        <v>0</v>
      </c>
      <c r="I335" s="325">
        <f t="shared" si="162"/>
        <v>32959.992701900301</v>
      </c>
      <c r="J335" s="328">
        <f t="shared" si="163"/>
        <v>1.5707659869823487</v>
      </c>
      <c r="K335" s="336">
        <f t="shared" si="153"/>
        <v>6.4625985381488329</v>
      </c>
      <c r="L335" s="337">
        <f t="shared" si="154"/>
        <v>1.4154355723693697</v>
      </c>
      <c r="M335" s="325">
        <f t="shared" si="164"/>
        <v>1.0115643572052144</v>
      </c>
      <c r="N335" s="337">
        <f t="shared" si="165"/>
        <v>0.15135389468420915</v>
      </c>
      <c r="O335" s="343">
        <f t="shared" si="166"/>
        <v>1.0103580477808047</v>
      </c>
      <c r="P335" s="691">
        <f t="shared" si="167"/>
        <v>0.14331380501321347</v>
      </c>
      <c r="Q335" s="336">
        <f t="shared" ref="Q335:Q398" si="182">IF(VOUT_setting=1,1,SQRT((1+Afbr-$Q$5*(A335)^2)^2+(A335*$Q$4)^2))</f>
        <v>15.157578105686627</v>
      </c>
      <c r="R335" s="692">
        <f t="shared" si="168"/>
        <v>6.7254433038194714E-2</v>
      </c>
      <c r="S335" s="329">
        <f t="shared" si="169"/>
        <v>0.99830236351456481</v>
      </c>
      <c r="T335" s="330">
        <f t="shared" si="170"/>
        <v>0.19869046551144937</v>
      </c>
      <c r="U335" s="331">
        <f t="shared" si="171"/>
        <v>4.0418944616018697</v>
      </c>
      <c r="V335" s="332">
        <f t="shared" si="172"/>
        <v>-110.9921828780208</v>
      </c>
      <c r="W335" s="334">
        <f t="shared" si="173"/>
        <v>69.007817121979201</v>
      </c>
      <c r="Y335" s="307">
        <f t="shared" si="174"/>
        <v>1000000000</v>
      </c>
      <c r="Z335" s="307">
        <f t="shared" si="175"/>
        <v>616677889</v>
      </c>
      <c r="AB335" s="333">
        <f t="shared" si="176"/>
        <v>23.455755455372646</v>
      </c>
      <c r="AC335" s="334">
        <f t="shared" si="177"/>
        <v>-17.571716585692254</v>
      </c>
      <c r="AE335" s="333">
        <f t="shared" si="178"/>
        <v>38.088629287056023</v>
      </c>
      <c r="AF335" s="334">
        <f t="shared" si="179"/>
        <v>-97.778347303892332</v>
      </c>
      <c r="AH335">
        <f t="shared" si="180"/>
        <v>0</v>
      </c>
      <c r="AI335">
        <f t="shared" si="155"/>
        <v>0</v>
      </c>
    </row>
    <row r="336" spans="1:35" x14ac:dyDescent="0.2">
      <c r="A336" s="335">
        <v>24976</v>
      </c>
      <c r="B336" s="352">
        <f t="shared" si="181"/>
        <v>24.975999999999999</v>
      </c>
      <c r="C336" s="325">
        <f t="shared" si="156"/>
        <v>31.695793293641643</v>
      </c>
      <c r="D336" s="326">
        <f t="shared" si="157"/>
        <v>1.5392411622104321</v>
      </c>
      <c r="E336" s="326">
        <f t="shared" si="158"/>
        <v>1.0004924119569301</v>
      </c>
      <c r="F336" s="327">
        <f t="shared" si="159"/>
        <v>3.1375467609284211E-2</v>
      </c>
      <c r="G336" s="326">
        <f t="shared" si="160"/>
        <v>1</v>
      </c>
      <c r="H336" s="327">
        <f t="shared" si="161"/>
        <v>0</v>
      </c>
      <c r="I336" s="325">
        <f t="shared" si="162"/>
        <v>33149.791717405707</v>
      </c>
      <c r="J336" s="328">
        <f t="shared" si="163"/>
        <v>1.5707661606928385</v>
      </c>
      <c r="K336" s="336">
        <f t="shared" si="153"/>
        <v>6.4989246407339456</v>
      </c>
      <c r="L336" s="337">
        <f t="shared" si="154"/>
        <v>1.4163109650412897</v>
      </c>
      <c r="M336" s="325">
        <f t="shared" si="164"/>
        <v>1.0116971543974247</v>
      </c>
      <c r="N336" s="337">
        <f t="shared" si="165"/>
        <v>0.15221209875492209</v>
      </c>
      <c r="O336" s="343">
        <f t="shared" si="166"/>
        <v>1.0104770639388725</v>
      </c>
      <c r="P336" s="691">
        <f t="shared" si="167"/>
        <v>0.14412772327533677</v>
      </c>
      <c r="Q336" s="336">
        <f t="shared" si="182"/>
        <v>15.157962116101999</v>
      </c>
      <c r="R336" s="692">
        <f t="shared" si="168"/>
        <v>6.7640589227491082E-2</v>
      </c>
      <c r="S336" s="329">
        <f t="shared" si="169"/>
        <v>0.99828540325419513</v>
      </c>
      <c r="T336" s="330">
        <f t="shared" si="170"/>
        <v>0.19985349267222011</v>
      </c>
      <c r="U336" s="331">
        <f t="shared" si="171"/>
        <v>3.9907421845364599</v>
      </c>
      <c r="V336" s="332">
        <f t="shared" si="172"/>
        <v>-111.03345386734297</v>
      </c>
      <c r="W336" s="334">
        <f t="shared" si="173"/>
        <v>68.966546132657029</v>
      </c>
      <c r="Y336" s="307">
        <f t="shared" si="174"/>
        <v>1000000000</v>
      </c>
      <c r="Z336" s="307">
        <f t="shared" si="175"/>
        <v>623800576</v>
      </c>
      <c r="AB336" s="333">
        <f t="shared" si="176"/>
        <v>23.453427772009952</v>
      </c>
      <c r="AC336" s="334">
        <f t="shared" si="177"/>
        <v>-17.570741704264151</v>
      </c>
      <c r="AE336" s="333">
        <f t="shared" si="178"/>
        <v>38.039001640685484</v>
      </c>
      <c r="AF336" s="334">
        <f t="shared" si="179"/>
        <v>-97.845102136079362</v>
      </c>
      <c r="AH336">
        <f t="shared" si="180"/>
        <v>0</v>
      </c>
      <c r="AI336">
        <f t="shared" si="155"/>
        <v>0</v>
      </c>
    </row>
    <row r="337" spans="1:35" x14ac:dyDescent="0.2">
      <c r="A337" s="335">
        <v>25119</v>
      </c>
      <c r="B337" s="352">
        <f t="shared" si="181"/>
        <v>25.119</v>
      </c>
      <c r="C337" s="325">
        <f t="shared" si="156"/>
        <v>31.877087321136862</v>
      </c>
      <c r="D337" s="326">
        <f t="shared" si="157"/>
        <v>1.5394206844536806</v>
      </c>
      <c r="E337" s="326">
        <f t="shared" si="158"/>
        <v>1.0004980652971682</v>
      </c>
      <c r="F337" s="327">
        <f t="shared" si="159"/>
        <v>3.1554988854091644E-2</v>
      </c>
      <c r="G337" s="326">
        <f t="shared" si="160"/>
        <v>1</v>
      </c>
      <c r="H337" s="327">
        <f t="shared" si="161"/>
        <v>0</v>
      </c>
      <c r="I337" s="325">
        <f t="shared" si="162"/>
        <v>33339.590732912089</v>
      </c>
      <c r="J337" s="328">
        <f t="shared" si="163"/>
        <v>1.5707663324254948</v>
      </c>
      <c r="K337" s="336">
        <f t="shared" si="153"/>
        <v>6.5352556681581557</v>
      </c>
      <c r="L337" s="337">
        <f t="shared" si="154"/>
        <v>1.4171766253418414</v>
      </c>
      <c r="M337" s="325">
        <f t="shared" si="164"/>
        <v>1.0118306965230741</v>
      </c>
      <c r="N337" s="337">
        <f t="shared" si="165"/>
        <v>0.15307007692465807</v>
      </c>
      <c r="O337" s="343">
        <f t="shared" si="166"/>
        <v>1.0105967493426165</v>
      </c>
      <c r="P337" s="691">
        <f t="shared" si="167"/>
        <v>0.14494144929104386</v>
      </c>
      <c r="Q337" s="336">
        <f t="shared" si="182"/>
        <v>15.158348321676291</v>
      </c>
      <c r="R337" s="692">
        <f t="shared" si="168"/>
        <v>6.8026726086306041E-2</v>
      </c>
      <c r="S337" s="329">
        <f t="shared" si="169"/>
        <v>0.9982684066913472</v>
      </c>
      <c r="T337" s="330">
        <f t="shared" si="170"/>
        <v>0.20101684082657362</v>
      </c>
      <c r="U337" s="331">
        <f t="shared" si="171"/>
        <v>3.9398924357807603</v>
      </c>
      <c r="V337" s="332">
        <f t="shared" si="172"/>
        <v>-111.07517949577341</v>
      </c>
      <c r="W337" s="334">
        <f t="shared" si="173"/>
        <v>68.924820504226588</v>
      </c>
      <c r="Y337" s="307">
        <f t="shared" si="174"/>
        <v>1000000000</v>
      </c>
      <c r="Z337" s="307">
        <f t="shared" si="175"/>
        <v>630964161</v>
      </c>
      <c r="AB337" s="333">
        <f t="shared" si="176"/>
        <v>23.45111374990406</v>
      </c>
      <c r="AC337" s="334">
        <f t="shared" si="177"/>
        <v>-17.570311390146664</v>
      </c>
      <c r="AE337" s="333">
        <f t="shared" si="178"/>
        <v>37.989658482095066</v>
      </c>
      <c r="AF337" s="334">
        <f t="shared" si="179"/>
        <v>-97.911757132710775</v>
      </c>
      <c r="AH337">
        <f t="shared" si="180"/>
        <v>0</v>
      </c>
      <c r="AI337">
        <f t="shared" si="155"/>
        <v>0</v>
      </c>
    </row>
    <row r="338" spans="1:35" x14ac:dyDescent="0.2">
      <c r="A338" s="335">
        <v>25265.25</v>
      </c>
      <c r="B338" s="352">
        <f t="shared" si="181"/>
        <v>25.265250000000002</v>
      </c>
      <c r="C338" s="325">
        <f t="shared" si="156"/>
        <v>32.062502717915791</v>
      </c>
      <c r="D338" s="326">
        <f t="shared" si="157"/>
        <v>1.5396021868279053</v>
      </c>
      <c r="E338" s="326">
        <f t="shared" si="158"/>
        <v>1.0005038804735111</v>
      </c>
      <c r="F338" s="327">
        <f t="shared" si="159"/>
        <v>3.1738588022661676E-2</v>
      </c>
      <c r="G338" s="326">
        <f t="shared" si="160"/>
        <v>1</v>
      </c>
      <c r="H338" s="327">
        <f t="shared" si="161"/>
        <v>0</v>
      </c>
      <c r="I338" s="325">
        <f t="shared" si="162"/>
        <v>33533.703362408269</v>
      </c>
      <c r="J338" s="328">
        <f t="shared" si="163"/>
        <v>1.5707665060503955</v>
      </c>
      <c r="K338" s="336">
        <f t="shared" si="153"/>
        <v>6.5724174096383789</v>
      </c>
      <c r="L338" s="337">
        <f t="shared" si="154"/>
        <v>1.4180520599337203</v>
      </c>
      <c r="M338" s="325">
        <f t="shared" si="164"/>
        <v>1.0119680439109602</v>
      </c>
      <c r="N338" s="337">
        <f t="shared" si="165"/>
        <v>0.15394731971479303</v>
      </c>
      <c r="O338" s="343">
        <f t="shared" si="166"/>
        <v>1.0107198468550997</v>
      </c>
      <c r="P338" s="691">
        <f t="shared" si="167"/>
        <v>0.14577346917822231</v>
      </c>
      <c r="Q338" s="336">
        <f t="shared" si="182"/>
        <v>15.158745575036107</v>
      </c>
      <c r="R338" s="692">
        <f t="shared" si="168"/>
        <v>6.8421618675072862E-2</v>
      </c>
      <c r="S338" s="329">
        <f t="shared" si="169"/>
        <v>0.99825098739030449</v>
      </c>
      <c r="T338" s="330">
        <f t="shared" si="170"/>
        <v>0.20220696251949913</v>
      </c>
      <c r="U338" s="331">
        <f t="shared" si="171"/>
        <v>3.8881961143229566</v>
      </c>
      <c r="V338" s="332">
        <f t="shared" si="172"/>
        <v>-111.11831630926149</v>
      </c>
      <c r="W338" s="334">
        <f t="shared" si="173"/>
        <v>68.881683690738512</v>
      </c>
      <c r="Y338" s="307">
        <f t="shared" si="174"/>
        <v>1000000000</v>
      </c>
      <c r="Z338" s="307">
        <f t="shared" si="175"/>
        <v>638332857.5625</v>
      </c>
      <c r="AB338" s="333">
        <f t="shared" si="176"/>
        <v>23.448760812848064</v>
      </c>
      <c r="AC338" s="334">
        <f t="shared" si="177"/>
        <v>-17.570424940249428</v>
      </c>
      <c r="AE338" s="333">
        <f t="shared" si="178"/>
        <v>37.939484789359014</v>
      </c>
      <c r="AF338" s="334">
        <f t="shared" si="179"/>
        <v>-97.979825945433646</v>
      </c>
      <c r="AH338">
        <f t="shared" si="180"/>
        <v>0</v>
      </c>
      <c r="AI338">
        <f t="shared" si="155"/>
        <v>0</v>
      </c>
    </row>
    <row r="339" spans="1:35" x14ac:dyDescent="0.2">
      <c r="A339" s="335">
        <v>25411.5</v>
      </c>
      <c r="B339" s="352">
        <f t="shared" si="181"/>
        <v>25.4115</v>
      </c>
      <c r="C339" s="325">
        <f t="shared" si="156"/>
        <v>32.247919158787241</v>
      </c>
      <c r="D339" s="326">
        <f t="shared" si="157"/>
        <v>1.5397816020330521</v>
      </c>
      <c r="E339" s="326">
        <f t="shared" si="158"/>
        <v>1.0005097293751011</v>
      </c>
      <c r="F339" s="327">
        <f t="shared" si="159"/>
        <v>3.1922185050807704E-2</v>
      </c>
      <c r="G339" s="326">
        <f t="shared" si="160"/>
        <v>1</v>
      </c>
      <c r="H339" s="327">
        <f t="shared" si="161"/>
        <v>0</v>
      </c>
      <c r="I339" s="325">
        <f t="shared" si="162"/>
        <v>33727.815991905438</v>
      </c>
      <c r="J339" s="328">
        <f t="shared" si="163"/>
        <v>1.5707666776767804</v>
      </c>
      <c r="K339" s="336">
        <f t="shared" si="153"/>
        <v>6.6095841314830865</v>
      </c>
      <c r="L339" s="337">
        <f t="shared" si="154"/>
        <v>1.4189176497724341</v>
      </c>
      <c r="M339" s="325">
        <f t="shared" si="164"/>
        <v>1.0121061698521123</v>
      </c>
      <c r="N339" s="337">
        <f t="shared" si="165"/>
        <v>0.15482432373842214</v>
      </c>
      <c r="O339" s="343">
        <f t="shared" si="166"/>
        <v>1.0108436438748736</v>
      </c>
      <c r="P339" s="691">
        <f t="shared" si="167"/>
        <v>0.14660528584781171</v>
      </c>
      <c r="Q339" s="336">
        <f t="shared" si="182"/>
        <v>15.159145124112978</v>
      </c>
      <c r="R339" s="692">
        <f t="shared" si="168"/>
        <v>6.8816490814782499E-2</v>
      </c>
      <c r="S339" s="329">
        <f t="shared" si="169"/>
        <v>0.99823353235096701</v>
      </c>
      <c r="T339" s="330">
        <f t="shared" si="170"/>
        <v>0.20339742359051494</v>
      </c>
      <c r="U339" s="331">
        <f t="shared" si="171"/>
        <v>3.8368085520582715</v>
      </c>
      <c r="V339" s="332">
        <f t="shared" si="172"/>
        <v>-111.16191384419291</v>
      </c>
      <c r="W339" s="334">
        <f t="shared" si="173"/>
        <v>68.83808615580709</v>
      </c>
      <c r="Y339" s="307">
        <f t="shared" si="174"/>
        <v>1000000000</v>
      </c>
      <c r="Z339" s="307">
        <f t="shared" si="175"/>
        <v>645744332.25</v>
      </c>
      <c r="AB339" s="333">
        <f t="shared" si="176"/>
        <v>23.446421256318281</v>
      </c>
      <c r="AC339" s="334">
        <f t="shared" si="177"/>
        <v>-17.571088758339918</v>
      </c>
      <c r="AE339" s="333">
        <f t="shared" si="178"/>
        <v>37.889601902897645</v>
      </c>
      <c r="AF339" s="334">
        <f t="shared" si="179"/>
        <v>-98.047794739746621</v>
      </c>
      <c r="AH339">
        <f t="shared" si="180"/>
        <v>0</v>
      </c>
      <c r="AI339">
        <f t="shared" si="155"/>
        <v>0</v>
      </c>
    </row>
    <row r="340" spans="1:35" x14ac:dyDescent="0.2">
      <c r="A340" s="335">
        <v>25557.75</v>
      </c>
      <c r="B340" s="352">
        <f t="shared" si="181"/>
        <v>25.557749999999999</v>
      </c>
      <c r="C340" s="325">
        <f t="shared" si="156"/>
        <v>32.43333662584444</v>
      </c>
      <c r="D340" s="326">
        <f t="shared" si="157"/>
        <v>1.5399589658537505</v>
      </c>
      <c r="E340" s="326">
        <f t="shared" si="158"/>
        <v>1.0005156120013468</v>
      </c>
      <c r="F340" s="327">
        <f t="shared" si="159"/>
        <v>3.2105779926190056E-2</v>
      </c>
      <c r="G340" s="326">
        <f t="shared" si="160"/>
        <v>1</v>
      </c>
      <c r="H340" s="327">
        <f t="shared" si="161"/>
        <v>0</v>
      </c>
      <c r="I340" s="325">
        <f t="shared" si="162"/>
        <v>33921.928621403596</v>
      </c>
      <c r="J340" s="328">
        <f t="shared" si="163"/>
        <v>1.570766847338958</v>
      </c>
      <c r="K340" s="336">
        <f t="shared" si="153"/>
        <v>6.6467557501460348</v>
      </c>
      <c r="L340" s="337">
        <f t="shared" si="154"/>
        <v>1.4197735587186358</v>
      </c>
      <c r="M340" s="325">
        <f t="shared" si="164"/>
        <v>1.0122450740278186</v>
      </c>
      <c r="N340" s="337">
        <f t="shared" si="165"/>
        <v>0.15570108774449459</v>
      </c>
      <c r="O340" s="343">
        <f t="shared" si="166"/>
        <v>1.0109681401449662</v>
      </c>
      <c r="P340" s="691">
        <f t="shared" si="167"/>
        <v>0.14743689822357928</v>
      </c>
      <c r="Q340" s="336">
        <f t="shared" si="182"/>
        <v>15.159546968725545</v>
      </c>
      <c r="R340" s="692">
        <f t="shared" si="168"/>
        <v>6.9211342389231642E-2</v>
      </c>
      <c r="S340" s="329">
        <f t="shared" si="169"/>
        <v>0.99821604271230702</v>
      </c>
      <c r="T340" s="330">
        <f t="shared" si="170"/>
        <v>0.20458822587041525</v>
      </c>
      <c r="U340" s="331">
        <f t="shared" si="171"/>
        <v>3.7857259734951008</v>
      </c>
      <c r="V340" s="332">
        <f t="shared" si="172"/>
        <v>-111.20596485324727</v>
      </c>
      <c r="W340" s="334">
        <f t="shared" si="173"/>
        <v>68.794035146752734</v>
      </c>
      <c r="Y340" s="307">
        <f t="shared" si="174"/>
        <v>1000000000</v>
      </c>
      <c r="Z340" s="307">
        <f t="shared" si="175"/>
        <v>653198585.0625</v>
      </c>
      <c r="AB340" s="333">
        <f t="shared" si="176"/>
        <v>23.444094640091393</v>
      </c>
      <c r="AC340" s="334">
        <f t="shared" si="177"/>
        <v>-17.572293386180107</v>
      </c>
      <c r="AE340" s="333">
        <f t="shared" si="178"/>
        <v>37.840006491619576</v>
      </c>
      <c r="AF340" s="334">
        <f t="shared" si="179"/>
        <v>-98.1156656715617</v>
      </c>
      <c r="AH340">
        <f t="shared" si="180"/>
        <v>0</v>
      </c>
      <c r="AI340">
        <f t="shared" si="155"/>
        <v>0</v>
      </c>
    </row>
    <row r="341" spans="1:35" x14ac:dyDescent="0.2">
      <c r="A341" s="335">
        <v>25704</v>
      </c>
      <c r="B341" s="352">
        <f t="shared" si="181"/>
        <v>25.704000000000001</v>
      </c>
      <c r="C341" s="325">
        <f t="shared" si="156"/>
        <v>32.618755101587716</v>
      </c>
      <c r="D341" s="326">
        <f t="shared" si="157"/>
        <v>1.5401343132614944</v>
      </c>
      <c r="E341" s="326">
        <f t="shared" si="158"/>
        <v>1.0005215283516533</v>
      </c>
      <c r="F341" s="327">
        <f t="shared" si="159"/>
        <v>3.2289372636469922E-2</v>
      </c>
      <c r="G341" s="326">
        <f t="shared" si="160"/>
        <v>1</v>
      </c>
      <c r="H341" s="327">
        <f t="shared" si="161"/>
        <v>0</v>
      </c>
      <c r="I341" s="325">
        <f t="shared" si="162"/>
        <v>34116.041250902723</v>
      </c>
      <c r="J341" s="328">
        <f t="shared" si="163"/>
        <v>1.5707670150704562</v>
      </c>
      <c r="K341" s="336">
        <f t="shared" si="153"/>
        <v>6.6839321839286132</v>
      </c>
      <c r="L341" s="337">
        <f t="shared" si="154"/>
        <v>1.4206199470448262</v>
      </c>
      <c r="M341" s="325">
        <f t="shared" si="164"/>
        <v>1.0123847561177459</v>
      </c>
      <c r="N341" s="337">
        <f t="shared" si="165"/>
        <v>0.15657761048412031</v>
      </c>
      <c r="O341" s="343">
        <f t="shared" si="166"/>
        <v>1.0110933354070806</v>
      </c>
      <c r="P341" s="691">
        <f t="shared" si="167"/>
        <v>0.14826830523095119</v>
      </c>
      <c r="Q341" s="336">
        <f t="shared" si="182"/>
        <v>15.15995110869142</v>
      </c>
      <c r="R341" s="692">
        <f t="shared" si="168"/>
        <v>6.9606173282254255E-2</v>
      </c>
      <c r="S341" s="329">
        <f t="shared" si="169"/>
        <v>0.99819851961995765</v>
      </c>
      <c r="T341" s="330">
        <f t="shared" si="170"/>
        <v>0.20577937118752762</v>
      </c>
      <c r="U341" s="331">
        <f t="shared" si="171"/>
        <v>3.7349446720827402</v>
      </c>
      <c r="V341" s="332">
        <f t="shared" si="172"/>
        <v>-111.25046224794576</v>
      </c>
      <c r="W341" s="334">
        <f t="shared" si="173"/>
        <v>68.749537752054238</v>
      </c>
      <c r="Y341" s="307">
        <f t="shared" si="174"/>
        <v>1000000000</v>
      </c>
      <c r="Z341" s="307">
        <f t="shared" si="175"/>
        <v>660695616</v>
      </c>
      <c r="AB341" s="333">
        <f t="shared" si="176"/>
        <v>23.441780536328697</v>
      </c>
      <c r="AC341" s="334">
        <f t="shared" si="177"/>
        <v>-17.574029571196974</v>
      </c>
      <c r="AE341" s="333">
        <f t="shared" si="178"/>
        <v>37.790695281010265</v>
      </c>
      <c r="AF341" s="334">
        <f t="shared" si="179"/>
        <v>-98.18344085006035</v>
      </c>
      <c r="AH341">
        <f t="shared" si="180"/>
        <v>0</v>
      </c>
      <c r="AI341">
        <f t="shared" si="155"/>
        <v>0</v>
      </c>
    </row>
    <row r="342" spans="1:35" x14ac:dyDescent="0.2">
      <c r="A342" s="335">
        <v>25853.75</v>
      </c>
      <c r="B342" s="352">
        <f t="shared" si="181"/>
        <v>25.853750000000002</v>
      </c>
      <c r="C342" s="325">
        <f t="shared" si="156"/>
        <v>32.808611969884609</v>
      </c>
      <c r="D342" s="326">
        <f t="shared" si="157"/>
        <v>1.540311803338865</v>
      </c>
      <c r="E342" s="326">
        <f t="shared" si="158"/>
        <v>1.000527621233531</v>
      </c>
      <c r="F342" s="327">
        <f t="shared" si="159"/>
        <v>3.2477356762118319E-2</v>
      </c>
      <c r="G342" s="326">
        <f t="shared" si="160"/>
        <v>1</v>
      </c>
      <c r="H342" s="327">
        <f t="shared" si="161"/>
        <v>0</v>
      </c>
      <c r="I342" s="325">
        <f t="shared" si="162"/>
        <v>34314.799310852373</v>
      </c>
      <c r="J342" s="328">
        <f t="shared" si="163"/>
        <v>1.5707671848497236</v>
      </c>
      <c r="K342" s="336">
        <f t="shared" si="153"/>
        <v>6.722003216050445</v>
      </c>
      <c r="L342" s="337">
        <f t="shared" si="154"/>
        <v>1.4214768894347232</v>
      </c>
      <c r="M342" s="325">
        <f t="shared" si="164"/>
        <v>1.0125285867527605</v>
      </c>
      <c r="N342" s="337">
        <f t="shared" si="165"/>
        <v>0.15747485853781271</v>
      </c>
      <c r="O342" s="343">
        <f t="shared" si="166"/>
        <v>1.0112222508081661</v>
      </c>
      <c r="P342" s="691">
        <f t="shared" si="167"/>
        <v>0.14911939523816617</v>
      </c>
      <c r="Q342" s="336">
        <f t="shared" si="182"/>
        <v>15.160367298599324</v>
      </c>
      <c r="R342" s="692">
        <f t="shared" si="168"/>
        <v>7.0010431568675896E-2</v>
      </c>
      <c r="S342" s="329">
        <f t="shared" si="169"/>
        <v>0.99818054371093723</v>
      </c>
      <c r="T342" s="330">
        <f t="shared" si="170"/>
        <v>0.2069993799030026</v>
      </c>
      <c r="U342" s="331">
        <f t="shared" si="171"/>
        <v>3.6832564695143706</v>
      </c>
      <c r="V342" s="332">
        <f t="shared" si="172"/>
        <v>-111.29647983399531</v>
      </c>
      <c r="W342" s="334">
        <f t="shared" si="173"/>
        <v>68.703520166004694</v>
      </c>
      <c r="Y342" s="307">
        <f t="shared" si="174"/>
        <v>1000000000</v>
      </c>
      <c r="Z342" s="307">
        <f t="shared" si="175"/>
        <v>668416389.0625</v>
      </c>
      <c r="AB342" s="333">
        <f t="shared" si="176"/>
        <v>23.439423583243936</v>
      </c>
      <c r="AC342" s="334">
        <f t="shared" si="177"/>
        <v>-17.576348643261039</v>
      </c>
      <c r="AE342" s="333">
        <f t="shared" si="178"/>
        <v>37.740495095210434</v>
      </c>
      <c r="AF342" s="334">
        <f t="shared" si="179"/>
        <v>-98.252740935829095</v>
      </c>
      <c r="AH342">
        <f t="shared" si="180"/>
        <v>0</v>
      </c>
      <c r="AI342">
        <f t="shared" si="155"/>
        <v>0</v>
      </c>
    </row>
    <row r="343" spans="1:35" x14ac:dyDescent="0.2">
      <c r="A343" s="335">
        <v>26003.5</v>
      </c>
      <c r="B343" s="352">
        <f t="shared" si="181"/>
        <v>26.003499999999999</v>
      </c>
      <c r="C343" s="325">
        <f t="shared" si="156"/>
        <v>32.998469859849052</v>
      </c>
      <c r="D343" s="326">
        <f t="shared" si="157"/>
        <v>1.5404872510305494</v>
      </c>
      <c r="E343" s="326">
        <f t="shared" si="158"/>
        <v>1.0005337494716537</v>
      </c>
      <c r="F343" s="327">
        <f t="shared" si="159"/>
        <v>3.2665338591615703E-2</v>
      </c>
      <c r="G343" s="326">
        <f t="shared" si="160"/>
        <v>1</v>
      </c>
      <c r="H343" s="327">
        <f t="shared" si="161"/>
        <v>0</v>
      </c>
      <c r="I343" s="325">
        <f t="shared" si="162"/>
        <v>34513.557370803013</v>
      </c>
      <c r="J343" s="328">
        <f t="shared" si="163"/>
        <v>1.5707673526735275</v>
      </c>
      <c r="K343" s="336">
        <f t="shared" ref="K343:K406" si="183">SQRT(1+(A343/Zero2)^2)</f>
        <v>6.7600791288749775</v>
      </c>
      <c r="L343" s="337">
        <f t="shared" ref="L343:L406" si="184">ATAN(A343/Zero2)</f>
        <v>1.4223241790440171</v>
      </c>
      <c r="M343" s="325">
        <f t="shared" si="164"/>
        <v>1.0126732322961023</v>
      </c>
      <c r="N343" s="337">
        <f t="shared" si="165"/>
        <v>0.15837185099596771</v>
      </c>
      <c r="O343" s="343">
        <f t="shared" si="166"/>
        <v>1.0113518985052903</v>
      </c>
      <c r="P343" s="691">
        <f t="shared" si="167"/>
        <v>0.14997026765492369</v>
      </c>
      <c r="Q343" s="336">
        <f t="shared" si="182"/>
        <v>15.160785894647912</v>
      </c>
      <c r="R343" s="692">
        <f t="shared" si="168"/>
        <v>7.0414667925566304E-2</v>
      </c>
      <c r="S343" s="329">
        <f t="shared" si="169"/>
        <v>0.99816253518026021</v>
      </c>
      <c r="T343" s="330">
        <f t="shared" si="170"/>
        <v>0.20821975214266802</v>
      </c>
      <c r="U343" s="331">
        <f t="shared" si="171"/>
        <v>3.63187648583986</v>
      </c>
      <c r="V343" s="332">
        <f t="shared" si="172"/>
        <v>-111.34295087747608</v>
      </c>
      <c r="W343" s="334">
        <f t="shared" si="173"/>
        <v>68.657049122523915</v>
      </c>
      <c r="Y343" s="307">
        <f t="shared" si="174"/>
        <v>1000000000</v>
      </c>
      <c r="Z343" s="307">
        <f t="shared" si="175"/>
        <v>676182012.25</v>
      </c>
      <c r="AB343" s="333">
        <f t="shared" si="176"/>
        <v>23.437078878863424</v>
      </c>
      <c r="AC343" s="334">
        <f t="shared" si="177"/>
        <v>-17.57920602232949</v>
      </c>
      <c r="AE343" s="333">
        <f t="shared" si="178"/>
        <v>37.690586103492237</v>
      </c>
      <c r="AF343" s="334">
        <f t="shared" si="179"/>
        <v>-98.321944961479417</v>
      </c>
      <c r="AH343">
        <f t="shared" si="180"/>
        <v>0</v>
      </c>
      <c r="AI343">
        <f t="shared" si="155"/>
        <v>0</v>
      </c>
    </row>
    <row r="344" spans="1:35" x14ac:dyDescent="0.2">
      <c r="A344" s="335">
        <v>26153.25</v>
      </c>
      <c r="B344" s="352">
        <f t="shared" si="181"/>
        <v>26.15325</v>
      </c>
      <c r="C344" s="325">
        <f t="shared" si="156"/>
        <v>33.188328753947324</v>
      </c>
      <c r="D344" s="326">
        <f t="shared" si="157"/>
        <v>1.540660691376988</v>
      </c>
      <c r="E344" s="326">
        <f t="shared" si="158"/>
        <v>1.0005399130653723</v>
      </c>
      <c r="F344" s="327">
        <f t="shared" si="159"/>
        <v>3.2853318111718884E-2</v>
      </c>
      <c r="G344" s="326">
        <f t="shared" si="160"/>
        <v>1</v>
      </c>
      <c r="H344" s="327">
        <f t="shared" si="161"/>
        <v>0</v>
      </c>
      <c r="I344" s="325">
        <f t="shared" si="162"/>
        <v>34712.315430754606</v>
      </c>
      <c r="J344" s="328">
        <f t="shared" si="163"/>
        <v>1.5707675185754584</v>
      </c>
      <c r="K344" s="336">
        <f t="shared" si="183"/>
        <v>6.7981598403930139</v>
      </c>
      <c r="L344" s="337">
        <f t="shared" si="184"/>
        <v>1.4231619768594752</v>
      </c>
      <c r="M344" s="325">
        <f t="shared" si="164"/>
        <v>1.012818692398628</v>
      </c>
      <c r="N344" s="337">
        <f t="shared" si="165"/>
        <v>0.15926858652497228</v>
      </c>
      <c r="O344" s="343">
        <f t="shared" si="166"/>
        <v>1.0114822782168649</v>
      </c>
      <c r="P344" s="691">
        <f t="shared" si="167"/>
        <v>0.15082092133309549</v>
      </c>
      <c r="Q344" s="336">
        <f t="shared" si="182"/>
        <v>15.16120689663806</v>
      </c>
      <c r="R344" s="692">
        <f t="shared" si="168"/>
        <v>7.0818882228340707E-2</v>
      </c>
      <c r="S344" s="329">
        <f t="shared" si="169"/>
        <v>0.9981444952795101</v>
      </c>
      <c r="T344" s="330">
        <f t="shared" si="170"/>
        <v>0.20944048986112093</v>
      </c>
      <c r="U344" s="331">
        <f t="shared" si="171"/>
        <v>3.580800955788455</v>
      </c>
      <c r="V344" s="332">
        <f t="shared" si="172"/>
        <v>-111.38986825910298</v>
      </c>
      <c r="W344" s="334">
        <f t="shared" si="173"/>
        <v>68.610131740897017</v>
      </c>
      <c r="Y344" s="307">
        <f t="shared" si="174"/>
        <v>1000000000</v>
      </c>
      <c r="Z344" s="307">
        <f t="shared" si="175"/>
        <v>683992485.5625</v>
      </c>
      <c r="AB344" s="333">
        <f t="shared" si="176"/>
        <v>23.434746001639503</v>
      </c>
      <c r="AC344" s="334">
        <f t="shared" si="177"/>
        <v>-17.582592410054176</v>
      </c>
      <c r="AE344" s="333">
        <f t="shared" si="178"/>
        <v>37.64096496670517</v>
      </c>
      <c r="AF344" s="334">
        <f t="shared" si="179"/>
        <v>-98.391055047429575</v>
      </c>
      <c r="AH344">
        <f t="shared" si="180"/>
        <v>0</v>
      </c>
      <c r="AI344">
        <f t="shared" si="155"/>
        <v>0</v>
      </c>
    </row>
    <row r="345" spans="1:35" x14ac:dyDescent="0.2">
      <c r="A345" s="335">
        <v>26303</v>
      </c>
      <c r="B345" s="352">
        <f t="shared" si="181"/>
        <v>26.303000000000001</v>
      </c>
      <c r="C345" s="325">
        <f t="shared" si="156"/>
        <v>33.378188635044545</v>
      </c>
      <c r="D345" s="326">
        <f t="shared" si="157"/>
        <v>1.5408321586218519</v>
      </c>
      <c r="E345" s="326">
        <f t="shared" si="158"/>
        <v>1.0005461120140329</v>
      </c>
      <c r="F345" s="327">
        <f t="shared" si="159"/>
        <v>3.3041295309185689E-2</v>
      </c>
      <c r="G345" s="326">
        <f t="shared" si="160"/>
        <v>1</v>
      </c>
      <c r="H345" s="327">
        <f t="shared" si="161"/>
        <v>0</v>
      </c>
      <c r="I345" s="325">
        <f t="shared" si="162"/>
        <v>34911.073490707146</v>
      </c>
      <c r="J345" s="328">
        <f t="shared" si="163"/>
        <v>1.5707676825883412</v>
      </c>
      <c r="K345" s="336">
        <f t="shared" si="183"/>
        <v>6.8362452704124346</v>
      </c>
      <c r="L345" s="337">
        <f t="shared" si="184"/>
        <v>1.4239904403343489</v>
      </c>
      <c r="M345" s="325">
        <f t="shared" si="164"/>
        <v>1.0129649667094298</v>
      </c>
      <c r="N345" s="337">
        <f t="shared" si="165"/>
        <v>0.16016506379363013</v>
      </c>
      <c r="O345" s="343">
        <f t="shared" si="166"/>
        <v>1.0116133896598571</v>
      </c>
      <c r="P345" s="691">
        <f t="shared" si="167"/>
        <v>0.15167135512640972</v>
      </c>
      <c r="Q345" s="336">
        <f t="shared" si="182"/>
        <v>15.161630304369522</v>
      </c>
      <c r="R345" s="692">
        <f t="shared" si="168"/>
        <v>7.1223074352456006E-2</v>
      </c>
      <c r="S345" s="329">
        <f t="shared" si="169"/>
        <v>0.99812642526759676</v>
      </c>
      <c r="T345" s="330">
        <f t="shared" si="170"/>
        <v>0.21066159501016407</v>
      </c>
      <c r="U345" s="331">
        <f t="shared" si="171"/>
        <v>3.5300261827057797</v>
      </c>
      <c r="V345" s="332">
        <f t="shared" si="172"/>
        <v>-111.43722501622538</v>
      </c>
      <c r="W345" s="334">
        <f t="shared" si="173"/>
        <v>68.562774983774617</v>
      </c>
      <c r="Y345" s="307">
        <f t="shared" si="174"/>
        <v>1000000000</v>
      </c>
      <c r="Z345" s="307">
        <f t="shared" si="175"/>
        <v>691847809</v>
      </c>
      <c r="AB345" s="333">
        <f t="shared" si="176"/>
        <v>23.432424541926817</v>
      </c>
      <c r="AC345" s="334">
        <f t="shared" si="177"/>
        <v>-17.586498710637112</v>
      </c>
      <c r="AE345" s="333">
        <f t="shared" si="178"/>
        <v>37.591628402435092</v>
      </c>
      <c r="AF345" s="334">
        <f t="shared" si="179"/>
        <v>-98.460073268286195</v>
      </c>
      <c r="AH345">
        <f t="shared" si="180"/>
        <v>0</v>
      </c>
      <c r="AI345">
        <f t="shared" si="155"/>
        <v>0</v>
      </c>
    </row>
    <row r="346" spans="1:35" x14ac:dyDescent="0.2">
      <c r="A346" s="335">
        <v>26456</v>
      </c>
      <c r="B346" s="352">
        <f t="shared" si="181"/>
        <v>26.456</v>
      </c>
      <c r="C346" s="325">
        <f t="shared" si="156"/>
        <v>33.572170016338944</v>
      </c>
      <c r="D346" s="326">
        <f t="shared" si="157"/>
        <v>1.5410053442061162</v>
      </c>
      <c r="E346" s="326">
        <f t="shared" si="158"/>
        <v>1.0005524820110112</v>
      </c>
      <c r="F346" s="327">
        <f t="shared" si="159"/>
        <v>3.3233349732759314E-2</v>
      </c>
      <c r="G346" s="326">
        <f t="shared" si="160"/>
        <v>1</v>
      </c>
      <c r="H346" s="327">
        <f t="shared" si="161"/>
        <v>0</v>
      </c>
      <c r="I346" s="325">
        <f t="shared" si="162"/>
        <v>35114.145164649592</v>
      </c>
      <c r="J346" s="328">
        <f t="shared" si="163"/>
        <v>1.5707678482431493</v>
      </c>
      <c r="K346" s="336">
        <f t="shared" si="183"/>
        <v>6.8751620539995377</v>
      </c>
      <c r="L346" s="337">
        <f t="shared" si="184"/>
        <v>1.4248274036037443</v>
      </c>
      <c r="M346" s="325">
        <f t="shared" si="164"/>
        <v>1.0131152561270069</v>
      </c>
      <c r="N346" s="337">
        <f t="shared" si="165"/>
        <v>0.16108072905238133</v>
      </c>
      <c r="O346" s="343">
        <f t="shared" si="166"/>
        <v>1.0117481020220478</v>
      </c>
      <c r="P346" s="691">
        <f t="shared" si="167"/>
        <v>0.15254001746132212</v>
      </c>
      <c r="Q346" s="336">
        <f t="shared" si="182"/>
        <v>15.162065385665937</v>
      </c>
      <c r="R346" s="692">
        <f t="shared" si="168"/>
        <v>7.1636015557382096E-2</v>
      </c>
      <c r="S346" s="329">
        <f t="shared" si="169"/>
        <v>0.99810793330389891</v>
      </c>
      <c r="T346" s="330">
        <f t="shared" si="170"/>
        <v>0.21190958311250802</v>
      </c>
      <c r="U346" s="331">
        <f t="shared" si="171"/>
        <v>3.47845629618319</v>
      </c>
      <c r="V346" s="332">
        <f t="shared" si="172"/>
        <v>-111.4860562483389</v>
      </c>
      <c r="W346" s="334">
        <f t="shared" si="173"/>
        <v>68.513943751661103</v>
      </c>
      <c r="Y346" s="307">
        <f t="shared" si="174"/>
        <v>1000000000</v>
      </c>
      <c r="Z346" s="307">
        <f t="shared" si="175"/>
        <v>699919936</v>
      </c>
      <c r="AB346" s="333">
        <f t="shared" si="176"/>
        <v>23.430064077737207</v>
      </c>
      <c r="AC346" s="334">
        <f t="shared" si="177"/>
        <v>-17.591017493793004</v>
      </c>
      <c r="AE346" s="333">
        <f t="shared" si="178"/>
        <v>37.541511641706563</v>
      </c>
      <c r="AF346" s="334">
        <f t="shared" si="179"/>
        <v>-98.530496614656784</v>
      </c>
      <c r="AH346">
        <f t="shared" si="180"/>
        <v>0</v>
      </c>
      <c r="AI346">
        <f t="shared" ref="AI346:AI409" si="185">IF(AH346&gt;0,W346,0)</f>
        <v>0</v>
      </c>
    </row>
    <row r="347" spans="1:35" x14ac:dyDescent="0.2">
      <c r="A347" s="335">
        <v>26609</v>
      </c>
      <c r="B347" s="352">
        <f t="shared" si="181"/>
        <v>26.609000000000002</v>
      </c>
      <c r="C347" s="325">
        <f t="shared" si="156"/>
        <v>33.76615239300228</v>
      </c>
      <c r="D347" s="326">
        <f t="shared" si="157"/>
        <v>1.5411765399358668</v>
      </c>
      <c r="E347" s="326">
        <f t="shared" si="158"/>
        <v>1.0005588889127988</v>
      </c>
      <c r="F347" s="327">
        <f t="shared" si="159"/>
        <v>3.3425401703843657E-2</v>
      </c>
      <c r="G347" s="326">
        <f t="shared" si="160"/>
        <v>1</v>
      </c>
      <c r="H347" s="327">
        <f t="shared" si="161"/>
        <v>0</v>
      </c>
      <c r="I347" s="325">
        <f t="shared" si="162"/>
        <v>35317.216838592998</v>
      </c>
      <c r="J347" s="328">
        <f t="shared" si="163"/>
        <v>1.5707680119929488</v>
      </c>
      <c r="K347" s="336">
        <f t="shared" si="183"/>
        <v>6.9140835994712946</v>
      </c>
      <c r="L347" s="337">
        <f t="shared" si="184"/>
        <v>1.4256549443898283</v>
      </c>
      <c r="M347" s="325">
        <f t="shared" si="164"/>
        <v>1.0132663947314471</v>
      </c>
      <c r="N347" s="337">
        <f t="shared" si="165"/>
        <v>0.16199612191756815</v>
      </c>
      <c r="O347" s="343">
        <f t="shared" si="166"/>
        <v>1.0118835776196962</v>
      </c>
      <c r="P347" s="691">
        <f t="shared" si="167"/>
        <v>0.1534084478504176</v>
      </c>
      <c r="Q347" s="336">
        <f t="shared" si="182"/>
        <v>15.162502977833453</v>
      </c>
      <c r="R347" s="692">
        <f t="shared" si="168"/>
        <v>7.2048933347820629E-2</v>
      </c>
      <c r="S347" s="329">
        <f t="shared" si="169"/>
        <v>0.99808941258806605</v>
      </c>
      <c r="T347" s="330">
        <f t="shared" si="170"/>
        <v>0.21315795887717076</v>
      </c>
      <c r="U347" s="331">
        <f t="shared" si="171"/>
        <v>3.427192773316869</v>
      </c>
      <c r="V347" s="332">
        <f t="shared" si="172"/>
        <v>-111.53533192246023</v>
      </c>
      <c r="W347" s="334">
        <f t="shared" si="173"/>
        <v>68.46466807753977</v>
      </c>
      <c r="Y347" s="307">
        <f t="shared" si="174"/>
        <v>1000000000</v>
      </c>
      <c r="Z347" s="307">
        <f t="shared" si="175"/>
        <v>708038881</v>
      </c>
      <c r="AB347" s="333">
        <f t="shared" si="176"/>
        <v>23.427714703833864</v>
      </c>
      <c r="AC347" s="334">
        <f t="shared" si="177"/>
        <v>-17.596060429325213</v>
      </c>
      <c r="AE347" s="333">
        <f t="shared" si="178"/>
        <v>37.491685188017968</v>
      </c>
      <c r="AF347" s="334">
        <f t="shared" si="179"/>
        <v>-98.600828302693827</v>
      </c>
      <c r="AH347">
        <f t="shared" si="180"/>
        <v>0</v>
      </c>
      <c r="AI347">
        <f t="shared" si="185"/>
        <v>0</v>
      </c>
    </row>
    <row r="348" spans="1:35" x14ac:dyDescent="0.2">
      <c r="A348" s="335">
        <v>26762</v>
      </c>
      <c r="B348" s="352">
        <f t="shared" si="181"/>
        <v>26.762</v>
      </c>
      <c r="C348" s="325">
        <f t="shared" si="156"/>
        <v>33.960135747977738</v>
      </c>
      <c r="D348" s="326">
        <f t="shared" si="157"/>
        <v>1.5413457798996664</v>
      </c>
      <c r="E348" s="326">
        <f t="shared" si="158"/>
        <v>1.0005653327186865</v>
      </c>
      <c r="F348" s="327">
        <f t="shared" si="159"/>
        <v>3.3617451208318681E-2</v>
      </c>
      <c r="G348" s="326">
        <f t="shared" si="160"/>
        <v>1</v>
      </c>
      <c r="H348" s="327">
        <f t="shared" si="161"/>
        <v>0</v>
      </c>
      <c r="I348" s="325">
        <f t="shared" si="162"/>
        <v>35520.288512537336</v>
      </c>
      <c r="J348" s="328">
        <f t="shared" si="163"/>
        <v>1.5707681738704129</v>
      </c>
      <c r="K348" s="336">
        <f t="shared" si="183"/>
        <v>6.9530098268594989</v>
      </c>
      <c r="L348" s="337">
        <f t="shared" si="184"/>
        <v>1.42647321980405</v>
      </c>
      <c r="M348" s="325">
        <f t="shared" si="164"/>
        <v>1.0134183821428133</v>
      </c>
      <c r="N348" s="337">
        <f t="shared" si="165"/>
        <v>0.16291124097731149</v>
      </c>
      <c r="O348" s="343">
        <f t="shared" si="166"/>
        <v>1.012019816146287</v>
      </c>
      <c r="P348" s="691">
        <f t="shared" si="167"/>
        <v>0.15427664507721903</v>
      </c>
      <c r="Q348" s="336">
        <f t="shared" si="182"/>
        <v>15.162943080654872</v>
      </c>
      <c r="R348" s="692">
        <f t="shared" si="168"/>
        <v>7.2461827591079164E-2</v>
      </c>
      <c r="S348" s="329">
        <f t="shared" si="169"/>
        <v>0.99807086448646776</v>
      </c>
      <c r="T348" s="330">
        <f t="shared" si="170"/>
        <v>0.2144067243766366</v>
      </c>
      <c r="U348" s="331">
        <f t="shared" si="171"/>
        <v>3.3762318827175983</v>
      </c>
      <c r="V348" s="332">
        <f t="shared" si="172"/>
        <v>-111.58504509252447</v>
      </c>
      <c r="W348" s="334">
        <f t="shared" si="173"/>
        <v>68.414954907475533</v>
      </c>
      <c r="Y348" s="307">
        <f t="shared" si="174"/>
        <v>1000000000</v>
      </c>
      <c r="Z348" s="307">
        <f t="shared" si="175"/>
        <v>716204644</v>
      </c>
      <c r="AB348" s="333">
        <f t="shared" si="176"/>
        <v>23.425376019318183</v>
      </c>
      <c r="AC348" s="334">
        <f t="shared" si="177"/>
        <v>-17.601618436388112</v>
      </c>
      <c r="AE348" s="333">
        <f t="shared" si="178"/>
        <v>37.442145715850998</v>
      </c>
      <c r="AF348" s="334">
        <f t="shared" si="179"/>
        <v>-98.671070405081679</v>
      </c>
      <c r="AH348">
        <f t="shared" si="180"/>
        <v>0</v>
      </c>
      <c r="AI348">
        <f t="shared" si="185"/>
        <v>0</v>
      </c>
    </row>
    <row r="349" spans="1:35" x14ac:dyDescent="0.2">
      <c r="A349" s="335">
        <v>26915</v>
      </c>
      <c r="B349" s="352">
        <f t="shared" si="181"/>
        <v>26.914999999999999</v>
      </c>
      <c r="C349" s="325">
        <f t="shared" si="156"/>
        <v>34.154120064595901</v>
      </c>
      <c r="D349" s="326">
        <f t="shared" si="157"/>
        <v>1.5415130974120841</v>
      </c>
      <c r="E349" s="326">
        <f t="shared" si="158"/>
        <v>1.0005718134279613</v>
      </c>
      <c r="F349" s="327">
        <f t="shared" si="159"/>
        <v>3.3809498232065464E-2</v>
      </c>
      <c r="G349" s="326">
        <f t="shared" si="160"/>
        <v>1</v>
      </c>
      <c r="H349" s="327">
        <f t="shared" si="161"/>
        <v>0</v>
      </c>
      <c r="I349" s="325">
        <f t="shared" si="162"/>
        <v>35723.360186482598</v>
      </c>
      <c r="J349" s="328">
        <f t="shared" si="163"/>
        <v>1.5707683339074721</v>
      </c>
      <c r="K349" s="336">
        <f t="shared" si="183"/>
        <v>6.9919406579672572</v>
      </c>
      <c r="L349" s="337">
        <f t="shared" si="184"/>
        <v>1.4272823835089639</v>
      </c>
      <c r="M349" s="325">
        <f t="shared" si="164"/>
        <v>1.0135712179792646</v>
      </c>
      <c r="N349" s="337">
        <f t="shared" si="165"/>
        <v>0.16382608482241096</v>
      </c>
      <c r="O349" s="343">
        <f t="shared" si="166"/>
        <v>1.0121568172937447</v>
      </c>
      <c r="P349" s="691">
        <f t="shared" si="167"/>
        <v>0.15514460792730847</v>
      </c>
      <c r="Q349" s="336">
        <f t="shared" si="182"/>
        <v>15.163385693911776</v>
      </c>
      <c r="R349" s="692">
        <f t="shared" si="168"/>
        <v>7.2874698154511752E-2</v>
      </c>
      <c r="S349" s="329">
        <f t="shared" si="169"/>
        <v>0.99805229037346166</v>
      </c>
      <c r="T349" s="330">
        <f t="shared" si="170"/>
        <v>0.21565588168025171</v>
      </c>
      <c r="U349" s="331">
        <f t="shared" si="171"/>
        <v>3.3255699607144189</v>
      </c>
      <c r="V349" s="332">
        <f t="shared" si="172"/>
        <v>-111.63518896554292</v>
      </c>
      <c r="W349" s="334">
        <f t="shared" si="173"/>
        <v>68.364811034457077</v>
      </c>
      <c r="Y349" s="307">
        <f t="shared" si="174"/>
        <v>1000000000</v>
      </c>
      <c r="Z349" s="307">
        <f t="shared" si="175"/>
        <v>724417225</v>
      </c>
      <c r="AB349" s="333">
        <f t="shared" si="176"/>
        <v>23.423047634630464</v>
      </c>
      <c r="AC349" s="334">
        <f t="shared" si="177"/>
        <v>-17.607682631854079</v>
      </c>
      <c r="AE349" s="333">
        <f t="shared" si="178"/>
        <v>37.392889956090684</v>
      </c>
      <c r="AF349" s="334">
        <f t="shared" si="179"/>
        <v>-98.74122494997836</v>
      </c>
      <c r="AH349">
        <f t="shared" si="180"/>
        <v>0</v>
      </c>
      <c r="AI349">
        <f t="shared" si="185"/>
        <v>0</v>
      </c>
    </row>
    <row r="350" spans="1:35" x14ac:dyDescent="0.2">
      <c r="A350" s="335">
        <v>27071.75</v>
      </c>
      <c r="B350" s="352">
        <f t="shared" si="181"/>
        <v>27.071750000000002</v>
      </c>
      <c r="C350" s="325">
        <f t="shared" si="156"/>
        <v>34.352859879031811</v>
      </c>
      <c r="D350" s="326">
        <f t="shared" si="157"/>
        <v>1.5416825561772696</v>
      </c>
      <c r="E350" s="326">
        <f t="shared" si="158"/>
        <v>1.0005784912486142</v>
      </c>
      <c r="F350" s="327">
        <f t="shared" si="159"/>
        <v>3.4006249703270652E-2</v>
      </c>
      <c r="G350" s="326">
        <f t="shared" si="160"/>
        <v>1</v>
      </c>
      <c r="H350" s="327">
        <f t="shared" si="161"/>
        <v>0</v>
      </c>
      <c r="I350" s="325">
        <f t="shared" si="162"/>
        <v>35931.409107339219</v>
      </c>
      <c r="J350" s="328">
        <f t="shared" si="163"/>
        <v>1.5707684959910131</v>
      </c>
      <c r="K350" s="336">
        <f t="shared" si="183"/>
        <v>7.0318303705229548</v>
      </c>
      <c r="L350" s="337">
        <f t="shared" si="184"/>
        <v>1.4281020873528918</v>
      </c>
      <c r="M350" s="325">
        <f t="shared" si="164"/>
        <v>1.0137286792628906</v>
      </c>
      <c r="N350" s="337">
        <f t="shared" si="165"/>
        <v>0.16476306442473623</v>
      </c>
      <c r="O350" s="343">
        <f t="shared" si="166"/>
        <v>1.0122979668761842</v>
      </c>
      <c r="P350" s="691">
        <f t="shared" si="167"/>
        <v>0.15603360004521907</v>
      </c>
      <c r="Q350" s="336">
        <f t="shared" si="182"/>
        <v>15.163841758788134</v>
      </c>
      <c r="R350" s="692">
        <f t="shared" si="168"/>
        <v>7.3297663398341623E-2</v>
      </c>
      <c r="S350" s="329">
        <f t="shared" si="169"/>
        <v>0.99803323548241174</v>
      </c>
      <c r="T350" s="330">
        <f t="shared" si="170"/>
        <v>0.21693606407109653</v>
      </c>
      <c r="U350" s="331">
        <f t="shared" si="171"/>
        <v>3.2739726138120591</v>
      </c>
      <c r="V350" s="332">
        <f t="shared" si="172"/>
        <v>-111.68700157641175</v>
      </c>
      <c r="W350" s="334">
        <f t="shared" si="173"/>
        <v>68.312998423588255</v>
      </c>
      <c r="Y350" s="307">
        <f t="shared" si="174"/>
        <v>1000000000</v>
      </c>
      <c r="Z350" s="307">
        <f t="shared" si="175"/>
        <v>732879648.0625</v>
      </c>
      <c r="AB350" s="333">
        <f t="shared" si="176"/>
        <v>23.420672467516248</v>
      </c>
      <c r="AC350" s="334">
        <f t="shared" si="177"/>
        <v>-17.614411324559963</v>
      </c>
      <c r="AE350" s="333">
        <f t="shared" si="178"/>
        <v>37.342717815546031</v>
      </c>
      <c r="AF350" s="334">
        <f t="shared" si="179"/>
        <v>-98.813010241196324</v>
      </c>
      <c r="AH350">
        <f t="shared" si="180"/>
        <v>0</v>
      </c>
      <c r="AI350">
        <f t="shared" si="185"/>
        <v>0</v>
      </c>
    </row>
    <row r="351" spans="1:35" x14ac:dyDescent="0.2">
      <c r="A351" s="335">
        <v>27228.5</v>
      </c>
      <c r="B351" s="352">
        <f t="shared" si="181"/>
        <v>27.2285</v>
      </c>
      <c r="C351" s="325">
        <f t="shared" si="156"/>
        <v>34.551600668605325</v>
      </c>
      <c r="D351" s="326">
        <f t="shared" si="157"/>
        <v>1.5418500654937557</v>
      </c>
      <c r="E351" s="326">
        <f t="shared" si="158"/>
        <v>1.0005852078022843</v>
      </c>
      <c r="F351" s="327">
        <f t="shared" si="159"/>
        <v>3.4202998540654284E-2</v>
      </c>
      <c r="G351" s="326">
        <f t="shared" si="160"/>
        <v>1</v>
      </c>
      <c r="H351" s="327">
        <f t="shared" si="161"/>
        <v>0</v>
      </c>
      <c r="I351" s="325">
        <f t="shared" si="162"/>
        <v>36139.458028196772</v>
      </c>
      <c r="J351" s="328">
        <f t="shared" si="163"/>
        <v>1.5707686562083774</v>
      </c>
      <c r="K351" s="336">
        <f t="shared" si="183"/>
        <v>7.0717247545623021</v>
      </c>
      <c r="L351" s="337">
        <f t="shared" si="184"/>
        <v>1.4289125431919365</v>
      </c>
      <c r="M351" s="325">
        <f t="shared" si="164"/>
        <v>1.013887030253229</v>
      </c>
      <c r="N351" s="337">
        <f t="shared" si="165"/>
        <v>0.16569975217033922</v>
      </c>
      <c r="O351" s="343">
        <f t="shared" si="166"/>
        <v>1.0124399162613382</v>
      </c>
      <c r="P351" s="691">
        <f t="shared" si="167"/>
        <v>0.15692234358263318</v>
      </c>
      <c r="Q351" s="336">
        <f t="shared" si="182"/>
        <v>15.164300458200586</v>
      </c>
      <c r="R351" s="692">
        <f t="shared" si="168"/>
        <v>7.372060350562723E-2</v>
      </c>
      <c r="S351" s="329">
        <f t="shared" si="169"/>
        <v>0.99801415623543088</v>
      </c>
      <c r="T351" s="330">
        <f t="shared" si="170"/>
        <v>0.21821666209463481</v>
      </c>
      <c r="U351" s="331">
        <f t="shared" si="171"/>
        <v>3.2226814960843191</v>
      </c>
      <c r="V351" s="332">
        <f t="shared" si="172"/>
        <v>-111.73925230196595</v>
      </c>
      <c r="W351" s="334">
        <f t="shared" si="173"/>
        <v>68.260747698034052</v>
      </c>
      <c r="Y351" s="307">
        <f t="shared" si="174"/>
        <v>1000000000</v>
      </c>
      <c r="Z351" s="307">
        <f t="shared" si="175"/>
        <v>741391212.25</v>
      </c>
      <c r="AB351" s="333">
        <f t="shared" si="176"/>
        <v>23.418307318397442</v>
      </c>
      <c r="AC351" s="334">
        <f t="shared" si="177"/>
        <v>-17.621653059832692</v>
      </c>
      <c r="AE351" s="333">
        <f t="shared" si="178"/>
        <v>37.292836694576685</v>
      </c>
      <c r="AF351" s="334">
        <f t="shared" si="179"/>
        <v>-98.884707802137399</v>
      </c>
      <c r="AH351">
        <f t="shared" si="180"/>
        <v>0</v>
      </c>
      <c r="AI351">
        <f t="shared" si="185"/>
        <v>0</v>
      </c>
    </row>
    <row r="352" spans="1:35" x14ac:dyDescent="0.2">
      <c r="A352" s="335">
        <v>27385.25</v>
      </c>
      <c r="B352" s="352">
        <f t="shared" si="181"/>
        <v>27.385249999999999</v>
      </c>
      <c r="C352" s="325">
        <f t="shared" si="156"/>
        <v>34.750342416585717</v>
      </c>
      <c r="D352" s="326">
        <f t="shared" si="157"/>
        <v>1.5420156587995164</v>
      </c>
      <c r="E352" s="326">
        <f t="shared" si="158"/>
        <v>1.0005919630881923</v>
      </c>
      <c r="F352" s="327">
        <f t="shared" si="159"/>
        <v>3.4399744729037222E-2</v>
      </c>
      <c r="G352" s="326">
        <f t="shared" si="160"/>
        <v>1</v>
      </c>
      <c r="H352" s="327">
        <f t="shared" si="161"/>
        <v>0</v>
      </c>
      <c r="I352" s="325">
        <f t="shared" si="162"/>
        <v>36347.506949055241</v>
      </c>
      <c r="J352" s="328">
        <f t="shared" si="163"/>
        <v>1.5707688145916106</v>
      </c>
      <c r="K352" s="336">
        <f t="shared" si="183"/>
        <v>7.1116237314678239</v>
      </c>
      <c r="L352" s="337">
        <f t="shared" si="184"/>
        <v>1.4297139056070798</v>
      </c>
      <c r="M352" s="325">
        <f t="shared" si="164"/>
        <v>1.0140462705334767</v>
      </c>
      <c r="N352" s="337">
        <f t="shared" si="165"/>
        <v>0.16663614655266393</v>
      </c>
      <c r="O352" s="343">
        <f t="shared" si="166"/>
        <v>1.0125826651128442</v>
      </c>
      <c r="P352" s="691">
        <f t="shared" si="167"/>
        <v>0.1578108372404145</v>
      </c>
      <c r="Q352" s="336">
        <f t="shared" si="182"/>
        <v>15.164761791910275</v>
      </c>
      <c r="R352" s="692">
        <f t="shared" si="168"/>
        <v>7.4143518333881955E-2</v>
      </c>
      <c r="S352" s="329">
        <f t="shared" si="169"/>
        <v>0.99799505413652145</v>
      </c>
      <c r="T352" s="330">
        <f t="shared" si="170"/>
        <v>0.21949767796572411</v>
      </c>
      <c r="U352" s="331">
        <f t="shared" si="171"/>
        <v>3.1716928783021348</v>
      </c>
      <c r="V352" s="332">
        <f t="shared" si="172"/>
        <v>-111.79193431078203</v>
      </c>
      <c r="W352" s="334">
        <f t="shared" si="173"/>
        <v>68.208065689217975</v>
      </c>
      <c r="Y352" s="307">
        <f t="shared" si="174"/>
        <v>1000000000</v>
      </c>
      <c r="Z352" s="307">
        <f t="shared" si="175"/>
        <v>749951917.5625</v>
      </c>
      <c r="AB352" s="333">
        <f t="shared" si="176"/>
        <v>23.415951802989923</v>
      </c>
      <c r="AC352" s="334">
        <f t="shared" si="177"/>
        <v>-17.629398896351205</v>
      </c>
      <c r="AE352" s="333">
        <f t="shared" si="178"/>
        <v>37.24324325368837</v>
      </c>
      <c r="AF352" s="334">
        <f t="shared" si="179"/>
        <v>-98.956319676427995</v>
      </c>
      <c r="AH352">
        <f t="shared" si="180"/>
        <v>0</v>
      </c>
      <c r="AI352">
        <f t="shared" si="185"/>
        <v>0</v>
      </c>
    </row>
    <row r="353" spans="1:35" x14ac:dyDescent="0.2">
      <c r="A353" s="335">
        <v>27542</v>
      </c>
      <c r="B353" s="352">
        <f t="shared" si="181"/>
        <v>27.542000000000002</v>
      </c>
      <c r="C353" s="325">
        <f t="shared" si="156"/>
        <v>34.949085106622725</v>
      </c>
      <c r="D353" s="326">
        <f t="shared" si="157"/>
        <v>1.5421793687723522</v>
      </c>
      <c r="E353" s="326">
        <f t="shared" si="158"/>
        <v>1.0005987571055532</v>
      </c>
      <c r="F353" s="327">
        <f t="shared" si="159"/>
        <v>3.459648825324154E-2</v>
      </c>
      <c r="G353" s="326">
        <f t="shared" si="160"/>
        <v>1</v>
      </c>
      <c r="H353" s="327">
        <f t="shared" si="161"/>
        <v>0</v>
      </c>
      <c r="I353" s="325">
        <f t="shared" si="162"/>
        <v>36555.55586991462</v>
      </c>
      <c r="J353" s="328">
        <f t="shared" si="163"/>
        <v>1.5707689711720281</v>
      </c>
      <c r="K353" s="336">
        <f t="shared" si="183"/>
        <v>7.1515272243675536</v>
      </c>
      <c r="L353" s="337">
        <f t="shared" si="184"/>
        <v>1.4305063257765471</v>
      </c>
      <c r="M353" s="325">
        <f t="shared" si="164"/>
        <v>1.0142063996847519</v>
      </c>
      <c r="N353" s="337">
        <f t="shared" si="165"/>
        <v>0.16757224606815582</v>
      </c>
      <c r="O353" s="343">
        <f t="shared" si="166"/>
        <v>1.012726213092636</v>
      </c>
      <c r="P353" s="691">
        <f t="shared" si="167"/>
        <v>0.15869907972173522</v>
      </c>
      <c r="Q353" s="336">
        <f t="shared" si="182"/>
        <v>15.165225759677002</v>
      </c>
      <c r="R353" s="692">
        <f t="shared" si="168"/>
        <v>7.4566407740671567E-2</v>
      </c>
      <c r="S353" s="329">
        <f t="shared" si="169"/>
        <v>0.99797593069849055</v>
      </c>
      <c r="T353" s="330">
        <f t="shared" si="170"/>
        <v>0.22077911389565749</v>
      </c>
      <c r="U353" s="331">
        <f t="shared" si="171"/>
        <v>3.121003098820978</v>
      </c>
      <c r="V353" s="332">
        <f t="shared" si="172"/>
        <v>-111.84504092264204</v>
      </c>
      <c r="W353" s="334">
        <f t="shared" si="173"/>
        <v>68.154959077357958</v>
      </c>
      <c r="Y353" s="307">
        <f t="shared" si="174"/>
        <v>1000000000</v>
      </c>
      <c r="Z353" s="307">
        <f t="shared" si="175"/>
        <v>758561764</v>
      </c>
      <c r="AB353" s="333">
        <f t="shared" si="176"/>
        <v>23.413605547929993</v>
      </c>
      <c r="AC353" s="334">
        <f t="shared" si="177"/>
        <v>-17.637640087888105</v>
      </c>
      <c r="AE353" s="333">
        <f t="shared" si="178"/>
        <v>37.193934210077032</v>
      </c>
      <c r="AF353" s="334">
        <f t="shared" si="179"/>
        <v>-99.027847863935577</v>
      </c>
      <c r="AH353">
        <f t="shared" si="180"/>
        <v>0</v>
      </c>
      <c r="AI353">
        <f t="shared" si="185"/>
        <v>0</v>
      </c>
    </row>
    <row r="354" spans="1:35" x14ac:dyDescent="0.2">
      <c r="A354" s="335">
        <v>27702.5</v>
      </c>
      <c r="B354" s="352">
        <f t="shared" si="181"/>
        <v>27.702500000000001</v>
      </c>
      <c r="C354" s="325">
        <f t="shared" si="156"/>
        <v>35.152583365912946</v>
      </c>
      <c r="D354" s="326">
        <f t="shared" si="157"/>
        <v>1.5423450771499116</v>
      </c>
      <c r="E354" s="326">
        <f t="shared" si="158"/>
        <v>1.0006057537908122</v>
      </c>
      <c r="F354" s="327">
        <f t="shared" si="159"/>
        <v>3.4797935783925031E-2</v>
      </c>
      <c r="G354" s="326">
        <f t="shared" si="160"/>
        <v>1</v>
      </c>
      <c r="H354" s="327">
        <f t="shared" si="161"/>
        <v>0</v>
      </c>
      <c r="I354" s="325">
        <f t="shared" si="162"/>
        <v>36768.582037685424</v>
      </c>
      <c r="J354" s="328">
        <f t="shared" si="163"/>
        <v>1.5707691296623256</v>
      </c>
      <c r="K354" s="336">
        <f t="shared" si="183"/>
        <v>7.1923899471234112</v>
      </c>
      <c r="L354" s="337">
        <f t="shared" si="184"/>
        <v>1.4313085920858339</v>
      </c>
      <c r="M354" s="325">
        <f t="shared" si="164"/>
        <v>1.0143712802599723</v>
      </c>
      <c r="N354" s="337">
        <f t="shared" si="165"/>
        <v>0.16853043320914218</v>
      </c>
      <c r="O354" s="343">
        <f t="shared" si="166"/>
        <v>1.0128740229135704</v>
      </c>
      <c r="P354" s="691">
        <f t="shared" si="167"/>
        <v>0.15960831040931989</v>
      </c>
      <c r="Q354" s="336">
        <f t="shared" si="182"/>
        <v>15.165703556233176</v>
      </c>
      <c r="R354" s="692">
        <f t="shared" si="168"/>
        <v>7.4999387629214209E-2</v>
      </c>
      <c r="S354" s="329">
        <f t="shared" si="169"/>
        <v>0.99795632924023658</v>
      </c>
      <c r="T354" s="330">
        <f t="shared" si="170"/>
        <v>0.22209164374625959</v>
      </c>
      <c r="U354" s="331">
        <f t="shared" si="171"/>
        <v>3.0694065377980442</v>
      </c>
      <c r="V354" s="332">
        <f t="shared" si="172"/>
        <v>-111.89985116663654</v>
      </c>
      <c r="W354" s="334">
        <f t="shared" si="173"/>
        <v>68.100148833363463</v>
      </c>
      <c r="Y354" s="307">
        <f t="shared" si="174"/>
        <v>1000000000</v>
      </c>
      <c r="Z354" s="307">
        <f t="shared" si="175"/>
        <v>767428506.25</v>
      </c>
      <c r="AB354" s="333">
        <f t="shared" si="176"/>
        <v>23.411212378812586</v>
      </c>
      <c r="AC354" s="334">
        <f t="shared" si="177"/>
        <v>-17.646582774318016</v>
      </c>
      <c r="AE354" s="333">
        <f t="shared" si="178"/>
        <v>37.143736838115203</v>
      </c>
      <c r="AF354" s="334">
        <f t="shared" si="179"/>
        <v>-99.101002582306236</v>
      </c>
      <c r="AH354">
        <f t="shared" si="180"/>
        <v>0</v>
      </c>
      <c r="AI354">
        <f t="shared" si="185"/>
        <v>0</v>
      </c>
    </row>
    <row r="355" spans="1:35" x14ac:dyDescent="0.2">
      <c r="A355" s="335">
        <v>27863</v>
      </c>
      <c r="B355" s="352">
        <f t="shared" si="181"/>
        <v>27.863</v>
      </c>
      <c r="C355" s="325">
        <f t="shared" si="156"/>
        <v>35.356082579355807</v>
      </c>
      <c r="D355" s="326">
        <f t="shared" si="157"/>
        <v>1.5425088779945499</v>
      </c>
      <c r="E355" s="326">
        <f t="shared" si="158"/>
        <v>1.0006127910811922</v>
      </c>
      <c r="F355" s="327">
        <f t="shared" si="159"/>
        <v>3.4999380489230104E-2</v>
      </c>
      <c r="G355" s="326">
        <f t="shared" si="160"/>
        <v>1</v>
      </c>
      <c r="H355" s="327">
        <f t="shared" si="161"/>
        <v>0</v>
      </c>
      <c r="I355" s="325">
        <f t="shared" si="162"/>
        <v>36981.608205457138</v>
      </c>
      <c r="J355" s="328">
        <f t="shared" si="163"/>
        <v>1.5707692863267113</v>
      </c>
      <c r="K355" s="336">
        <f t="shared" si="183"/>
        <v>7.2332572468204814</v>
      </c>
      <c r="L355" s="337">
        <f t="shared" si="184"/>
        <v>1.432101793425486</v>
      </c>
      <c r="M355" s="325">
        <f t="shared" si="164"/>
        <v>1.0145370918491765</v>
      </c>
      <c r="N355" s="337">
        <f t="shared" si="165"/>
        <v>0.16948830802534606</v>
      </c>
      <c r="O355" s="343">
        <f t="shared" si="166"/>
        <v>1.0130226698331515</v>
      </c>
      <c r="P355" s="691">
        <f t="shared" si="167"/>
        <v>0.16051727501436927</v>
      </c>
      <c r="Q355" s="336">
        <f t="shared" si="182"/>
        <v>15.16618411387139</v>
      </c>
      <c r="R355" s="692">
        <f t="shared" si="168"/>
        <v>7.5432340563339639E-2</v>
      </c>
      <c r="S355" s="329">
        <f t="shared" si="169"/>
        <v>0.99793670864798523</v>
      </c>
      <c r="T355" s="330">
        <f t="shared" si="170"/>
        <v>0.22340461867524605</v>
      </c>
      <c r="U355" s="331">
        <f t="shared" si="171"/>
        <v>3.0181157249523638</v>
      </c>
      <c r="V355" s="332">
        <f t="shared" si="172"/>
        <v>-111.95509286606564</v>
      </c>
      <c r="W355" s="334">
        <f t="shared" si="173"/>
        <v>68.044907133934359</v>
      </c>
      <c r="Y355" s="307">
        <f t="shared" si="174"/>
        <v>1000000000</v>
      </c>
      <c r="Z355" s="307">
        <f t="shared" si="175"/>
        <v>776346769</v>
      </c>
      <c r="AB355" s="333">
        <f t="shared" si="176"/>
        <v>23.408828159715327</v>
      </c>
      <c r="AC355" s="334">
        <f t="shared" si="177"/>
        <v>-17.656026845741067</v>
      </c>
      <c r="AE355" s="333">
        <f t="shared" si="178"/>
        <v>37.093830844494477</v>
      </c>
      <c r="AF355" s="334">
        <f t="shared" si="179"/>
        <v>-99.174073670086358</v>
      </c>
      <c r="AH355">
        <f t="shared" si="180"/>
        <v>0</v>
      </c>
      <c r="AI355">
        <f t="shared" si="185"/>
        <v>0</v>
      </c>
    </row>
    <row r="356" spans="1:35" x14ac:dyDescent="0.2">
      <c r="A356" s="335">
        <v>28023.5</v>
      </c>
      <c r="B356" s="352">
        <f t="shared" si="181"/>
        <v>28.023499999999999</v>
      </c>
      <c r="C356" s="325">
        <f t="shared" si="156"/>
        <v>35.559582730570121</v>
      </c>
      <c r="D356" s="326">
        <f t="shared" si="157"/>
        <v>1.5426708040466521</v>
      </c>
      <c r="E356" s="326">
        <f t="shared" si="158"/>
        <v>1.0006198689758361</v>
      </c>
      <c r="F356" s="327">
        <f t="shared" si="159"/>
        <v>3.5200822352867318E-2</v>
      </c>
      <c r="G356" s="326">
        <f t="shared" si="160"/>
        <v>1</v>
      </c>
      <c r="H356" s="327">
        <f t="shared" si="161"/>
        <v>0</v>
      </c>
      <c r="I356" s="325">
        <f t="shared" si="162"/>
        <v>37194.634373229746</v>
      </c>
      <c r="J356" s="328">
        <f t="shared" si="163"/>
        <v>1.5707694411965578</v>
      </c>
      <c r="K356" s="336">
        <f t="shared" si="183"/>
        <v>7.2741290463166486</v>
      </c>
      <c r="L356" s="337">
        <f t="shared" si="184"/>
        <v>1.4328860815913493</v>
      </c>
      <c r="M356" s="325">
        <f t="shared" si="164"/>
        <v>1.0147038339959571</v>
      </c>
      <c r="N356" s="337">
        <f t="shared" si="165"/>
        <v>0.17044586891256353</v>
      </c>
      <c r="O356" s="343">
        <f t="shared" si="166"/>
        <v>1.0131721534829365</v>
      </c>
      <c r="P356" s="691">
        <f t="shared" si="167"/>
        <v>0.16142597215232643</v>
      </c>
      <c r="Q356" s="336">
        <f t="shared" si="182"/>
        <v>15.166667432329415</v>
      </c>
      <c r="R356" s="692">
        <f t="shared" si="168"/>
        <v>7.5865266390317224E-2</v>
      </c>
      <c r="S356" s="329">
        <f t="shared" si="169"/>
        <v>0.9979170705744399</v>
      </c>
      <c r="T356" s="330">
        <f t="shared" si="170"/>
        <v>0.2247180410446448</v>
      </c>
      <c r="U356" s="331">
        <f t="shared" si="171"/>
        <v>2.9671269391653929</v>
      </c>
      <c r="V356" s="332">
        <f t="shared" si="172"/>
        <v>-112.0107593162833</v>
      </c>
      <c r="W356" s="334">
        <f t="shared" si="173"/>
        <v>67.989240683716702</v>
      </c>
      <c r="Y356" s="307">
        <f t="shared" si="174"/>
        <v>1000000000</v>
      </c>
      <c r="Z356" s="307">
        <f t="shared" si="175"/>
        <v>785316552.25</v>
      </c>
      <c r="AB356" s="333">
        <f t="shared" si="176"/>
        <v>23.406452523110591</v>
      </c>
      <c r="AC356" s="334">
        <f t="shared" si="177"/>
        <v>-17.665963514779349</v>
      </c>
      <c r="AE356" s="333">
        <f t="shared" si="178"/>
        <v>37.044212881587782</v>
      </c>
      <c r="AF356" s="334">
        <f t="shared" si="179"/>
        <v>-99.247063139429386</v>
      </c>
      <c r="AH356">
        <f t="shared" si="180"/>
        <v>0</v>
      </c>
      <c r="AI356">
        <f t="shared" si="185"/>
        <v>0</v>
      </c>
    </row>
    <row r="357" spans="1:35" x14ac:dyDescent="0.2">
      <c r="A357" s="335">
        <v>28184</v>
      </c>
      <c r="B357" s="352">
        <f t="shared" si="181"/>
        <v>28.184000000000001</v>
      </c>
      <c r="C357" s="325">
        <f t="shared" si="156"/>
        <v>35.763083803547481</v>
      </c>
      <c r="D357" s="326">
        <f t="shared" si="157"/>
        <v>1.5428308873017977</v>
      </c>
      <c r="E357" s="326">
        <f t="shared" si="158"/>
        <v>1.0006269874738829</v>
      </c>
      <c r="F357" s="327">
        <f t="shared" si="159"/>
        <v>3.5402261358548591E-2</v>
      </c>
      <c r="G357" s="326">
        <f t="shared" si="160"/>
        <v>1</v>
      </c>
      <c r="H357" s="327">
        <f t="shared" si="161"/>
        <v>0</v>
      </c>
      <c r="I357" s="325">
        <f t="shared" si="162"/>
        <v>37407.660541003243</v>
      </c>
      <c r="J357" s="328">
        <f t="shared" si="163"/>
        <v>1.5707695943025233</v>
      </c>
      <c r="K357" s="336">
        <f t="shared" si="183"/>
        <v>7.3150052701854973</v>
      </c>
      <c r="L357" s="337">
        <f t="shared" si="184"/>
        <v>1.4336616050307545</v>
      </c>
      <c r="M357" s="325">
        <f t="shared" si="164"/>
        <v>1.0148715062416453</v>
      </c>
      <c r="N357" s="337">
        <f t="shared" si="165"/>
        <v>0.17140311426994478</v>
      </c>
      <c r="O357" s="343">
        <f t="shared" si="166"/>
        <v>1.0133224734926261</v>
      </c>
      <c r="P357" s="691">
        <f t="shared" si="167"/>
        <v>0.16233440044121586</v>
      </c>
      <c r="Q357" s="336">
        <f t="shared" si="182"/>
        <v>15.167153511343555</v>
      </c>
      <c r="R357" s="692">
        <f t="shared" si="168"/>
        <v>7.6298164957475198E-2</v>
      </c>
      <c r="S357" s="329">
        <f t="shared" si="169"/>
        <v>0.99789741668198761</v>
      </c>
      <c r="T357" s="330">
        <f t="shared" si="170"/>
        <v>0.22603191321244301</v>
      </c>
      <c r="U357" s="331">
        <f t="shared" si="171"/>
        <v>2.9164365266230661</v>
      </c>
      <c r="V357" s="332">
        <f t="shared" si="172"/>
        <v>-112.06684396160006</v>
      </c>
      <c r="W357" s="334">
        <f t="shared" si="173"/>
        <v>67.933156038399943</v>
      </c>
      <c r="Y357" s="307">
        <f t="shared" si="174"/>
        <v>1000000000</v>
      </c>
      <c r="Z357" s="307">
        <f t="shared" si="175"/>
        <v>794337856</v>
      </c>
      <c r="AB357" s="333">
        <f t="shared" si="176"/>
        <v>23.404085111961734</v>
      </c>
      <c r="AC357" s="334">
        <f t="shared" si="177"/>
        <v>-17.676384186061949</v>
      </c>
      <c r="AE357" s="333">
        <f t="shared" si="178"/>
        <v>36.994879658609882</v>
      </c>
      <c r="AF357" s="334">
        <f t="shared" si="179"/>
        <v>-99.319972959582955</v>
      </c>
      <c r="AH357">
        <f t="shared" si="180"/>
        <v>0</v>
      </c>
      <c r="AI357">
        <f t="shared" si="185"/>
        <v>0</v>
      </c>
    </row>
    <row r="358" spans="1:35" x14ac:dyDescent="0.2">
      <c r="A358" s="335">
        <v>28348</v>
      </c>
      <c r="B358" s="352">
        <f t="shared" si="181"/>
        <v>28.347999999999999</v>
      </c>
      <c r="C358" s="325">
        <f t="shared" si="156"/>
        <v>35.97102353048335</v>
      </c>
      <c r="D358" s="326">
        <f t="shared" si="157"/>
        <v>1.5429925904884902</v>
      </c>
      <c r="E358" s="326">
        <f t="shared" si="158"/>
        <v>1.0006343031442781</v>
      </c>
      <c r="F358" s="327">
        <f t="shared" si="159"/>
        <v>3.560809014606698E-2</v>
      </c>
      <c r="G358" s="326">
        <f t="shared" si="160"/>
        <v>1</v>
      </c>
      <c r="H358" s="327">
        <f t="shared" si="161"/>
        <v>0</v>
      </c>
      <c r="I358" s="325">
        <f t="shared" si="162"/>
        <v>37625.332139227517</v>
      </c>
      <c r="J358" s="328">
        <f t="shared" si="163"/>
        <v>1.570769748956423</v>
      </c>
      <c r="K358" s="336">
        <f t="shared" si="183"/>
        <v>7.3567773692977232</v>
      </c>
      <c r="L358" s="337">
        <f t="shared" si="184"/>
        <v>1.434445137734996</v>
      </c>
      <c r="M358" s="325">
        <f t="shared" si="164"/>
        <v>1.0150437951557147</v>
      </c>
      <c r="N358" s="337">
        <f t="shared" si="165"/>
        <v>0.17238090654865665</v>
      </c>
      <c r="O358" s="343">
        <f t="shared" si="166"/>
        <v>1.0134769350378727</v>
      </c>
      <c r="P358" s="691">
        <f t="shared" si="167"/>
        <v>0.16326235955049812</v>
      </c>
      <c r="Q358" s="336">
        <f t="shared" si="182"/>
        <v>15.167653041446734</v>
      </c>
      <c r="R358" s="692">
        <f t="shared" si="168"/>
        <v>7.674047536353934E-2</v>
      </c>
      <c r="S358" s="329">
        <f t="shared" si="169"/>
        <v>0.99787731959964421</v>
      </c>
      <c r="T358" s="330">
        <f t="shared" si="170"/>
        <v>0.22737490386573342</v>
      </c>
      <c r="U358" s="331">
        <f t="shared" si="171"/>
        <v>2.864945186794893</v>
      </c>
      <c r="V358" s="332">
        <f t="shared" si="172"/>
        <v>-112.12457694107181</v>
      </c>
      <c r="W358" s="334">
        <f t="shared" si="173"/>
        <v>67.875423058928192</v>
      </c>
      <c r="Y358" s="307">
        <f t="shared" si="174"/>
        <v>1000000000</v>
      </c>
      <c r="Z358" s="307">
        <f t="shared" si="175"/>
        <v>803609104</v>
      </c>
      <c r="AB358" s="333">
        <f t="shared" si="176"/>
        <v>23.401674210622847</v>
      </c>
      <c r="AC358" s="334">
        <f t="shared" si="177"/>
        <v>-17.687523300837562</v>
      </c>
      <c r="AE358" s="333">
        <f t="shared" si="178"/>
        <v>36.944761389007681</v>
      </c>
      <c r="AF358" s="334">
        <f t="shared" si="179"/>
        <v>-99.394392445331249</v>
      </c>
      <c r="AH358">
        <f t="shared" si="180"/>
        <v>0</v>
      </c>
      <c r="AI358">
        <f t="shared" si="185"/>
        <v>0</v>
      </c>
    </row>
    <row r="359" spans="1:35" x14ac:dyDescent="0.2">
      <c r="A359" s="335">
        <v>28512</v>
      </c>
      <c r="B359" s="352">
        <f t="shared" si="181"/>
        <v>28.512</v>
      </c>
      <c r="C359" s="325">
        <f t="shared" si="156"/>
        <v>36.178964187174792</v>
      </c>
      <c r="D359" s="326">
        <f t="shared" si="157"/>
        <v>1.5431524348827765</v>
      </c>
      <c r="E359" s="326">
        <f t="shared" si="158"/>
        <v>1.0006416612064146</v>
      </c>
      <c r="F359" s="327">
        <f t="shared" si="159"/>
        <v>3.5813915915245513E-2</v>
      </c>
      <c r="G359" s="326">
        <f t="shared" si="160"/>
        <v>1</v>
      </c>
      <c r="H359" s="327">
        <f t="shared" si="161"/>
        <v>0</v>
      </c>
      <c r="I359" s="325">
        <f t="shared" si="162"/>
        <v>37843.003737452695</v>
      </c>
      <c r="J359" s="328">
        <f t="shared" si="163"/>
        <v>1.5707699018311951</v>
      </c>
      <c r="K359" s="336">
        <f t="shared" si="183"/>
        <v>7.3985539339067099</v>
      </c>
      <c r="L359" s="337">
        <f t="shared" si="184"/>
        <v>1.4352198223421395</v>
      </c>
      <c r="M359" s="325">
        <f t="shared" si="164"/>
        <v>1.0152170542006342</v>
      </c>
      <c r="N359" s="337">
        <f t="shared" si="165"/>
        <v>0.17335836601752014</v>
      </c>
      <c r="O359" s="343">
        <f t="shared" si="166"/>
        <v>1.0136322690299122</v>
      </c>
      <c r="P359" s="691">
        <f t="shared" si="167"/>
        <v>0.16419003504837398</v>
      </c>
      <c r="Q359" s="336">
        <f t="shared" si="182"/>
        <v>15.168155453255512</v>
      </c>
      <c r="R359" s="692">
        <f t="shared" si="168"/>
        <v>7.718275698582637E-2</v>
      </c>
      <c r="S359" s="329">
        <f t="shared" si="169"/>
        <v>0.99785720954108792</v>
      </c>
      <c r="T359" s="330">
        <f t="shared" si="170"/>
        <v>0.22871836911324414</v>
      </c>
      <c r="U359" s="331">
        <f t="shared" si="171"/>
        <v>2.8137578702238839</v>
      </c>
      <c r="V359" s="332">
        <f t="shared" si="172"/>
        <v>-112.18273317340001</v>
      </c>
      <c r="W359" s="334">
        <f t="shared" si="173"/>
        <v>67.81726682659999</v>
      </c>
      <c r="Y359" s="307">
        <f t="shared" si="174"/>
        <v>1000000000</v>
      </c>
      <c r="Z359" s="307">
        <f t="shared" si="175"/>
        <v>812934144</v>
      </c>
      <c r="AB359" s="333">
        <f t="shared" si="176"/>
        <v>23.399271175737631</v>
      </c>
      <c r="AC359" s="334">
        <f t="shared" si="177"/>
        <v>-17.699150203698</v>
      </c>
      <c r="AE359" s="333">
        <f t="shared" si="178"/>
        <v>36.894933642659701</v>
      </c>
      <c r="AF359" s="334">
        <f t="shared" si="179"/>
        <v>-99.468732795303524</v>
      </c>
      <c r="AH359">
        <f t="shared" si="180"/>
        <v>0</v>
      </c>
      <c r="AI359">
        <f t="shared" si="185"/>
        <v>0</v>
      </c>
    </row>
    <row r="360" spans="1:35" x14ac:dyDescent="0.2">
      <c r="A360" s="335">
        <v>28676</v>
      </c>
      <c r="B360" s="352">
        <f t="shared" si="181"/>
        <v>28.675999999999998</v>
      </c>
      <c r="C360" s="325">
        <f t="shared" si="156"/>
        <v>36.386905757681944</v>
      </c>
      <c r="D360" s="326">
        <f t="shared" si="157"/>
        <v>1.5433104523439429</v>
      </c>
      <c r="E360" s="326">
        <f t="shared" si="158"/>
        <v>1.0006490616593575</v>
      </c>
      <c r="F360" s="327">
        <f t="shared" si="159"/>
        <v>3.6019738648711642E-2</v>
      </c>
      <c r="G360" s="326">
        <f t="shared" si="160"/>
        <v>1</v>
      </c>
      <c r="H360" s="327">
        <f t="shared" si="161"/>
        <v>0</v>
      </c>
      <c r="I360" s="325">
        <f t="shared" si="162"/>
        <v>38060.67533567873</v>
      </c>
      <c r="J360" s="328">
        <f t="shared" si="163"/>
        <v>1.5707700529573649</v>
      </c>
      <c r="K360" s="336">
        <f t="shared" si="183"/>
        <v>7.4403348887928127</v>
      </c>
      <c r="L360" s="337">
        <f t="shared" si="184"/>
        <v>1.4359858069730236</v>
      </c>
      <c r="M360" s="325">
        <f t="shared" si="164"/>
        <v>1.0153912828797953</v>
      </c>
      <c r="N360" s="337">
        <f t="shared" si="165"/>
        <v>0.17433549097959788</v>
      </c>
      <c r="O360" s="343">
        <f t="shared" si="166"/>
        <v>1.0137884750677122</v>
      </c>
      <c r="P360" s="691">
        <f t="shared" si="167"/>
        <v>0.16511742546889671</v>
      </c>
      <c r="Q360" s="336">
        <f t="shared" si="182"/>
        <v>15.168660746483798</v>
      </c>
      <c r="R360" s="692">
        <f t="shared" si="168"/>
        <v>7.7625009661649813E-2</v>
      </c>
      <c r="S360" s="329">
        <f t="shared" si="169"/>
        <v>0.99783708831118745</v>
      </c>
      <c r="T360" s="330">
        <f t="shared" si="170"/>
        <v>0.23006231145733352</v>
      </c>
      <c r="U360" s="331">
        <f t="shared" si="171"/>
        <v>2.7628708861168843</v>
      </c>
      <c r="V360" s="332">
        <f t="shared" si="172"/>
        <v>-112.24130612085125</v>
      </c>
      <c r="W360" s="334">
        <f t="shared" si="173"/>
        <v>67.758693879148751</v>
      </c>
      <c r="Y360" s="307">
        <f t="shared" si="174"/>
        <v>1000000000</v>
      </c>
      <c r="Z360" s="307">
        <f t="shared" si="175"/>
        <v>822312976</v>
      </c>
      <c r="AB360" s="333">
        <f t="shared" si="176"/>
        <v>23.396875658136857</v>
      </c>
      <c r="AC360" s="334">
        <f t="shared" si="177"/>
        <v>-17.71125631246592</v>
      </c>
      <c r="AE360" s="333">
        <f t="shared" si="178"/>
        <v>36.845393084425773</v>
      </c>
      <c r="AF360" s="334">
        <f t="shared" si="179"/>
        <v>-99.542995979272376</v>
      </c>
      <c r="AH360">
        <f t="shared" si="180"/>
        <v>0</v>
      </c>
      <c r="AI360">
        <f t="shared" si="185"/>
        <v>0</v>
      </c>
    </row>
    <row r="361" spans="1:35" x14ac:dyDescent="0.2">
      <c r="A361" s="335">
        <v>28840</v>
      </c>
      <c r="B361" s="352">
        <f t="shared" si="181"/>
        <v>28.84</v>
      </c>
      <c r="C361" s="325">
        <f t="shared" si="156"/>
        <v>36.594848226427196</v>
      </c>
      <c r="D361" s="326">
        <f t="shared" si="157"/>
        <v>1.5434666740075111</v>
      </c>
      <c r="E361" s="326">
        <f t="shared" si="158"/>
        <v>1.0006565045021663</v>
      </c>
      <c r="F361" s="327">
        <f t="shared" si="159"/>
        <v>3.6225558329094389E-2</v>
      </c>
      <c r="G361" s="326">
        <f t="shared" si="160"/>
        <v>1</v>
      </c>
      <c r="H361" s="327">
        <f t="shared" si="161"/>
        <v>0</v>
      </c>
      <c r="I361" s="325">
        <f t="shared" si="162"/>
        <v>38278.346933905632</v>
      </c>
      <c r="J361" s="328">
        <f t="shared" si="163"/>
        <v>1.5707702023647627</v>
      </c>
      <c r="K361" s="336">
        <f t="shared" si="183"/>
        <v>7.4821201604087086</v>
      </c>
      <c r="L361" s="337">
        <f t="shared" si="184"/>
        <v>1.4367432364810149</v>
      </c>
      <c r="M361" s="325">
        <f t="shared" si="164"/>
        <v>1.0155664806941518</v>
      </c>
      <c r="N361" s="337">
        <f t="shared" si="165"/>
        <v>0.17531227974166871</v>
      </c>
      <c r="O361" s="343">
        <f t="shared" si="166"/>
        <v>1.0139455527482368</v>
      </c>
      <c r="P361" s="691">
        <f t="shared" si="167"/>
        <v>0.16604452934898167</v>
      </c>
      <c r="Q361" s="336">
        <f t="shared" si="182"/>
        <v>15.169168920843905</v>
      </c>
      <c r="R361" s="692">
        <f t="shared" si="168"/>
        <v>7.8067233228388822E-2</v>
      </c>
      <c r="S361" s="329">
        <f t="shared" si="169"/>
        <v>0.99781695772537271</v>
      </c>
      <c r="T361" s="330">
        <f t="shared" si="170"/>
        <v>0.23140673339581608</v>
      </c>
      <c r="U361" s="331">
        <f t="shared" si="171"/>
        <v>2.7122806101698567</v>
      </c>
      <c r="V361" s="332">
        <f t="shared" si="172"/>
        <v>-112.30028939118833</v>
      </c>
      <c r="W361" s="334">
        <f t="shared" si="173"/>
        <v>67.699710608811671</v>
      </c>
      <c r="Y361" s="307">
        <f t="shared" si="174"/>
        <v>1000000000</v>
      </c>
      <c r="Z361" s="307">
        <f t="shared" si="175"/>
        <v>831745600</v>
      </c>
      <c r="AB361" s="333">
        <f t="shared" si="176"/>
        <v>23.394487318646313</v>
      </c>
      <c r="AC361" s="334">
        <f t="shared" si="177"/>
        <v>-17.723833232349509</v>
      </c>
      <c r="AE361" s="333">
        <f t="shared" si="178"/>
        <v>36.796136435690279</v>
      </c>
      <c r="AF361" s="334">
        <f t="shared" si="179"/>
        <v>-99.617183925281296</v>
      </c>
      <c r="AH361">
        <f t="shared" si="180"/>
        <v>0</v>
      </c>
      <c r="AI361">
        <f t="shared" si="185"/>
        <v>0</v>
      </c>
    </row>
    <row r="362" spans="1:35" x14ac:dyDescent="0.2">
      <c r="A362" s="335">
        <v>29008</v>
      </c>
      <c r="B362" s="352">
        <f t="shared" si="181"/>
        <v>29.007999999999999</v>
      </c>
      <c r="C362" s="325">
        <f t="shared" si="156"/>
        <v>36.807863378157101</v>
      </c>
      <c r="D362" s="326">
        <f t="shared" si="157"/>
        <v>1.5436248757306734</v>
      </c>
      <c r="E362" s="326">
        <f t="shared" si="158"/>
        <v>1.0006641728300605</v>
      </c>
      <c r="F362" s="327">
        <f t="shared" si="159"/>
        <v>3.6436394817835428E-2</v>
      </c>
      <c r="G362" s="326">
        <f t="shared" si="160"/>
        <v>1</v>
      </c>
      <c r="H362" s="327">
        <f t="shared" si="161"/>
        <v>0</v>
      </c>
      <c r="I362" s="325">
        <f t="shared" si="162"/>
        <v>38501.327595504801</v>
      </c>
      <c r="J362" s="328">
        <f t="shared" si="163"/>
        <v>1.5707703536645512</v>
      </c>
      <c r="K362" s="336">
        <f t="shared" si="183"/>
        <v>7.5249289857639425</v>
      </c>
      <c r="L362" s="337">
        <f t="shared" si="184"/>
        <v>1.4375104172944015</v>
      </c>
      <c r="M362" s="325">
        <f t="shared" si="164"/>
        <v>1.015746955981339</v>
      </c>
      <c r="N362" s="337">
        <f t="shared" si="165"/>
        <v>0.17631254225385884</v>
      </c>
      <c r="O362" s="343">
        <f t="shared" si="166"/>
        <v>1.0141073649596566</v>
      </c>
      <c r="P362" s="691">
        <f t="shared" si="167"/>
        <v>0.1669939468836131</v>
      </c>
      <c r="Q362" s="336">
        <f t="shared" si="182"/>
        <v>15.169692476794239</v>
      </c>
      <c r="R362" s="692">
        <f t="shared" si="168"/>
        <v>7.8520212383150448E-2</v>
      </c>
      <c r="S362" s="329">
        <f t="shared" si="169"/>
        <v>0.997796328357474</v>
      </c>
      <c r="T362" s="330">
        <f t="shared" si="170"/>
        <v>0.23278444600264875</v>
      </c>
      <c r="U362" s="331">
        <f t="shared" si="171"/>
        <v>2.6607603563374411</v>
      </c>
      <c r="V362" s="332">
        <f t="shared" si="172"/>
        <v>-112.36113020159561</v>
      </c>
      <c r="W362" s="334">
        <f t="shared" si="173"/>
        <v>67.638869798404386</v>
      </c>
      <c r="Y362" s="307">
        <f t="shared" si="174"/>
        <v>1000000000</v>
      </c>
      <c r="Z362" s="307">
        <f t="shared" si="175"/>
        <v>841464064</v>
      </c>
      <c r="AB362" s="333">
        <f t="shared" si="176"/>
        <v>23.392047825451957</v>
      </c>
      <c r="AC362" s="334">
        <f t="shared" si="177"/>
        <v>-17.737196498827277</v>
      </c>
      <c r="AE362" s="333">
        <f t="shared" si="178"/>
        <v>36.745969417071734</v>
      </c>
      <c r="AF362" s="334">
        <f t="shared" si="179"/>
        <v>-99.693105293198201</v>
      </c>
      <c r="AH362">
        <f t="shared" si="180"/>
        <v>0</v>
      </c>
      <c r="AI362">
        <f t="shared" si="185"/>
        <v>0</v>
      </c>
    </row>
    <row r="363" spans="1:35" x14ac:dyDescent="0.2">
      <c r="A363" s="335">
        <v>29176</v>
      </c>
      <c r="B363" s="352">
        <f t="shared" si="181"/>
        <v>29.175999999999998</v>
      </c>
      <c r="C363" s="325">
        <f t="shared" si="156"/>
        <v>37.020879440505048</v>
      </c>
      <c r="D363" s="326">
        <f t="shared" si="157"/>
        <v>1.5437812568900415</v>
      </c>
      <c r="E363" s="326">
        <f t="shared" si="158"/>
        <v>1.0006718856388208</v>
      </c>
      <c r="F363" s="327">
        <f t="shared" si="159"/>
        <v>3.6647228065848983E-2</v>
      </c>
      <c r="G363" s="326">
        <f t="shared" si="160"/>
        <v>1</v>
      </c>
      <c r="H363" s="327">
        <f t="shared" si="161"/>
        <v>0</v>
      </c>
      <c r="I363" s="325">
        <f t="shared" si="162"/>
        <v>38724.308257104836</v>
      </c>
      <c r="J363" s="328">
        <f t="shared" si="163"/>
        <v>1.5707705032219235</v>
      </c>
      <c r="K363" s="336">
        <f t="shared" si="183"/>
        <v>7.5677421899314421</v>
      </c>
      <c r="L363" s="337">
        <f t="shared" si="184"/>
        <v>1.4382689181621355</v>
      </c>
      <c r="M363" s="325">
        <f t="shared" si="164"/>
        <v>1.0159284471871759</v>
      </c>
      <c r="N363" s="337">
        <f t="shared" si="165"/>
        <v>0.17731244838107393</v>
      </c>
      <c r="O363" s="343">
        <f t="shared" si="166"/>
        <v>1.0142700909888738</v>
      </c>
      <c r="P363" s="691">
        <f t="shared" si="167"/>
        <v>0.16794306063092831</v>
      </c>
      <c r="Q363" s="336">
        <f t="shared" si="182"/>
        <v>15.170219055517039</v>
      </c>
      <c r="R363" s="692">
        <f t="shared" si="168"/>
        <v>7.8973160646305385E-2</v>
      </c>
      <c r="S363" s="329">
        <f t="shared" si="169"/>
        <v>0.99777569306228786</v>
      </c>
      <c r="T363" s="330">
        <f t="shared" si="170"/>
        <v>0.23416266717547787</v>
      </c>
      <c r="U363" s="331">
        <f t="shared" si="171"/>
        <v>2.6095439684443007</v>
      </c>
      <c r="V363" s="332">
        <f t="shared" si="172"/>
        <v>-112.42238846658356</v>
      </c>
      <c r="W363" s="334">
        <f t="shared" si="173"/>
        <v>67.577611533416444</v>
      </c>
      <c r="Y363" s="307">
        <f t="shared" si="174"/>
        <v>1000000000</v>
      </c>
      <c r="Z363" s="307">
        <f t="shared" si="175"/>
        <v>851238976</v>
      </c>
      <c r="AB363" s="333">
        <f t="shared" si="176"/>
        <v>23.389615175005694</v>
      </c>
      <c r="AC363" s="334">
        <f t="shared" si="177"/>
        <v>-17.751036570369852</v>
      </c>
      <c r="AE363" s="333">
        <f t="shared" si="178"/>
        <v>36.696093537512112</v>
      </c>
      <c r="AF363" s="334">
        <f t="shared" si="179"/>
        <v>-99.768951674858499</v>
      </c>
      <c r="AH363">
        <f t="shared" si="180"/>
        <v>0</v>
      </c>
      <c r="AI363">
        <f t="shared" si="185"/>
        <v>0</v>
      </c>
    </row>
    <row r="364" spans="1:35" x14ac:dyDescent="0.2">
      <c r="A364" s="335">
        <v>29344</v>
      </c>
      <c r="B364" s="352">
        <f t="shared" si="181"/>
        <v>29.344000000000001</v>
      </c>
      <c r="C364" s="325">
        <f t="shared" si="156"/>
        <v>37.233896397842031</v>
      </c>
      <c r="D364" s="326">
        <f t="shared" si="157"/>
        <v>1.5439358487245061</v>
      </c>
      <c r="E364" s="326">
        <f t="shared" si="158"/>
        <v>1.0006796429274185</v>
      </c>
      <c r="F364" s="327">
        <f t="shared" si="159"/>
        <v>3.6858058054466833E-2</v>
      </c>
      <c r="G364" s="326">
        <f t="shared" si="160"/>
        <v>1</v>
      </c>
      <c r="H364" s="327">
        <f t="shared" si="161"/>
        <v>0</v>
      </c>
      <c r="I364" s="325">
        <f t="shared" si="162"/>
        <v>38947.28891870573</v>
      </c>
      <c r="J364" s="328">
        <f t="shared" si="163"/>
        <v>1.5707706510668069</v>
      </c>
      <c r="K364" s="336">
        <f t="shared" si="183"/>
        <v>7.6105596990121818</v>
      </c>
      <c r="L364" s="337">
        <f t="shared" si="184"/>
        <v>1.4390188847058356</v>
      </c>
      <c r="M364" s="325">
        <f t="shared" si="164"/>
        <v>1.0161109537672912</v>
      </c>
      <c r="N364" s="337">
        <f t="shared" si="165"/>
        <v>0.17831199631538067</v>
      </c>
      <c r="O364" s="343">
        <f t="shared" si="166"/>
        <v>1.0144337303961299</v>
      </c>
      <c r="P364" s="691">
        <f t="shared" si="167"/>
        <v>0.16889186902757736</v>
      </c>
      <c r="Q364" s="336">
        <f t="shared" si="182"/>
        <v>15.170748656697818</v>
      </c>
      <c r="R364" s="692">
        <f t="shared" si="168"/>
        <v>7.9426077843257531E-2</v>
      </c>
      <c r="S364" s="329">
        <f t="shared" si="169"/>
        <v>0.99775505382582974</v>
      </c>
      <c r="T364" s="330">
        <f t="shared" si="170"/>
        <v>0.23554139958431303</v>
      </c>
      <c r="U364" s="331">
        <f t="shared" si="171"/>
        <v>2.5586277571122857</v>
      </c>
      <c r="V364" s="332">
        <f t="shared" si="172"/>
        <v>-112.4840577642519</v>
      </c>
      <c r="W364" s="334">
        <f t="shared" si="173"/>
        <v>67.515942235748099</v>
      </c>
      <c r="Y364" s="307">
        <f t="shared" si="174"/>
        <v>1000000000</v>
      </c>
      <c r="Z364" s="307">
        <f t="shared" si="175"/>
        <v>861070336</v>
      </c>
      <c r="AB364" s="333">
        <f t="shared" si="176"/>
        <v>23.38718903321147</v>
      </c>
      <c r="AC364" s="334">
        <f t="shared" si="177"/>
        <v>-17.765345001600817</v>
      </c>
      <c r="AE364" s="333">
        <f t="shared" si="178"/>
        <v>36.646505448830482</v>
      </c>
      <c r="AF364" s="334">
        <f t="shared" si="179"/>
        <v>-99.844725014168645</v>
      </c>
      <c r="AH364">
        <f t="shared" si="180"/>
        <v>0</v>
      </c>
      <c r="AI364">
        <f t="shared" si="185"/>
        <v>0</v>
      </c>
    </row>
    <row r="365" spans="1:35" x14ac:dyDescent="0.2">
      <c r="A365" s="335">
        <v>29512</v>
      </c>
      <c r="B365" s="352">
        <f t="shared" si="181"/>
        <v>29.512</v>
      </c>
      <c r="C365" s="325">
        <f t="shared" si="156"/>
        <v>37.446914234894599</v>
      </c>
      <c r="D365" s="326">
        <f t="shared" si="157"/>
        <v>1.544088681762491</v>
      </c>
      <c r="E365" s="326">
        <f t="shared" si="158"/>
        <v>1.0006874446948191</v>
      </c>
      <c r="F365" s="327">
        <f t="shared" si="159"/>
        <v>3.7068884765022521E-2</v>
      </c>
      <c r="G365" s="326">
        <f t="shared" si="160"/>
        <v>1</v>
      </c>
      <c r="H365" s="327">
        <f t="shared" si="161"/>
        <v>0</v>
      </c>
      <c r="I365" s="325">
        <f t="shared" si="162"/>
        <v>39170.269580307475</v>
      </c>
      <c r="J365" s="328">
        <f t="shared" si="163"/>
        <v>1.5707707972284468</v>
      </c>
      <c r="K365" s="336">
        <f t="shared" si="183"/>
        <v>7.6533814407535257</v>
      </c>
      <c r="L365" s="337">
        <f t="shared" si="184"/>
        <v>1.4397604593269222</v>
      </c>
      <c r="M365" s="325">
        <f t="shared" si="164"/>
        <v>1.0162944751746614</v>
      </c>
      <c r="N365" s="337">
        <f t="shared" si="165"/>
        <v>0.17931118425300388</v>
      </c>
      <c r="O365" s="343">
        <f t="shared" si="166"/>
        <v>1.0145982827394833</v>
      </c>
      <c r="P365" s="691">
        <f t="shared" si="167"/>
        <v>0.16984037051341508</v>
      </c>
      <c r="Q365" s="336">
        <f t="shared" si="182"/>
        <v>15.171281280020333</v>
      </c>
      <c r="R365" s="692">
        <f t="shared" si="168"/>
        <v>7.9878963799484601E-2</v>
      </c>
      <c r="S365" s="329">
        <f t="shared" si="169"/>
        <v>0.9977344126457508</v>
      </c>
      <c r="T365" s="330">
        <f t="shared" si="170"/>
        <v>0.23692064589400136</v>
      </c>
      <c r="U365" s="331">
        <f t="shared" si="171"/>
        <v>2.5080080993277676</v>
      </c>
      <c r="V365" s="332">
        <f t="shared" si="172"/>
        <v>-112.54613181622135</v>
      </c>
      <c r="W365" s="334">
        <f t="shared" si="173"/>
        <v>67.453868183778653</v>
      </c>
      <c r="Y365" s="307">
        <f t="shared" si="174"/>
        <v>1000000000</v>
      </c>
      <c r="Z365" s="307">
        <f t="shared" si="175"/>
        <v>870958144</v>
      </c>
      <c r="AB365" s="333">
        <f t="shared" si="176"/>
        <v>23.384769075591876</v>
      </c>
      <c r="AC365" s="334">
        <f t="shared" si="177"/>
        <v>-17.780113531846702</v>
      </c>
      <c r="AE365" s="333">
        <f t="shared" si="178"/>
        <v>36.597201859624839</v>
      </c>
      <c r="AF365" s="334">
        <f t="shared" si="179"/>
        <v>-99.920427214032529</v>
      </c>
      <c r="AH365">
        <f t="shared" si="180"/>
        <v>0</v>
      </c>
      <c r="AI365">
        <f t="shared" si="185"/>
        <v>0</v>
      </c>
    </row>
    <row r="366" spans="1:35" x14ac:dyDescent="0.2">
      <c r="A366" s="335">
        <v>29684</v>
      </c>
      <c r="B366" s="352">
        <f t="shared" si="181"/>
        <v>29.684000000000001</v>
      </c>
      <c r="C366" s="325">
        <f t="shared" si="156"/>
        <v>37.665004821007727</v>
      </c>
      <c r="D366" s="326">
        <f t="shared" si="157"/>
        <v>1.5442433627264469</v>
      </c>
      <c r="E366" s="326">
        <f t="shared" si="158"/>
        <v>1.0006954782974393</v>
      </c>
      <c r="F366" s="327">
        <f t="shared" si="159"/>
        <v>3.7284727743607853E-2</v>
      </c>
      <c r="G366" s="326">
        <f t="shared" si="160"/>
        <v>1</v>
      </c>
      <c r="H366" s="327">
        <f t="shared" si="161"/>
        <v>0</v>
      </c>
      <c r="I366" s="325">
        <f t="shared" si="162"/>
        <v>39398.559305281531</v>
      </c>
      <c r="J366" s="328">
        <f t="shared" si="163"/>
        <v>1.5707709451561327</v>
      </c>
      <c r="K366" s="336">
        <f t="shared" si="183"/>
        <v>7.6972270590350904</v>
      </c>
      <c r="L366" s="337">
        <f t="shared" si="184"/>
        <v>1.4405111418824574</v>
      </c>
      <c r="M366" s="325">
        <f t="shared" si="164"/>
        <v>1.0164834169240922</v>
      </c>
      <c r="N366" s="337">
        <f t="shared" si="165"/>
        <v>0.18033378754471721</v>
      </c>
      <c r="O366" s="343">
        <f t="shared" si="166"/>
        <v>1.0147676983317264</v>
      </c>
      <c r="P366" s="691">
        <f t="shared" si="167"/>
        <v>0.17081113578330454</v>
      </c>
      <c r="Q366" s="336">
        <f t="shared" si="182"/>
        <v>15.17182971545043</v>
      </c>
      <c r="R366" s="692">
        <f t="shared" si="168"/>
        <v>8.0342600207187378E-2</v>
      </c>
      <c r="S366" s="329">
        <f t="shared" si="169"/>
        <v>0.99771328009362681</v>
      </c>
      <c r="T366" s="330">
        <f t="shared" si="170"/>
        <v>0.23833326657887866</v>
      </c>
      <c r="U366" s="331">
        <f t="shared" si="171"/>
        <v>2.4564867251937059</v>
      </c>
      <c r="V366" s="332">
        <f t="shared" si="172"/>
        <v>-112.6100967369906</v>
      </c>
      <c r="W366" s="334">
        <f t="shared" si="173"/>
        <v>67.389903263009401</v>
      </c>
      <c r="Y366" s="307">
        <f t="shared" si="174"/>
        <v>1000000000</v>
      </c>
      <c r="Z366" s="307">
        <f t="shared" si="175"/>
        <v>881139856</v>
      </c>
      <c r="AB366" s="333">
        <f t="shared" si="176"/>
        <v>23.382297577666968</v>
      </c>
      <c r="AC366" s="334">
        <f t="shared" si="177"/>
        <v>-17.795701918041683</v>
      </c>
      <c r="AE366" s="333">
        <f t="shared" si="178"/>
        <v>36.547015737586953</v>
      </c>
      <c r="AF366" s="334">
        <f t="shared" si="179"/>
        <v>-99.99786009211256</v>
      </c>
      <c r="AH366">
        <f t="shared" si="180"/>
        <v>0</v>
      </c>
      <c r="AI366">
        <f t="shared" si="185"/>
        <v>0</v>
      </c>
    </row>
    <row r="367" spans="1:35" x14ac:dyDescent="0.2">
      <c r="A367" s="335">
        <v>29856</v>
      </c>
      <c r="B367" s="352">
        <f t="shared" si="181"/>
        <v>29.856000000000002</v>
      </c>
      <c r="C367" s="325">
        <f t="shared" si="156"/>
        <v>37.883096297925221</v>
      </c>
      <c r="D367" s="326">
        <f t="shared" si="157"/>
        <v>1.5443962627097254</v>
      </c>
      <c r="E367" s="326">
        <f t="shared" si="158"/>
        <v>1.0007035585199018</v>
      </c>
      <c r="F367" s="327">
        <f t="shared" si="159"/>
        <v>3.7500567246582413E-2</v>
      </c>
      <c r="G367" s="326">
        <f t="shared" si="160"/>
        <v>1</v>
      </c>
      <c r="H367" s="327">
        <f t="shared" si="161"/>
        <v>0</v>
      </c>
      <c r="I367" s="325">
        <f t="shared" si="162"/>
        <v>39626.849030256446</v>
      </c>
      <c r="J367" s="328">
        <f t="shared" si="163"/>
        <v>1.5707710913794</v>
      </c>
      <c r="K367" s="336">
        <f t="shared" si="183"/>
        <v>7.7410769657534999</v>
      </c>
      <c r="L367" s="337">
        <f t="shared" si="184"/>
        <v>1.4412533202578557</v>
      </c>
      <c r="M367" s="325">
        <f t="shared" si="164"/>
        <v>1.0166734212322788</v>
      </c>
      <c r="N367" s="337">
        <f t="shared" si="165"/>
        <v>0.18135600967999146</v>
      </c>
      <c r="O367" s="343">
        <f t="shared" si="166"/>
        <v>1.0149380699062578</v>
      </c>
      <c r="P367" s="691">
        <f t="shared" si="167"/>
        <v>0.17178157605436498</v>
      </c>
      <c r="Q367" s="336">
        <f t="shared" si="182"/>
        <v>15.172381317970492</v>
      </c>
      <c r="R367" s="692">
        <f t="shared" si="168"/>
        <v>8.0806203498820922E-2</v>
      </c>
      <c r="S367" s="329">
        <f t="shared" si="169"/>
        <v>0.99769214977927312</v>
      </c>
      <c r="T367" s="330">
        <f t="shared" si="170"/>
        <v>0.23974643156366704</v>
      </c>
      <c r="U367" s="331">
        <f t="shared" si="171"/>
        <v>2.4052687149724674</v>
      </c>
      <c r="V367" s="332">
        <f t="shared" si="172"/>
        <v>-112.67447304127867</v>
      </c>
      <c r="W367" s="334">
        <f t="shared" si="173"/>
        <v>67.325526958721326</v>
      </c>
      <c r="Y367" s="307">
        <f t="shared" si="174"/>
        <v>1000000000</v>
      </c>
      <c r="Z367" s="307">
        <f t="shared" si="175"/>
        <v>891380736</v>
      </c>
      <c r="AB367" s="333">
        <f t="shared" si="176"/>
        <v>23.379831903114866</v>
      </c>
      <c r="AC367" s="334">
        <f t="shared" si="177"/>
        <v>-17.811755621555978</v>
      </c>
      <c r="AE367" s="333">
        <f t="shared" si="178"/>
        <v>36.497121018585183</v>
      </c>
      <c r="AF367" s="334">
        <f t="shared" si="179"/>
        <v>-100.07522231274184</v>
      </c>
      <c r="AH367">
        <f t="shared" si="180"/>
        <v>0</v>
      </c>
      <c r="AI367">
        <f t="shared" si="185"/>
        <v>0</v>
      </c>
    </row>
    <row r="368" spans="1:35" x14ac:dyDescent="0.2">
      <c r="A368" s="335">
        <v>30028</v>
      </c>
      <c r="B368" s="352">
        <f t="shared" si="181"/>
        <v>30.027999999999999</v>
      </c>
      <c r="C368" s="325">
        <f t="shared" si="156"/>
        <v>38.101188650350181</v>
      </c>
      <c r="D368" s="326">
        <f t="shared" si="157"/>
        <v>1.5445474122882767</v>
      </c>
      <c r="E368" s="326">
        <f t="shared" si="158"/>
        <v>1.0007116853610778</v>
      </c>
      <c r="F368" s="327">
        <f t="shared" si="159"/>
        <v>3.7716403253920158E-2</v>
      </c>
      <c r="G368" s="326">
        <f t="shared" si="160"/>
        <v>1</v>
      </c>
      <c r="H368" s="327">
        <f t="shared" si="161"/>
        <v>0</v>
      </c>
      <c r="I368" s="325">
        <f t="shared" si="162"/>
        <v>39855.138755232198</v>
      </c>
      <c r="J368" s="328">
        <f t="shared" si="163"/>
        <v>1.570771235927537</v>
      </c>
      <c r="K368" s="336">
        <f t="shared" si="183"/>
        <v>7.784931088442776</v>
      </c>
      <c r="L368" s="337">
        <f t="shared" si="184"/>
        <v>1.4419871373459063</v>
      </c>
      <c r="M368" s="325">
        <f t="shared" si="164"/>
        <v>1.0168644875035941</v>
      </c>
      <c r="N368" s="337">
        <f t="shared" si="165"/>
        <v>0.18237784873677115</v>
      </c>
      <c r="O368" s="343">
        <f t="shared" si="166"/>
        <v>1.0151093969817337</v>
      </c>
      <c r="P368" s="691">
        <f t="shared" si="167"/>
        <v>0.17275168966286511</v>
      </c>
      <c r="Q368" s="336">
        <f t="shared" si="182"/>
        <v>15.17293608723541</v>
      </c>
      <c r="R368" s="692">
        <f t="shared" si="168"/>
        <v>8.1269773487340935E-2</v>
      </c>
      <c r="S368" s="329">
        <f t="shared" si="169"/>
        <v>0.99767102388436779</v>
      </c>
      <c r="T368" s="330">
        <f t="shared" si="170"/>
        <v>0.2411601436910413</v>
      </c>
      <c r="U368" s="331">
        <f t="shared" si="171"/>
        <v>2.3543503865069577</v>
      </c>
      <c r="V368" s="332">
        <f t="shared" si="172"/>
        <v>-112.73925443398576</v>
      </c>
      <c r="W368" s="334">
        <f t="shared" si="173"/>
        <v>67.260745566014236</v>
      </c>
      <c r="Y368" s="307">
        <f t="shared" si="174"/>
        <v>1000000000</v>
      </c>
      <c r="Z368" s="307">
        <f t="shared" si="175"/>
        <v>901680784</v>
      </c>
      <c r="AB368" s="333">
        <f t="shared" si="176"/>
        <v>23.377371733021327</v>
      </c>
      <c r="AC368" s="334">
        <f t="shared" si="177"/>
        <v>-17.828266346788247</v>
      </c>
      <c r="AE368" s="333">
        <f t="shared" si="178"/>
        <v>36.447514347139403</v>
      </c>
      <c r="AF368" s="334">
        <f t="shared" si="179"/>
        <v>-100.15251579181394</v>
      </c>
      <c r="AH368">
        <f t="shared" si="180"/>
        <v>0</v>
      </c>
      <c r="AI368">
        <f t="shared" si="185"/>
        <v>0</v>
      </c>
    </row>
    <row r="369" spans="1:35" x14ac:dyDescent="0.2">
      <c r="A369" s="335">
        <v>30200</v>
      </c>
      <c r="B369" s="352">
        <f t="shared" si="181"/>
        <v>30.2</v>
      </c>
      <c r="C369" s="325">
        <f t="shared" si="156"/>
        <v>38.31928186333387</v>
      </c>
      <c r="D369" s="326">
        <f t="shared" si="157"/>
        <v>1.5446968413422864</v>
      </c>
      <c r="E369" s="326">
        <f t="shared" si="158"/>
        <v>1.0007198588198316</v>
      </c>
      <c r="F369" s="327">
        <f t="shared" si="159"/>
        <v>3.7932235745596968E-2</v>
      </c>
      <c r="G369" s="326">
        <f t="shared" si="160"/>
        <v>1</v>
      </c>
      <c r="H369" s="327">
        <f t="shared" si="161"/>
        <v>0</v>
      </c>
      <c r="I369" s="325">
        <f t="shared" si="162"/>
        <v>40083.428480208771</v>
      </c>
      <c r="J369" s="328">
        <f t="shared" si="163"/>
        <v>1.5707713788291657</v>
      </c>
      <c r="K369" s="336">
        <f t="shared" si="183"/>
        <v>7.8287893562537629</v>
      </c>
      <c r="L369" s="337">
        <f t="shared" si="184"/>
        <v>1.4427127328738389</v>
      </c>
      <c r="M369" s="325">
        <f t="shared" si="164"/>
        <v>1.0170566151395304</v>
      </c>
      <c r="N369" s="337">
        <f t="shared" si="165"/>
        <v>0.18339930279764097</v>
      </c>
      <c r="O369" s="343">
        <f t="shared" si="166"/>
        <v>1.0152816790744363</v>
      </c>
      <c r="P369" s="691">
        <f t="shared" si="167"/>
        <v>0.17372147494865303</v>
      </c>
      <c r="Q369" s="336">
        <f t="shared" si="182"/>
        <v>15.173494022898145</v>
      </c>
      <c r="R369" s="692">
        <f t="shared" si="168"/>
        <v>8.1733309985786026E-2</v>
      </c>
      <c r="S369" s="329">
        <f t="shared" si="169"/>
        <v>0.9976499046033781</v>
      </c>
      <c r="T369" s="330">
        <f t="shared" si="170"/>
        <v>0.24257440579782188</v>
      </c>
      <c r="U369" s="331">
        <f t="shared" si="171"/>
        <v>2.3037281237375318</v>
      </c>
      <c r="V369" s="332">
        <f t="shared" si="172"/>
        <v>-112.80443476121263</v>
      </c>
      <c r="W369" s="334">
        <f t="shared" si="173"/>
        <v>67.195565238787367</v>
      </c>
      <c r="Y369" s="307">
        <f t="shared" si="174"/>
        <v>1000000000</v>
      </c>
      <c r="Z369" s="307">
        <f t="shared" si="175"/>
        <v>912040000</v>
      </c>
      <c r="AB369" s="333">
        <f t="shared" si="176"/>
        <v>23.374916757705982</v>
      </c>
      <c r="AC369" s="334">
        <f t="shared" si="177"/>
        <v>-17.845225979738082</v>
      </c>
      <c r="AE369" s="333">
        <f t="shared" si="178"/>
        <v>36.398192424668814</v>
      </c>
      <c r="AF369" s="334">
        <f t="shared" si="179"/>
        <v>-100.22974240502249</v>
      </c>
      <c r="AH369">
        <f t="shared" si="180"/>
        <v>0</v>
      </c>
      <c r="AI369">
        <f t="shared" si="185"/>
        <v>0</v>
      </c>
    </row>
    <row r="370" spans="1:35" x14ac:dyDescent="0.2">
      <c r="A370" s="335">
        <v>30375.75</v>
      </c>
      <c r="B370" s="352">
        <f t="shared" si="181"/>
        <v>30.37575</v>
      </c>
      <c r="C370" s="325">
        <f t="shared" si="156"/>
        <v>38.54213088926118</v>
      </c>
      <c r="D370" s="326">
        <f t="shared" si="157"/>
        <v>1.5448477814781627</v>
      </c>
      <c r="E370" s="326">
        <f t="shared" si="158"/>
        <v>1.0007282586310202</v>
      </c>
      <c r="F370" s="327">
        <f t="shared" si="159"/>
        <v>3.8152770235225494E-2</v>
      </c>
      <c r="G370" s="326">
        <f t="shared" si="160"/>
        <v>1</v>
      </c>
      <c r="H370" s="327">
        <f t="shared" si="161"/>
        <v>0</v>
      </c>
      <c r="I370" s="325">
        <f t="shared" si="162"/>
        <v>40316.69545209701</v>
      </c>
      <c r="J370" s="328">
        <f t="shared" si="163"/>
        <v>1.5707715231747366</v>
      </c>
      <c r="K370" s="336">
        <f t="shared" si="183"/>
        <v>7.8736080458954438</v>
      </c>
      <c r="L370" s="337">
        <f t="shared" si="184"/>
        <v>1.443445797842301</v>
      </c>
      <c r="M370" s="325">
        <f t="shared" si="164"/>
        <v>1.0172540273062209</v>
      </c>
      <c r="N370" s="337">
        <f t="shared" si="165"/>
        <v>0.18444262726429297</v>
      </c>
      <c r="O370" s="343">
        <f t="shared" si="166"/>
        <v>1.015458703288258</v>
      </c>
      <c r="P370" s="691">
        <f t="shared" si="167"/>
        <v>0.17471206294740055</v>
      </c>
      <c r="Q370" s="336">
        <f t="shared" si="182"/>
        <v>15.174067393195386</v>
      </c>
      <c r="R370" s="692">
        <f t="shared" si="168"/>
        <v>8.2206917870175769E-2</v>
      </c>
      <c r="S370" s="329">
        <f t="shared" si="169"/>
        <v>0.9976283340013431</v>
      </c>
      <c r="T370" s="330">
        <f t="shared" si="170"/>
        <v>0.24402007314926868</v>
      </c>
      <c r="U370" s="331">
        <f t="shared" si="171"/>
        <v>2.2523043015036963</v>
      </c>
      <c r="V370" s="332">
        <f t="shared" si="172"/>
        <v>-112.87144198790625</v>
      </c>
      <c r="W370" s="334">
        <f t="shared" si="173"/>
        <v>67.128558012093748</v>
      </c>
      <c r="Y370" s="307">
        <f t="shared" si="174"/>
        <v>1000000000</v>
      </c>
      <c r="Z370" s="307">
        <f t="shared" si="175"/>
        <v>922686188.0625</v>
      </c>
      <c r="AB370" s="333">
        <f t="shared" si="176"/>
        <v>23.372413311252046</v>
      </c>
      <c r="AC370" s="334">
        <f t="shared" si="177"/>
        <v>-17.863010809950527</v>
      </c>
      <c r="AE370" s="333">
        <f t="shared" si="178"/>
        <v>36.348085924688313</v>
      </c>
      <c r="AF370" s="334">
        <f t="shared" si="179"/>
        <v>-100.30858558018241</v>
      </c>
      <c r="AH370">
        <f t="shared" si="180"/>
        <v>0</v>
      </c>
      <c r="AI370">
        <f t="shared" si="185"/>
        <v>0</v>
      </c>
    </row>
    <row r="371" spans="1:35" x14ac:dyDescent="0.2">
      <c r="A371" s="335">
        <v>30551.5</v>
      </c>
      <c r="B371" s="352">
        <f t="shared" si="181"/>
        <v>30.551500000000001</v>
      </c>
      <c r="C371" s="325">
        <f t="shared" si="156"/>
        <v>38.764980783195014</v>
      </c>
      <c r="D371" s="326">
        <f t="shared" si="157"/>
        <v>1.5449969861854471</v>
      </c>
      <c r="E371" s="326">
        <f t="shared" si="158"/>
        <v>1.0007367071122708</v>
      </c>
      <c r="F371" s="327">
        <f t="shared" si="159"/>
        <v>3.8373301011959703E-2</v>
      </c>
      <c r="G371" s="326">
        <f t="shared" si="160"/>
        <v>1</v>
      </c>
      <c r="H371" s="327">
        <f t="shared" si="161"/>
        <v>0</v>
      </c>
      <c r="I371" s="325">
        <f t="shared" si="162"/>
        <v>40549.962423986079</v>
      </c>
      <c r="J371" s="328">
        <f t="shared" si="163"/>
        <v>1.5707716658595881</v>
      </c>
      <c r="K371" s="336">
        <f t="shared" si="183"/>
        <v>7.9184309187916986</v>
      </c>
      <c r="L371" s="337">
        <f t="shared" si="184"/>
        <v>1.4441705640579596</v>
      </c>
      <c r="M371" s="325">
        <f t="shared" si="164"/>
        <v>1.0174525463499147</v>
      </c>
      <c r="N371" s="337">
        <f t="shared" si="165"/>
        <v>0.18548554573179524</v>
      </c>
      <c r="O371" s="343">
        <f t="shared" si="166"/>
        <v>1.0156367235878165</v>
      </c>
      <c r="P371" s="691">
        <f t="shared" si="167"/>
        <v>0.17570230465801101</v>
      </c>
      <c r="Q371" s="336">
        <f t="shared" si="182"/>
        <v>15.174644068726504</v>
      </c>
      <c r="R371" s="692">
        <f t="shared" si="168"/>
        <v>8.2680490393853626E-2</v>
      </c>
      <c r="S371" s="329">
        <f t="shared" si="169"/>
        <v>0.99760677497796124</v>
      </c>
      <c r="T371" s="330">
        <f t="shared" si="170"/>
        <v>0.24546632069262722</v>
      </c>
      <c r="U371" s="331">
        <f t="shared" si="171"/>
        <v>2.2011821665889855</v>
      </c>
      <c r="V371" s="332">
        <f t="shared" si="172"/>
        <v>-112.93885317829746</v>
      </c>
      <c r="W371" s="334">
        <f t="shared" si="173"/>
        <v>67.061146821702536</v>
      </c>
      <c r="Y371" s="307">
        <f t="shared" si="174"/>
        <v>1000000000</v>
      </c>
      <c r="Z371" s="307">
        <f t="shared" si="175"/>
        <v>933394152.25</v>
      </c>
      <c r="AB371" s="333">
        <f t="shared" si="176"/>
        <v>23.369914663039097</v>
      </c>
      <c r="AC371" s="334">
        <f t="shared" si="177"/>
        <v>-17.881247766484382</v>
      </c>
      <c r="AE371" s="333">
        <f t="shared" si="178"/>
        <v>36.298269938563394</v>
      </c>
      <c r="AF371" s="334">
        <f t="shared" si="179"/>
        <v>-100.38736277788929</v>
      </c>
      <c r="AH371">
        <f t="shared" si="180"/>
        <v>0</v>
      </c>
      <c r="AI371">
        <f t="shared" si="185"/>
        <v>0</v>
      </c>
    </row>
    <row r="372" spans="1:35" x14ac:dyDescent="0.2">
      <c r="A372" s="335">
        <v>30727.25</v>
      </c>
      <c r="B372" s="352">
        <f t="shared" si="181"/>
        <v>30.727250000000002</v>
      </c>
      <c r="C372" s="325">
        <f t="shared" si="156"/>
        <v>38.987831530251093</v>
      </c>
      <c r="D372" s="326">
        <f t="shared" si="157"/>
        <v>1.5451444852160741</v>
      </c>
      <c r="E372" s="326">
        <f t="shared" si="158"/>
        <v>1.0007452042623508</v>
      </c>
      <c r="F372" s="327">
        <f t="shared" si="159"/>
        <v>3.8593828054443384E-2</v>
      </c>
      <c r="G372" s="326">
        <f t="shared" si="160"/>
        <v>1</v>
      </c>
      <c r="H372" s="327">
        <f t="shared" si="161"/>
        <v>0</v>
      </c>
      <c r="I372" s="325">
        <f t="shared" si="162"/>
        <v>40783.229395875962</v>
      </c>
      <c r="J372" s="328">
        <f t="shared" si="163"/>
        <v>1.5707718069122165</v>
      </c>
      <c r="K372" s="336">
        <f t="shared" si="183"/>
        <v>7.963257904303541</v>
      </c>
      <c r="L372" s="337">
        <f t="shared" si="184"/>
        <v>1.4448871708995805</v>
      </c>
      <c r="M372" s="325">
        <f t="shared" si="164"/>
        <v>1.0176521716228382</v>
      </c>
      <c r="N372" s="337">
        <f t="shared" si="165"/>
        <v>0.18652805616969512</v>
      </c>
      <c r="O372" s="343">
        <f t="shared" si="166"/>
        <v>1.0158157394494238</v>
      </c>
      <c r="P372" s="691">
        <f t="shared" si="167"/>
        <v>0.17669219832103691</v>
      </c>
      <c r="Q372" s="336">
        <f t="shared" si="182"/>
        <v>15.175224049115021</v>
      </c>
      <c r="R372" s="692">
        <f t="shared" si="168"/>
        <v>8.3154027357632068E-2</v>
      </c>
      <c r="S372" s="329">
        <f t="shared" si="169"/>
        <v>0.99758522991577114</v>
      </c>
      <c r="T372" s="330">
        <f t="shared" si="170"/>
        <v>0.24691315143509521</v>
      </c>
      <c r="U372" s="331">
        <f t="shared" si="171"/>
        <v>2.150358064865781</v>
      </c>
      <c r="V372" s="332">
        <f t="shared" si="172"/>
        <v>-113.0066621994476</v>
      </c>
      <c r="W372" s="334">
        <f t="shared" si="173"/>
        <v>66.993337800552396</v>
      </c>
      <c r="Y372" s="307">
        <f t="shared" si="174"/>
        <v>1000000000</v>
      </c>
      <c r="Z372" s="307">
        <f t="shared" si="175"/>
        <v>944163892.5625</v>
      </c>
      <c r="AB372" s="333">
        <f t="shared" si="176"/>
        <v>23.367420510618043</v>
      </c>
      <c r="AC372" s="334">
        <f t="shared" si="177"/>
        <v>-17.899928748820951</v>
      </c>
      <c r="AE372" s="333">
        <f t="shared" si="178"/>
        <v>36.248741123049811</v>
      </c>
      <c r="AF372" s="334">
        <f t="shared" si="179"/>
        <v>-100.46607587632681</v>
      </c>
      <c r="AH372">
        <f t="shared" si="180"/>
        <v>0</v>
      </c>
      <c r="AI372">
        <f t="shared" si="185"/>
        <v>0</v>
      </c>
    </row>
    <row r="373" spans="1:35" x14ac:dyDescent="0.2">
      <c r="A373" s="335">
        <v>30903</v>
      </c>
      <c r="B373" s="352">
        <f t="shared" si="181"/>
        <v>30.902999999999999</v>
      </c>
      <c r="C373" s="325">
        <f t="shared" si="156"/>
        <v>39.210683115883469</v>
      </c>
      <c r="D373" s="326">
        <f t="shared" si="157"/>
        <v>1.5452903076459059</v>
      </c>
      <c r="E373" s="326">
        <f t="shared" si="158"/>
        <v>1.0007537500800201</v>
      </c>
      <c r="F373" s="327">
        <f t="shared" si="159"/>
        <v>3.881435134132253E-2</v>
      </c>
      <c r="G373" s="326">
        <f t="shared" si="160"/>
        <v>1</v>
      </c>
      <c r="H373" s="327">
        <f t="shared" si="161"/>
        <v>0</v>
      </c>
      <c r="I373" s="325">
        <f t="shared" si="162"/>
        <v>41016.496367766653</v>
      </c>
      <c r="J373" s="328">
        <f t="shared" si="163"/>
        <v>1.5707719463604701</v>
      </c>
      <c r="K373" s="336">
        <f t="shared" si="183"/>
        <v>8.008088933367242</v>
      </c>
      <c r="L373" s="337">
        <f t="shared" si="184"/>
        <v>1.445595754658791</v>
      </c>
      <c r="M373" s="325">
        <f t="shared" si="164"/>
        <v>1.0178529024741172</v>
      </c>
      <c r="N373" s="337">
        <f t="shared" si="165"/>
        <v>0.18757015655267598</v>
      </c>
      <c r="O373" s="343">
        <f t="shared" si="166"/>
        <v>1.0159957503468335</v>
      </c>
      <c r="P373" s="691">
        <f t="shared" si="167"/>
        <v>0.17768174218099572</v>
      </c>
      <c r="Q373" s="336">
        <f t="shared" si="182"/>
        <v>15.175807333982364</v>
      </c>
      <c r="R373" s="692">
        <f t="shared" si="168"/>
        <v>8.3627528562415829E-2</v>
      </c>
      <c r="S373" s="329">
        <f t="shared" si="169"/>
        <v>0.99756370121125859</v>
      </c>
      <c r="T373" s="330">
        <f t="shared" si="170"/>
        <v>0.24836056837728188</v>
      </c>
      <c r="U373" s="331">
        <f t="shared" si="171"/>
        <v>2.09982840753832</v>
      </c>
      <c r="V373" s="332">
        <f t="shared" si="172"/>
        <v>-113.07486305621939</v>
      </c>
      <c r="W373" s="334">
        <f t="shared" si="173"/>
        <v>66.925136943780615</v>
      </c>
      <c r="Y373" s="307">
        <f t="shared" si="174"/>
        <v>1000000000</v>
      </c>
      <c r="Z373" s="307">
        <f t="shared" si="175"/>
        <v>954995409</v>
      </c>
      <c r="AB373" s="333">
        <f t="shared" si="176"/>
        <v>23.364930560335068</v>
      </c>
      <c r="AC373" s="334">
        <f t="shared" si="177"/>
        <v>-17.919045833578682</v>
      </c>
      <c r="AE373" s="333">
        <f t="shared" si="178"/>
        <v>36.199496191478218</v>
      </c>
      <c r="AF373" s="334">
        <f t="shared" si="179"/>
        <v>-100.54472671456489</v>
      </c>
      <c r="AH373">
        <f t="shared" si="180"/>
        <v>0</v>
      </c>
      <c r="AI373">
        <f t="shared" si="185"/>
        <v>0</v>
      </c>
    </row>
    <row r="374" spans="1:35" x14ac:dyDescent="0.2">
      <c r="A374" s="335">
        <v>31083</v>
      </c>
      <c r="B374" s="352">
        <f t="shared" si="181"/>
        <v>31.082999999999998</v>
      </c>
      <c r="C374" s="325">
        <f t="shared" si="156"/>
        <v>39.438924570063101</v>
      </c>
      <c r="D374" s="326">
        <f t="shared" si="157"/>
        <v>1.5454379481498202</v>
      </c>
      <c r="E374" s="326">
        <f t="shared" si="158"/>
        <v>1.0007625529991504</v>
      </c>
      <c r="F374" s="327">
        <f t="shared" si="159"/>
        <v>3.9040203424023104E-2</v>
      </c>
      <c r="G374" s="326">
        <f t="shared" si="160"/>
        <v>1</v>
      </c>
      <c r="H374" s="327">
        <f t="shared" si="161"/>
        <v>0</v>
      </c>
      <c r="I374" s="325">
        <f t="shared" si="162"/>
        <v>41255.404219490505</v>
      </c>
      <c r="J374" s="328">
        <f t="shared" si="163"/>
        <v>1.5707720875462692</v>
      </c>
      <c r="K374" s="336">
        <f t="shared" si="183"/>
        <v>8.0540081906696592</v>
      </c>
      <c r="L374" s="337">
        <f t="shared" si="184"/>
        <v>1.4463132962523975</v>
      </c>
      <c r="M374" s="325">
        <f t="shared" si="164"/>
        <v>1.0180596327352833</v>
      </c>
      <c r="N374" s="337">
        <f t="shared" si="165"/>
        <v>0.18863702992750675</v>
      </c>
      <c r="O374" s="343">
        <f t="shared" si="166"/>
        <v>1.0161811451488094</v>
      </c>
      <c r="P374" s="691">
        <f t="shared" si="167"/>
        <v>0.17869485084263906</v>
      </c>
      <c r="Q374" s="336">
        <f t="shared" si="182"/>
        <v>15.176408148800135</v>
      </c>
      <c r="R374" s="692">
        <f t="shared" si="168"/>
        <v>8.411244273522353E-2</v>
      </c>
      <c r="S374" s="329">
        <f t="shared" si="169"/>
        <v>0.99754167137256378</v>
      </c>
      <c r="T374" s="330">
        <f t="shared" si="170"/>
        <v>0.24984359762996947</v>
      </c>
      <c r="U374" s="331">
        <f t="shared" si="171"/>
        <v>2.0483783660693229</v>
      </c>
      <c r="V374" s="332">
        <f t="shared" si="172"/>
        <v>-113.14511319109151</v>
      </c>
      <c r="W374" s="334">
        <f t="shared" si="173"/>
        <v>66.854886808908489</v>
      </c>
      <c r="Y374" s="307">
        <f t="shared" si="174"/>
        <v>1000000000</v>
      </c>
      <c r="Z374" s="307">
        <f t="shared" si="175"/>
        <v>966152889</v>
      </c>
      <c r="AB374" s="333">
        <f t="shared" si="176"/>
        <v>23.362384455768233</v>
      </c>
      <c r="AC374" s="334">
        <f t="shared" si="177"/>
        <v>-17.939069159665909</v>
      </c>
      <c r="AE374" s="333">
        <f t="shared" si="178"/>
        <v>36.149351303299433</v>
      </c>
      <c r="AF374" s="334">
        <f t="shared" si="179"/>
        <v>-100.62521683835679</v>
      </c>
      <c r="AH374">
        <f t="shared" si="180"/>
        <v>0</v>
      </c>
      <c r="AI374">
        <f t="shared" si="185"/>
        <v>0</v>
      </c>
    </row>
    <row r="375" spans="1:35" x14ac:dyDescent="0.2">
      <c r="A375" s="335">
        <v>31263</v>
      </c>
      <c r="B375" s="352">
        <f t="shared" si="181"/>
        <v>31.263000000000002</v>
      </c>
      <c r="C375" s="325">
        <f t="shared" si="156"/>
        <v>39.667166874028254</v>
      </c>
      <c r="D375" s="326">
        <f t="shared" si="157"/>
        <v>1.5455838896291287</v>
      </c>
      <c r="E375" s="326">
        <f t="shared" si="158"/>
        <v>1.0007714069654414</v>
      </c>
      <c r="F375" s="327">
        <f t="shared" si="159"/>
        <v>3.9266051521953137E-2</v>
      </c>
      <c r="G375" s="326">
        <f t="shared" si="160"/>
        <v>1</v>
      </c>
      <c r="H375" s="327">
        <f t="shared" si="161"/>
        <v>0</v>
      </c>
      <c r="I375" s="325">
        <f t="shared" si="162"/>
        <v>41494.312071215165</v>
      </c>
      <c r="J375" s="328">
        <f t="shared" si="163"/>
        <v>1.5707722271062843</v>
      </c>
      <c r="K375" s="336">
        <f t="shared" si="183"/>
        <v>8.099931547688886</v>
      </c>
      <c r="L375" s="337">
        <f t="shared" si="184"/>
        <v>1.4470227018628081</v>
      </c>
      <c r="M375" s="325">
        <f t="shared" si="164"/>
        <v>1.0182675212997794</v>
      </c>
      <c r="N375" s="337">
        <f t="shared" si="165"/>
        <v>0.18970346889198439</v>
      </c>
      <c r="O375" s="343">
        <f t="shared" si="166"/>
        <v>1.0163675825669685</v>
      </c>
      <c r="P375" s="691">
        <f t="shared" si="167"/>
        <v>0.17970758886419291</v>
      </c>
      <c r="Q375" s="336">
        <f t="shared" si="182"/>
        <v>15.177012429036862</v>
      </c>
      <c r="R375" s="692">
        <f t="shared" si="168"/>
        <v>8.4597318976239316E-2</v>
      </c>
      <c r="S375" s="329">
        <f t="shared" si="169"/>
        <v>0.9975196638254481</v>
      </c>
      <c r="T375" s="330">
        <f t="shared" si="170"/>
        <v>0.25132724812589874</v>
      </c>
      <c r="U375" s="331">
        <f t="shared" si="171"/>
        <v>1.9972297650652249</v>
      </c>
      <c r="V375" s="332">
        <f t="shared" si="172"/>
        <v>-113.21576203920155</v>
      </c>
      <c r="W375" s="334">
        <f t="shared" si="173"/>
        <v>66.78423796079845</v>
      </c>
      <c r="Y375" s="307">
        <f t="shared" si="174"/>
        <v>1000000000</v>
      </c>
      <c r="Z375" s="307">
        <f t="shared" si="175"/>
        <v>977375169</v>
      </c>
      <c r="AB375" s="333">
        <f t="shared" si="176"/>
        <v>23.359842162556937</v>
      </c>
      <c r="AC375" s="334">
        <f t="shared" si="177"/>
        <v>-17.959533660222586</v>
      </c>
      <c r="AE375" s="333">
        <f t="shared" si="178"/>
        <v>36.099497392793523</v>
      </c>
      <c r="AF375" s="334">
        <f t="shared" si="179"/>
        <v>-100.70564543813576</v>
      </c>
      <c r="AH375">
        <f t="shared" si="180"/>
        <v>0</v>
      </c>
      <c r="AI375">
        <f t="shared" si="185"/>
        <v>0</v>
      </c>
    </row>
    <row r="376" spans="1:35" x14ac:dyDescent="0.2">
      <c r="A376" s="335">
        <v>31443</v>
      </c>
      <c r="B376" s="352">
        <f t="shared" si="181"/>
        <v>31.443000000000001</v>
      </c>
      <c r="C376" s="325">
        <f t="shared" si="156"/>
        <v>39.895410013194024</v>
      </c>
      <c r="D376" s="326">
        <f t="shared" si="157"/>
        <v>1.5457281612381115</v>
      </c>
      <c r="E376" s="326">
        <f t="shared" si="158"/>
        <v>1.0007803119775387</v>
      </c>
      <c r="F376" s="327">
        <f t="shared" si="159"/>
        <v>3.9491895612178876E-2</v>
      </c>
      <c r="G376" s="326">
        <f t="shared" si="160"/>
        <v>1</v>
      </c>
      <c r="H376" s="327">
        <f t="shared" si="161"/>
        <v>0</v>
      </c>
      <c r="I376" s="325">
        <f t="shared" si="162"/>
        <v>41733.219922940625</v>
      </c>
      <c r="J376" s="328">
        <f t="shared" si="163"/>
        <v>1.5707723650684364</v>
      </c>
      <c r="K376" s="336">
        <f t="shared" si="183"/>
        <v>8.1458589350868369</v>
      </c>
      <c r="L376" s="337">
        <f t="shared" si="184"/>
        <v>1.4477241083850101</v>
      </c>
      <c r="M376" s="325">
        <f t="shared" si="164"/>
        <v>1.0184765674583163</v>
      </c>
      <c r="N376" s="337">
        <f t="shared" si="165"/>
        <v>0.19076947128716143</v>
      </c>
      <c r="O376" s="343">
        <f t="shared" si="166"/>
        <v>1.01655506202766</v>
      </c>
      <c r="P376" s="691">
        <f t="shared" si="167"/>
        <v>0.18071995437275304</v>
      </c>
      <c r="Q376" s="336">
        <f t="shared" si="182"/>
        <v>15.177620174278994</v>
      </c>
      <c r="R376" s="692">
        <f t="shared" si="168"/>
        <v>8.508215707187658E-2</v>
      </c>
      <c r="S376" s="329">
        <f t="shared" si="169"/>
        <v>0.99749768118999094</v>
      </c>
      <c r="T376" s="330">
        <f t="shared" si="170"/>
        <v>0.2528115230668293</v>
      </c>
      <c r="U376" s="331">
        <f t="shared" si="171"/>
        <v>1.9463789519838679</v>
      </c>
      <c r="V376" s="332">
        <f t="shared" si="172"/>
        <v>-113.28680358519591</v>
      </c>
      <c r="W376" s="334">
        <f t="shared" si="173"/>
        <v>66.713196414804088</v>
      </c>
      <c r="Y376" s="307">
        <f t="shared" si="174"/>
        <v>1000000000</v>
      </c>
      <c r="Z376" s="307">
        <f t="shared" si="175"/>
        <v>988662249</v>
      </c>
      <c r="AB376" s="333">
        <f t="shared" si="176"/>
        <v>23.357303392047299</v>
      </c>
      <c r="AC376" s="334">
        <f t="shared" si="177"/>
        <v>-17.980431369644883</v>
      </c>
      <c r="AE376" s="333">
        <f t="shared" si="178"/>
        <v>36.049931105298214</v>
      </c>
      <c r="AF376" s="334">
        <f t="shared" si="179"/>
        <v>-100.78601436908032</v>
      </c>
      <c r="AH376">
        <f t="shared" si="180"/>
        <v>0</v>
      </c>
      <c r="AI376">
        <f t="shared" si="185"/>
        <v>0</v>
      </c>
    </row>
    <row r="377" spans="1:35" x14ac:dyDescent="0.2">
      <c r="A377" s="335">
        <v>31623</v>
      </c>
      <c r="B377" s="352">
        <f t="shared" si="181"/>
        <v>31.623000000000001</v>
      </c>
      <c r="C377" s="325">
        <f t="shared" si="156"/>
        <v>40.123653973307313</v>
      </c>
      <c r="D377" s="326">
        <f t="shared" si="157"/>
        <v>1.5458707914679519</v>
      </c>
      <c r="E377" s="326">
        <f t="shared" si="158"/>
        <v>1.0007892680340791</v>
      </c>
      <c r="F377" s="327">
        <f t="shared" si="159"/>
        <v>3.9717735671769006E-2</v>
      </c>
      <c r="G377" s="326">
        <f t="shared" si="160"/>
        <v>1</v>
      </c>
      <c r="H377" s="327">
        <f t="shared" si="161"/>
        <v>0</v>
      </c>
      <c r="I377" s="325">
        <f t="shared" si="162"/>
        <v>41972.127774666886</v>
      </c>
      <c r="J377" s="328">
        <f t="shared" si="163"/>
        <v>1.5707725014600109</v>
      </c>
      <c r="K377" s="336">
        <f t="shared" si="183"/>
        <v>8.1917902850743847</v>
      </c>
      <c r="L377" s="337">
        <f t="shared" si="184"/>
        <v>1.4484176496755996</v>
      </c>
      <c r="M377" s="325">
        <f t="shared" si="164"/>
        <v>1.0186867704982396</v>
      </c>
      <c r="N377" s="337">
        <f t="shared" si="165"/>
        <v>0.19183503495982646</v>
      </c>
      <c r="O377" s="343">
        <f t="shared" si="166"/>
        <v>1.0167435829544502</v>
      </c>
      <c r="P377" s="691">
        <f t="shared" si="167"/>
        <v>0.18173194549984681</v>
      </c>
      <c r="Q377" s="336">
        <f t="shared" si="182"/>
        <v>15.178231384110676</v>
      </c>
      <c r="R377" s="692">
        <f t="shared" si="168"/>
        <v>8.5566956808652395E-2</v>
      </c>
      <c r="S377" s="329">
        <f t="shared" si="169"/>
        <v>0.99747572610162116</v>
      </c>
      <c r="T377" s="330">
        <f t="shared" si="170"/>
        <v>0.2542964256470347</v>
      </c>
      <c r="U377" s="331">
        <f t="shared" si="171"/>
        <v>1.8958223394752471</v>
      </c>
      <c r="V377" s="332">
        <f t="shared" si="172"/>
        <v>-113.35823194943076</v>
      </c>
      <c r="W377" s="334">
        <f t="shared" si="173"/>
        <v>66.64176805056924</v>
      </c>
      <c r="Y377" s="307">
        <f t="shared" si="174"/>
        <v>1000000000</v>
      </c>
      <c r="Z377" s="307">
        <f t="shared" si="175"/>
        <v>1000014129</v>
      </c>
      <c r="AB377" s="333">
        <f t="shared" si="176"/>
        <v>23.354767864041218</v>
      </c>
      <c r="AC377" s="334">
        <f t="shared" si="177"/>
        <v>-18.001754496708163</v>
      </c>
      <c r="AE377" s="333">
        <f t="shared" si="178"/>
        <v>36.000649142929056</v>
      </c>
      <c r="AF377" s="334">
        <f t="shared" si="179"/>
        <v>-100.86632544794728</v>
      </c>
      <c r="AH377">
        <f t="shared" si="180"/>
        <v>0</v>
      </c>
      <c r="AI377">
        <f t="shared" si="185"/>
        <v>0</v>
      </c>
    </row>
    <row r="378" spans="1:35" x14ac:dyDescent="0.2">
      <c r="A378" s="335">
        <v>31807</v>
      </c>
      <c r="B378" s="352">
        <f t="shared" si="181"/>
        <v>31.806999999999999</v>
      </c>
      <c r="C378" s="325">
        <f t="shared" si="156"/>
        <v>40.356970855434959</v>
      </c>
      <c r="D378" s="326">
        <f t="shared" si="157"/>
        <v>1.5460149237528857</v>
      </c>
      <c r="E378" s="326">
        <f t="shared" si="158"/>
        <v>1.0007984758711999</v>
      </c>
      <c r="F378" s="327">
        <f t="shared" si="159"/>
        <v>3.9948590209490327E-2</v>
      </c>
      <c r="G378" s="326">
        <f t="shared" si="160"/>
        <v>1</v>
      </c>
      <c r="H378" s="327">
        <f t="shared" si="161"/>
        <v>0</v>
      </c>
      <c r="I378" s="325">
        <f t="shared" si="162"/>
        <v>42216.344689765625</v>
      </c>
      <c r="J378" s="328">
        <f t="shared" si="163"/>
        <v>1.5707726392869552</v>
      </c>
      <c r="K378" s="336">
        <f t="shared" si="183"/>
        <v>8.2387463583748914</v>
      </c>
      <c r="L378" s="337">
        <f t="shared" si="184"/>
        <v>1.4491186099296336</v>
      </c>
      <c r="M378" s="325">
        <f t="shared" si="164"/>
        <v>1.0189028397010229</v>
      </c>
      <c r="N378" s="337">
        <f t="shared" si="165"/>
        <v>0.1929238221343208</v>
      </c>
      <c r="O378" s="343">
        <f t="shared" si="166"/>
        <v>1.0169373690708499</v>
      </c>
      <c r="P378" s="691">
        <f t="shared" si="167"/>
        <v>0.18276603642450207</v>
      </c>
      <c r="Q378" s="336">
        <f t="shared" si="182"/>
        <v>15.178859756878966</v>
      </c>
      <c r="R378" s="692">
        <f t="shared" si="168"/>
        <v>8.6062490003773764E-2</v>
      </c>
      <c r="S378" s="329">
        <f t="shared" si="169"/>
        <v>0.99745331435470186</v>
      </c>
      <c r="T378" s="330">
        <f t="shared" si="170"/>
        <v>0.25581497809600495</v>
      </c>
      <c r="U378" s="331">
        <f t="shared" si="171"/>
        <v>1.8444426579188438</v>
      </c>
      <c r="V378" s="332">
        <f t="shared" si="172"/>
        <v>-113.43164143443505</v>
      </c>
      <c r="W378" s="334">
        <f t="shared" si="173"/>
        <v>66.568358565564949</v>
      </c>
      <c r="Y378" s="307">
        <f t="shared" si="174"/>
        <v>1000000000</v>
      </c>
      <c r="Z378" s="307">
        <f t="shared" si="175"/>
        <v>1011685249</v>
      </c>
      <c r="AB378" s="333">
        <f t="shared" si="176"/>
        <v>23.352179059162538</v>
      </c>
      <c r="AC378" s="334">
        <f t="shared" si="177"/>
        <v>-18.023983239359701</v>
      </c>
      <c r="AE378" s="333">
        <f t="shared" si="178"/>
        <v>35.950562522890344</v>
      </c>
      <c r="AF378" s="334">
        <f t="shared" si="179"/>
        <v>-100.9483632752617</v>
      </c>
      <c r="AH378">
        <f t="shared" si="180"/>
        <v>0</v>
      </c>
      <c r="AI378">
        <f t="shared" si="185"/>
        <v>0</v>
      </c>
    </row>
    <row r="379" spans="1:35" x14ac:dyDescent="0.2">
      <c r="A379" s="335">
        <v>31991</v>
      </c>
      <c r="B379" s="352">
        <f t="shared" si="181"/>
        <v>31.991</v>
      </c>
      <c r="C379" s="325">
        <f t="shared" si="156"/>
        <v>40.5902885663048</v>
      </c>
      <c r="D379" s="326">
        <f t="shared" si="157"/>
        <v>1.546157399062396</v>
      </c>
      <c r="E379" s="326">
        <f t="shared" si="158"/>
        <v>1.000807737043709</v>
      </c>
      <c r="F379" s="327">
        <f t="shared" si="159"/>
        <v>4.0179440486998029E-2</v>
      </c>
      <c r="G379" s="326">
        <f t="shared" si="160"/>
        <v>1</v>
      </c>
      <c r="H379" s="327">
        <f t="shared" si="161"/>
        <v>0</v>
      </c>
      <c r="I379" s="325">
        <f t="shared" si="162"/>
        <v>42460.561604865157</v>
      </c>
      <c r="J379" s="328">
        <f t="shared" si="163"/>
        <v>1.5707727755284437</v>
      </c>
      <c r="K379" s="336">
        <f t="shared" si="183"/>
        <v>8.2857064338615967</v>
      </c>
      <c r="L379" s="337">
        <f t="shared" si="184"/>
        <v>1.4498116249953319</v>
      </c>
      <c r="M379" s="325">
        <f t="shared" si="164"/>
        <v>1.0191201162568235</v>
      </c>
      <c r="N379" s="337">
        <f t="shared" si="165"/>
        <v>0.19401214633935468</v>
      </c>
      <c r="O379" s="343">
        <f t="shared" si="166"/>
        <v>1.0171322422281179</v>
      </c>
      <c r="P379" s="691">
        <f t="shared" si="167"/>
        <v>0.18379973220961285</v>
      </c>
      <c r="Q379" s="336">
        <f t="shared" si="182"/>
        <v>15.179491749043367</v>
      </c>
      <c r="R379" s="692">
        <f t="shared" si="168"/>
        <v>8.6557982665476749E-2</v>
      </c>
      <c r="S379" s="329">
        <f t="shared" si="169"/>
        <v>0.99743093701078567</v>
      </c>
      <c r="T379" s="330">
        <f t="shared" si="170"/>
        <v>0.25733419311489281</v>
      </c>
      <c r="U379" s="331">
        <f t="shared" si="171"/>
        <v>1.7933630191236871</v>
      </c>
      <c r="V379" s="332">
        <f t="shared" si="172"/>
        <v>-113.50544311445078</v>
      </c>
      <c r="W379" s="334">
        <f t="shared" si="173"/>
        <v>66.494556885549216</v>
      </c>
      <c r="Y379" s="307">
        <f t="shared" si="174"/>
        <v>1000000000</v>
      </c>
      <c r="Z379" s="307">
        <f t="shared" si="175"/>
        <v>1023424081</v>
      </c>
      <c r="AB379" s="333">
        <f t="shared" si="176"/>
        <v>23.349593076257765</v>
      </c>
      <c r="AC379" s="334">
        <f t="shared" si="177"/>
        <v>-18.046640590734757</v>
      </c>
      <c r="AE379" s="333">
        <f t="shared" si="178"/>
        <v>35.900766212337416</v>
      </c>
      <c r="AF379" s="334">
        <f t="shared" si="179"/>
        <v>-101.03034437142966</v>
      </c>
      <c r="AH379">
        <f t="shared" si="180"/>
        <v>0</v>
      </c>
      <c r="AI379">
        <f t="shared" si="185"/>
        <v>0</v>
      </c>
    </row>
    <row r="380" spans="1:35" x14ac:dyDescent="0.2">
      <c r="A380" s="335">
        <v>32175</v>
      </c>
      <c r="B380" s="352">
        <f t="shared" si="181"/>
        <v>32.174999999999997</v>
      </c>
      <c r="C380" s="325">
        <f t="shared" si="156"/>
        <v>40.823607091707366</v>
      </c>
      <c r="D380" s="326">
        <f t="shared" si="157"/>
        <v>1.5462982458009065</v>
      </c>
      <c r="E380" s="326">
        <f t="shared" si="158"/>
        <v>1.0008170515501256</v>
      </c>
      <c r="F380" s="327">
        <f t="shared" si="159"/>
        <v>4.0410286479805838E-2</v>
      </c>
      <c r="G380" s="326">
        <f t="shared" si="160"/>
        <v>1</v>
      </c>
      <c r="H380" s="327">
        <f t="shared" si="161"/>
        <v>0</v>
      </c>
      <c r="I380" s="325">
        <f t="shared" si="162"/>
        <v>42704.778519965475</v>
      </c>
      <c r="J380" s="328">
        <f t="shared" si="163"/>
        <v>1.570772910211677</v>
      </c>
      <c r="K380" s="336">
        <f t="shared" si="183"/>
        <v>8.3326704438696488</v>
      </c>
      <c r="L380" s="337">
        <f t="shared" si="184"/>
        <v>1.4504968285416664</v>
      </c>
      <c r="M380" s="325">
        <f t="shared" si="164"/>
        <v>1.0193385993935833</v>
      </c>
      <c r="N380" s="337">
        <f t="shared" si="165"/>
        <v>0.19510000529367755</v>
      </c>
      <c r="O380" s="343">
        <f t="shared" si="166"/>
        <v>1.0173282018015735</v>
      </c>
      <c r="P380" s="691">
        <f t="shared" si="167"/>
        <v>0.18483303087382444</v>
      </c>
      <c r="Q380" s="336">
        <f t="shared" si="182"/>
        <v>15.180127360152218</v>
      </c>
      <c r="R380" s="692">
        <f t="shared" si="168"/>
        <v>8.705343456606747E-2</v>
      </c>
      <c r="S380" s="329">
        <f t="shared" si="169"/>
        <v>0.99740859693467154</v>
      </c>
      <c r="T380" s="330">
        <f t="shared" si="170"/>
        <v>0.25885407409103894</v>
      </c>
      <c r="U380" s="331">
        <f t="shared" si="171"/>
        <v>1.742579792410333</v>
      </c>
      <c r="V380" s="332">
        <f t="shared" si="172"/>
        <v>-113.57963112507687</v>
      </c>
      <c r="W380" s="334">
        <f t="shared" si="173"/>
        <v>66.420368874923128</v>
      </c>
      <c r="Y380" s="307">
        <f t="shared" si="174"/>
        <v>1000000000</v>
      </c>
      <c r="Z380" s="307">
        <f t="shared" si="175"/>
        <v>1035230625</v>
      </c>
      <c r="AB380" s="333">
        <f t="shared" si="176"/>
        <v>23.347009641644938</v>
      </c>
      <c r="AC380" s="334">
        <f t="shared" si="177"/>
        <v>-18.069718763017814</v>
      </c>
      <c r="AE380" s="333">
        <f t="shared" si="178"/>
        <v>35.851256864304744</v>
      </c>
      <c r="AF380" s="334">
        <f t="shared" si="179"/>
        <v>-101.11227055938811</v>
      </c>
      <c r="AH380">
        <f t="shared" si="180"/>
        <v>0</v>
      </c>
      <c r="AI380">
        <f t="shared" si="185"/>
        <v>0</v>
      </c>
    </row>
    <row r="381" spans="1:35" x14ac:dyDescent="0.2">
      <c r="A381" s="335">
        <v>32359</v>
      </c>
      <c r="B381" s="352">
        <f t="shared" si="181"/>
        <v>32.359000000000002</v>
      </c>
      <c r="C381" s="325">
        <f t="shared" si="156"/>
        <v>41.056926417756188</v>
      </c>
      <c r="D381" s="326">
        <f t="shared" si="157"/>
        <v>1.5464374917274317</v>
      </c>
      <c r="E381" s="326">
        <f t="shared" si="158"/>
        <v>1.0008264193889609</v>
      </c>
      <c r="F381" s="327">
        <f t="shared" si="159"/>
        <v>4.0641128163430226E-2</v>
      </c>
      <c r="G381" s="326">
        <f t="shared" si="160"/>
        <v>1</v>
      </c>
      <c r="H381" s="327">
        <f t="shared" si="161"/>
        <v>0</v>
      </c>
      <c r="I381" s="325">
        <f t="shared" si="162"/>
        <v>42948.99543506655</v>
      </c>
      <c r="J381" s="328">
        <f t="shared" si="163"/>
        <v>1.5707730433632363</v>
      </c>
      <c r="K381" s="336">
        <f t="shared" si="183"/>
        <v>8.379638322245512</v>
      </c>
      <c r="L381" s="337">
        <f t="shared" si="184"/>
        <v>1.4511743512704687</v>
      </c>
      <c r="M381" s="325">
        <f t="shared" si="164"/>
        <v>1.0195582883356202</v>
      </c>
      <c r="N381" s="337">
        <f t="shared" si="165"/>
        <v>0.19618739672239369</v>
      </c>
      <c r="O381" s="343">
        <f t="shared" si="166"/>
        <v>1.0175252471635361</v>
      </c>
      <c r="P381" s="691">
        <f t="shared" si="167"/>
        <v>0.18586593044069633</v>
      </c>
      <c r="Q381" s="336">
        <f t="shared" si="182"/>
        <v>15.180766589751352</v>
      </c>
      <c r="R381" s="692">
        <f t="shared" si="168"/>
        <v>8.7548845477967763E-2</v>
      </c>
      <c r="S381" s="329">
        <f t="shared" si="169"/>
        <v>0.99738629700792314</v>
      </c>
      <c r="T381" s="330">
        <f t="shared" si="170"/>
        <v>0.26037462440334075</v>
      </c>
      <c r="U381" s="331">
        <f t="shared" si="171"/>
        <v>1.6920894116672591</v>
      </c>
      <c r="V381" s="332">
        <f t="shared" si="172"/>
        <v>-113.65419973450707</v>
      </c>
      <c r="W381" s="334">
        <f t="shared" si="173"/>
        <v>66.345800265492926</v>
      </c>
      <c r="Y381" s="307">
        <f t="shared" si="174"/>
        <v>1000000000</v>
      </c>
      <c r="Z381" s="307">
        <f t="shared" si="175"/>
        <v>1047104881</v>
      </c>
      <c r="AB381" s="333">
        <f t="shared" si="176"/>
        <v>23.344428489709244</v>
      </c>
      <c r="AC381" s="334">
        <f t="shared" si="177"/>
        <v>-18.093210138726622</v>
      </c>
      <c r="AE381" s="333">
        <f t="shared" si="178"/>
        <v>35.802031188371963</v>
      </c>
      <c r="AF381" s="334">
        <f t="shared" si="179"/>
        <v>-101.19414362461077</v>
      </c>
      <c r="AH381">
        <f t="shared" si="180"/>
        <v>0</v>
      </c>
      <c r="AI381">
        <f t="shared" si="185"/>
        <v>0</v>
      </c>
    </row>
    <row r="382" spans="1:35" x14ac:dyDescent="0.2">
      <c r="A382" s="335">
        <v>32547.5</v>
      </c>
      <c r="B382" s="352">
        <f t="shared" si="181"/>
        <v>32.547499999999999</v>
      </c>
      <c r="C382" s="325">
        <f t="shared" si="156"/>
        <v>41.295952739044495</v>
      </c>
      <c r="D382" s="326">
        <f t="shared" si="157"/>
        <v>1.5465785114695392</v>
      </c>
      <c r="E382" s="326">
        <f t="shared" si="158"/>
        <v>1.0008360716358411</v>
      </c>
      <c r="F382" s="327">
        <f t="shared" si="159"/>
        <v>4.0877610937561773E-2</v>
      </c>
      <c r="G382" s="326">
        <f t="shared" si="160"/>
        <v>1</v>
      </c>
      <c r="H382" s="327">
        <f t="shared" si="161"/>
        <v>0</v>
      </c>
      <c r="I382" s="325">
        <f t="shared" si="162"/>
        <v>43199.185046461644</v>
      </c>
      <c r="J382" s="328">
        <f t="shared" si="163"/>
        <v>1.570773178210056</v>
      </c>
      <c r="K382" s="336">
        <f t="shared" si="183"/>
        <v>8.427758815380912</v>
      </c>
      <c r="L382" s="337">
        <f t="shared" si="184"/>
        <v>1.4518606125707061</v>
      </c>
      <c r="M382" s="325">
        <f t="shared" si="164"/>
        <v>1.0197845996909101</v>
      </c>
      <c r="N382" s="337">
        <f t="shared" si="165"/>
        <v>0.19730089477517132</v>
      </c>
      <c r="O382" s="343">
        <f t="shared" si="166"/>
        <v>1.0177282368554696</v>
      </c>
      <c r="P382" s="691">
        <f t="shared" si="167"/>
        <v>0.18692367521972997</v>
      </c>
      <c r="Q382" s="336">
        <f t="shared" si="182"/>
        <v>15.18142520452159</v>
      </c>
      <c r="R382" s="692">
        <f t="shared" si="168"/>
        <v>8.8056329675198705E-2</v>
      </c>
      <c r="S382" s="329">
        <f t="shared" si="169"/>
        <v>0.99736349636690358</v>
      </c>
      <c r="T382" s="330">
        <f t="shared" si="170"/>
        <v>0.26193305970166303</v>
      </c>
      <c r="U382" s="331">
        <f t="shared" si="171"/>
        <v>1.6406642265007272</v>
      </c>
      <c r="V382" s="332">
        <f t="shared" si="172"/>
        <v>-113.73098085095582</v>
      </c>
      <c r="W382" s="334">
        <f t="shared" si="173"/>
        <v>66.269019149044183</v>
      </c>
      <c r="Y382" s="307">
        <f t="shared" si="174"/>
        <v>1000000000</v>
      </c>
      <c r="Z382" s="307">
        <f t="shared" si="175"/>
        <v>1059339756.25</v>
      </c>
      <c r="AB382" s="333">
        <f t="shared" si="176"/>
        <v>23.341786309394049</v>
      </c>
      <c r="AC382" s="334">
        <f t="shared" si="177"/>
        <v>-18.117696727681679</v>
      </c>
      <c r="AE382" s="333">
        <f t="shared" si="178"/>
        <v>35.751892405202042</v>
      </c>
      <c r="AF382" s="334">
        <f t="shared" si="179"/>
        <v>-101.27796576111012</v>
      </c>
      <c r="AH382">
        <f t="shared" si="180"/>
        <v>0</v>
      </c>
      <c r="AI382">
        <f t="shared" si="185"/>
        <v>0</v>
      </c>
    </row>
    <row r="383" spans="1:35" x14ac:dyDescent="0.2">
      <c r="A383" s="335">
        <v>32736</v>
      </c>
      <c r="B383" s="352">
        <f t="shared" si="181"/>
        <v>32.735999999999997</v>
      </c>
      <c r="C383" s="325">
        <f t="shared" si="156"/>
        <v>41.534979872115436</v>
      </c>
      <c r="D383" s="326">
        <f t="shared" si="157"/>
        <v>1.5467179081224938</v>
      </c>
      <c r="E383" s="326">
        <f t="shared" si="158"/>
        <v>1.0008457798524988</v>
      </c>
      <c r="F383" s="327">
        <f t="shared" si="159"/>
        <v>4.1114089137146176E-2</v>
      </c>
      <c r="G383" s="326">
        <f t="shared" si="160"/>
        <v>1</v>
      </c>
      <c r="H383" s="327">
        <f t="shared" si="161"/>
        <v>0</v>
      </c>
      <c r="I383" s="325">
        <f t="shared" si="162"/>
        <v>43449.374657857516</v>
      </c>
      <c r="J383" s="328">
        <f t="shared" si="163"/>
        <v>1.5707733115039295</v>
      </c>
      <c r="K383" s="336">
        <f t="shared" si="183"/>
        <v>8.4758832325389868</v>
      </c>
      <c r="L383" s="337">
        <f t="shared" si="184"/>
        <v>1.4525390812709678</v>
      </c>
      <c r="M383" s="325">
        <f t="shared" si="164"/>
        <v>1.0200121748926159</v>
      </c>
      <c r="N383" s="337">
        <f t="shared" si="165"/>
        <v>0.19841389734170026</v>
      </c>
      <c r="O383" s="343">
        <f t="shared" si="166"/>
        <v>1.0179323647513265</v>
      </c>
      <c r="P383" s="691">
        <f t="shared" si="167"/>
        <v>0.18798099695821749</v>
      </c>
      <c r="Q383" s="336">
        <f t="shared" si="182"/>
        <v>15.18208761596474</v>
      </c>
      <c r="R383" s="692">
        <f t="shared" si="168"/>
        <v>8.8563770371183487E-2</v>
      </c>
      <c r="S383" s="329">
        <f t="shared" si="169"/>
        <v>0.99734074403946016</v>
      </c>
      <c r="T383" s="330">
        <f t="shared" si="170"/>
        <v>0.26349220462740047</v>
      </c>
      <c r="U383" s="331">
        <f t="shared" si="171"/>
        <v>1.5895390106630292</v>
      </c>
      <c r="V383" s="332">
        <f t="shared" si="172"/>
        <v>-113.8081496428468</v>
      </c>
      <c r="W383" s="334">
        <f t="shared" si="173"/>
        <v>66.1918503571532</v>
      </c>
      <c r="Y383" s="307">
        <f t="shared" si="174"/>
        <v>1000000000</v>
      </c>
      <c r="Z383" s="307">
        <f t="shared" si="175"/>
        <v>1071645696</v>
      </c>
      <c r="AB383" s="333">
        <f t="shared" si="176"/>
        <v>23.339145985237728</v>
      </c>
      <c r="AC383" s="334">
        <f t="shared" si="177"/>
        <v>-18.142601321479138</v>
      </c>
      <c r="AE383" s="333">
        <f t="shared" si="178"/>
        <v>35.702044524368745</v>
      </c>
      <c r="AF383" s="334">
        <f t="shared" si="179"/>
        <v>-101.36173582220935</v>
      </c>
      <c r="AH383">
        <f t="shared" si="180"/>
        <v>0</v>
      </c>
      <c r="AI383">
        <f t="shared" si="185"/>
        <v>0</v>
      </c>
    </row>
    <row r="384" spans="1:35" x14ac:dyDescent="0.2">
      <c r="A384" s="335">
        <v>32924.5</v>
      </c>
      <c r="B384" s="352">
        <f t="shared" si="181"/>
        <v>32.924500000000002</v>
      </c>
      <c r="C384" s="325">
        <f t="shared" si="156"/>
        <v>41.774007803034166</v>
      </c>
      <c r="D384" s="326">
        <f t="shared" si="157"/>
        <v>1.5468557095424367</v>
      </c>
      <c r="E384" s="326">
        <f t="shared" si="158"/>
        <v>1.0008555440373055</v>
      </c>
      <c r="F384" s="327">
        <f t="shared" si="159"/>
        <v>4.135056273586829E-2</v>
      </c>
      <c r="G384" s="326">
        <f t="shared" si="160"/>
        <v>1</v>
      </c>
      <c r="H384" s="327">
        <f t="shared" si="161"/>
        <v>0</v>
      </c>
      <c r="I384" s="325">
        <f t="shared" si="162"/>
        <v>43699.564269254151</v>
      </c>
      <c r="J384" s="328">
        <f t="shared" si="163"/>
        <v>1.5707734432715295</v>
      </c>
      <c r="K384" s="336">
        <f t="shared" si="183"/>
        <v>8.5240115072576188</v>
      </c>
      <c r="L384" s="337">
        <f t="shared" si="184"/>
        <v>1.4532098887370151</v>
      </c>
      <c r="M384" s="325">
        <f t="shared" si="164"/>
        <v>1.0202410130949957</v>
      </c>
      <c r="N384" s="337">
        <f t="shared" si="165"/>
        <v>0.19952640199695801</v>
      </c>
      <c r="O384" s="343">
        <f t="shared" si="166"/>
        <v>1.0181376301665064</v>
      </c>
      <c r="P384" s="691">
        <f t="shared" si="167"/>
        <v>0.18903789354729919</v>
      </c>
      <c r="Q384" s="336">
        <f t="shared" si="182"/>
        <v>15.182753823584306</v>
      </c>
      <c r="R384" s="692">
        <f t="shared" si="168"/>
        <v>8.9071167321616893E-2</v>
      </c>
      <c r="S384" s="329">
        <f t="shared" si="169"/>
        <v>0.99731804317852846</v>
      </c>
      <c r="T384" s="330">
        <f t="shared" si="170"/>
        <v>0.2650520627854494</v>
      </c>
      <c r="U384" s="331">
        <f t="shared" si="171"/>
        <v>1.5387101307510664</v>
      </c>
      <c r="V384" s="332">
        <f t="shared" si="172"/>
        <v>-113.88570035698464</v>
      </c>
      <c r="W384" s="334">
        <f t="shared" si="173"/>
        <v>66.114299643015357</v>
      </c>
      <c r="Y384" s="307">
        <f t="shared" si="174"/>
        <v>1000000000</v>
      </c>
      <c r="Z384" s="307">
        <f t="shared" si="175"/>
        <v>1084022700.25</v>
      </c>
      <c r="AB384" s="333">
        <f t="shared" si="176"/>
        <v>23.336507256281646</v>
      </c>
      <c r="AC384" s="334">
        <f t="shared" si="177"/>
        <v>-18.167916255999973</v>
      </c>
      <c r="AE384" s="333">
        <f t="shared" si="178"/>
        <v>35.652484184404926</v>
      </c>
      <c r="AF384" s="334">
        <f t="shared" si="179"/>
        <v>-101.44545561200086</v>
      </c>
      <c r="AH384">
        <f t="shared" si="180"/>
        <v>0</v>
      </c>
      <c r="AI384">
        <f t="shared" si="185"/>
        <v>0</v>
      </c>
    </row>
    <row r="385" spans="1:35" x14ac:dyDescent="0.2">
      <c r="A385" s="335">
        <v>33113</v>
      </c>
      <c r="B385" s="352">
        <f t="shared" si="181"/>
        <v>33.113</v>
      </c>
      <c r="C385" s="325">
        <f t="shared" si="156"/>
        <v>42.013036518182915</v>
      </c>
      <c r="D385" s="326">
        <f t="shared" si="157"/>
        <v>1.5469919429518166</v>
      </c>
      <c r="E385" s="326">
        <f t="shared" si="158"/>
        <v>1.0008653641886232</v>
      </c>
      <c r="F385" s="327">
        <f t="shared" si="159"/>
        <v>4.1587031707416074E-2</v>
      </c>
      <c r="G385" s="326">
        <f t="shared" si="160"/>
        <v>1</v>
      </c>
      <c r="H385" s="327">
        <f t="shared" si="161"/>
        <v>0</v>
      </c>
      <c r="I385" s="325">
        <f t="shared" si="162"/>
        <v>43949.753880651529</v>
      </c>
      <c r="J385" s="328">
        <f t="shared" si="163"/>
        <v>1.5707735735389217</v>
      </c>
      <c r="K385" s="336">
        <f t="shared" si="183"/>
        <v>8.5721435745620198</v>
      </c>
      <c r="L385" s="337">
        <f t="shared" si="184"/>
        <v>1.4538731634121009</v>
      </c>
      <c r="M385" s="325">
        <f t="shared" si="164"/>
        <v>1.020471113448375</v>
      </c>
      <c r="N385" s="337">
        <f t="shared" si="165"/>
        <v>0.20063840632302121</v>
      </c>
      <c r="O385" s="343">
        <f t="shared" si="166"/>
        <v>1.0183440324131472</v>
      </c>
      <c r="P385" s="691">
        <f t="shared" si="167"/>
        <v>0.19009436288361006</v>
      </c>
      <c r="Q385" s="336">
        <f t="shared" si="182"/>
        <v>15.183423826881031</v>
      </c>
      <c r="R385" s="692">
        <f t="shared" si="168"/>
        <v>8.9578520282323965E-2</v>
      </c>
      <c r="S385" s="329">
        <f t="shared" si="169"/>
        <v>0.99729539695551206</v>
      </c>
      <c r="T385" s="330">
        <f t="shared" si="170"/>
        <v>0.26661263777109706</v>
      </c>
      <c r="U385" s="331">
        <f t="shared" si="171"/>
        <v>1.4881740178826028</v>
      </c>
      <c r="V385" s="332">
        <f t="shared" si="172"/>
        <v>-113.96362737082721</v>
      </c>
      <c r="W385" s="334">
        <f t="shared" si="173"/>
        <v>66.036372629172789</v>
      </c>
      <c r="Y385" s="307">
        <f t="shared" si="174"/>
        <v>1000000000</v>
      </c>
      <c r="Z385" s="307">
        <f t="shared" si="175"/>
        <v>1096470769</v>
      </c>
      <c r="AB385" s="333">
        <f t="shared" si="176"/>
        <v>23.333869869330854</v>
      </c>
      <c r="AC385" s="334">
        <f t="shared" si="177"/>
        <v>-18.193634034944512</v>
      </c>
      <c r="AE385" s="333">
        <f t="shared" si="178"/>
        <v>35.603208080648557</v>
      </c>
      <c r="AF385" s="334">
        <f t="shared" si="179"/>
        <v>-101.52912689771844</v>
      </c>
      <c r="AH385">
        <f t="shared" si="180"/>
        <v>0</v>
      </c>
      <c r="AI385">
        <f t="shared" si="185"/>
        <v>0</v>
      </c>
    </row>
    <row r="386" spans="1:35" x14ac:dyDescent="0.2">
      <c r="A386" s="335">
        <v>33305.75</v>
      </c>
      <c r="B386" s="352">
        <f t="shared" si="181"/>
        <v>33.305750000000003</v>
      </c>
      <c r="C386" s="325">
        <f t="shared" si="156"/>
        <v>42.257455272006787</v>
      </c>
      <c r="D386" s="326">
        <f t="shared" si="157"/>
        <v>1.5471296542146011</v>
      </c>
      <c r="E386" s="326">
        <f t="shared" si="158"/>
        <v>1.000875463620974</v>
      </c>
      <c r="F386" s="327">
        <f t="shared" si="159"/>
        <v>4.1828827395250477E-2</v>
      </c>
      <c r="G386" s="326">
        <f t="shared" si="160"/>
        <v>1</v>
      </c>
      <c r="H386" s="327">
        <f t="shared" si="161"/>
        <v>0</v>
      </c>
      <c r="I386" s="325">
        <f t="shared" si="162"/>
        <v>44205.584371882243</v>
      </c>
      <c r="J386" s="328">
        <f t="shared" si="163"/>
        <v>1.5707737052185891</v>
      </c>
      <c r="K386" s="336">
        <f t="shared" si="183"/>
        <v>8.6213647032627421</v>
      </c>
      <c r="L386" s="337">
        <f t="shared" si="184"/>
        <v>1.4545437339349143</v>
      </c>
      <c r="M386" s="325">
        <f t="shared" si="164"/>
        <v>1.0207077060087009</v>
      </c>
      <c r="N386" s="337">
        <f t="shared" si="165"/>
        <v>0.20177496247570936</v>
      </c>
      <c r="O386" s="343">
        <f t="shared" si="166"/>
        <v>1.01855626313892</v>
      </c>
      <c r="P386" s="691">
        <f t="shared" si="167"/>
        <v>0.19117420782384317</v>
      </c>
      <c r="Q386" s="336">
        <f t="shared" si="182"/>
        <v>15.184112860840147</v>
      </c>
      <c r="R386" s="692">
        <f t="shared" si="168"/>
        <v>9.0097266492634956E-2</v>
      </c>
      <c r="S386" s="329">
        <f t="shared" si="169"/>
        <v>0.99727229996435973</v>
      </c>
      <c r="T386" s="330">
        <f t="shared" si="170"/>
        <v>0.26820914312262606</v>
      </c>
      <c r="U386" s="331">
        <f t="shared" si="171"/>
        <v>1.4367975871113916</v>
      </c>
      <c r="V386" s="332">
        <f t="shared" si="172"/>
        <v>-114.04369475674301</v>
      </c>
      <c r="W386" s="334">
        <f t="shared" si="173"/>
        <v>65.956305243256992</v>
      </c>
      <c r="Y386" s="307">
        <f t="shared" si="174"/>
        <v>1000000000</v>
      </c>
      <c r="Z386" s="307">
        <f t="shared" si="175"/>
        <v>1109272983.0625</v>
      </c>
      <c r="AB386" s="333">
        <f t="shared" si="176"/>
        <v>23.331174150554709</v>
      </c>
      <c r="AC386" s="334">
        <f t="shared" si="177"/>
        <v>-18.220340589569801</v>
      </c>
      <c r="AE386" s="333">
        <f t="shared" si="178"/>
        <v>35.553111513631841</v>
      </c>
      <c r="AF386" s="334">
        <f t="shared" si="179"/>
        <v>-101.61463631816039</v>
      </c>
      <c r="AH386">
        <f t="shared" si="180"/>
        <v>0</v>
      </c>
      <c r="AI386">
        <f t="shared" si="185"/>
        <v>0</v>
      </c>
    </row>
    <row r="387" spans="1:35" x14ac:dyDescent="0.2">
      <c r="A387" s="335">
        <v>33498.5</v>
      </c>
      <c r="B387" s="352">
        <f t="shared" si="181"/>
        <v>33.4985</v>
      </c>
      <c r="C387" s="325">
        <f t="shared" si="156"/>
        <v>42.501874818000395</v>
      </c>
      <c r="D387" s="326">
        <f t="shared" si="157"/>
        <v>1.5472657815816098</v>
      </c>
      <c r="E387" s="326">
        <f t="shared" si="158"/>
        <v>1.0008856215684807</v>
      </c>
      <c r="F387" s="327">
        <f t="shared" si="159"/>
        <v>4.2070618189271762E-2</v>
      </c>
      <c r="G387" s="326">
        <f t="shared" si="160"/>
        <v>1</v>
      </c>
      <c r="H387" s="327">
        <f t="shared" si="161"/>
        <v>0</v>
      </c>
      <c r="I387" s="325">
        <f t="shared" si="162"/>
        <v>44461.414863113714</v>
      </c>
      <c r="J387" s="328">
        <f t="shared" si="163"/>
        <v>1.5707738353828899</v>
      </c>
      <c r="K387" s="336">
        <f t="shared" si="183"/>
        <v>8.6705896646722014</v>
      </c>
      <c r="L387" s="337">
        <f t="shared" si="184"/>
        <v>1.4552066907822576</v>
      </c>
      <c r="M387" s="325">
        <f t="shared" si="164"/>
        <v>1.0209456164662067</v>
      </c>
      <c r="N387" s="337">
        <f t="shared" si="165"/>
        <v>0.20291099039305596</v>
      </c>
      <c r="O387" s="343">
        <f t="shared" si="166"/>
        <v>1.0187696810719449</v>
      </c>
      <c r="P387" s="691">
        <f t="shared" si="167"/>
        <v>0.19225360159759813</v>
      </c>
      <c r="Q387" s="336">
        <f t="shared" si="182"/>
        <v>15.18480586249914</v>
      </c>
      <c r="R387" s="692">
        <f t="shared" si="168"/>
        <v>9.0615966191280276E-2</v>
      </c>
      <c r="S387" s="329">
        <f t="shared" si="169"/>
        <v>0.99724926686858784</v>
      </c>
      <c r="T387" s="330">
        <f t="shared" si="170"/>
        <v>0.26980640556207908</v>
      </c>
      <c r="U387" s="331">
        <f t="shared" si="171"/>
        <v>1.3857199263861331</v>
      </c>
      <c r="V387" s="332">
        <f t="shared" si="172"/>
        <v>-114.12414411445791</v>
      </c>
      <c r="W387" s="334">
        <f t="shared" si="173"/>
        <v>65.875855885542094</v>
      </c>
      <c r="Y387" s="307">
        <f t="shared" si="174"/>
        <v>1000000000</v>
      </c>
      <c r="Z387" s="307">
        <f t="shared" si="175"/>
        <v>1122149502.25</v>
      </c>
      <c r="AB387" s="333">
        <f t="shared" si="176"/>
        <v>23.328479323279883</v>
      </c>
      <c r="AC387" s="334">
        <f t="shared" si="177"/>
        <v>-18.247453023186786</v>
      </c>
      <c r="AE387" s="333">
        <f t="shared" si="178"/>
        <v>35.503305331978147</v>
      </c>
      <c r="AF387" s="334">
        <f t="shared" si="179"/>
        <v>-101.70009864639677</v>
      </c>
      <c r="AH387">
        <f t="shared" si="180"/>
        <v>0</v>
      </c>
      <c r="AI387">
        <f t="shared" si="185"/>
        <v>0</v>
      </c>
    </row>
    <row r="388" spans="1:35" x14ac:dyDescent="0.2">
      <c r="A388" s="335">
        <v>33691.25</v>
      </c>
      <c r="B388" s="352">
        <f t="shared" si="181"/>
        <v>33.691249999999997</v>
      </c>
      <c r="C388" s="325">
        <f t="shared" si="156"/>
        <v>42.746295142575079</v>
      </c>
      <c r="D388" s="326">
        <f t="shared" si="157"/>
        <v>1.5474003522175697</v>
      </c>
      <c r="E388" s="326">
        <f t="shared" si="158"/>
        <v>1.000895838029362</v>
      </c>
      <c r="F388" s="327">
        <f t="shared" si="159"/>
        <v>4.2312404061357833E-2</v>
      </c>
      <c r="G388" s="326">
        <f t="shared" si="160"/>
        <v>1</v>
      </c>
      <c r="H388" s="327">
        <f t="shared" si="161"/>
        <v>0</v>
      </c>
      <c r="I388" s="325">
        <f t="shared" si="162"/>
        <v>44717.245354345934</v>
      </c>
      <c r="J388" s="328">
        <f t="shared" si="163"/>
        <v>1.5707739640578327</v>
      </c>
      <c r="K388" s="336">
        <f t="shared" si="183"/>
        <v>8.7198183938813827</v>
      </c>
      <c r="L388" s="337">
        <f t="shared" si="184"/>
        <v>1.4558621623180046</v>
      </c>
      <c r="M388" s="325">
        <f t="shared" si="164"/>
        <v>1.0211848438997813</v>
      </c>
      <c r="N388" s="337">
        <f t="shared" si="165"/>
        <v>0.20404648751306362</v>
      </c>
      <c r="O388" s="343">
        <f t="shared" si="166"/>
        <v>1.018984285466269</v>
      </c>
      <c r="P388" s="691">
        <f t="shared" si="167"/>
        <v>0.19333254197396407</v>
      </c>
      <c r="Q388" s="336">
        <f t="shared" si="182"/>
        <v>15.185502831315286</v>
      </c>
      <c r="R388" s="692">
        <f t="shared" si="168"/>
        <v>9.1134619117620899E-2</v>
      </c>
      <c r="S388" s="329">
        <f t="shared" si="169"/>
        <v>0.99722630111889221</v>
      </c>
      <c r="T388" s="330">
        <f t="shared" si="170"/>
        <v>0.27140442890176159</v>
      </c>
      <c r="U388" s="331">
        <f t="shared" si="171"/>
        <v>1.3349374193055206</v>
      </c>
      <c r="V388" s="332">
        <f t="shared" si="172"/>
        <v>-114.20496983331493</v>
      </c>
      <c r="W388" s="334">
        <f t="shared" si="173"/>
        <v>65.795030166685066</v>
      </c>
      <c r="Y388" s="307">
        <f t="shared" si="174"/>
        <v>1000000000</v>
      </c>
      <c r="Z388" s="307">
        <f t="shared" si="175"/>
        <v>1135100326.5625</v>
      </c>
      <c r="AB388" s="333">
        <f t="shared" si="176"/>
        <v>23.325785140339651</v>
      </c>
      <c r="AC388" s="334">
        <f t="shared" si="177"/>
        <v>-18.274963835785808</v>
      </c>
      <c r="AE388" s="333">
        <f t="shared" si="178"/>
        <v>35.453786178394694</v>
      </c>
      <c r="AF388" s="334">
        <f t="shared" si="179"/>
        <v>-101.78551565889205</v>
      </c>
      <c r="AH388">
        <f t="shared" si="180"/>
        <v>0</v>
      </c>
      <c r="AI388">
        <f t="shared" si="185"/>
        <v>0</v>
      </c>
    </row>
    <row r="389" spans="1:35" x14ac:dyDescent="0.2">
      <c r="A389" s="335">
        <v>33884</v>
      </c>
      <c r="B389" s="352">
        <f t="shared" si="181"/>
        <v>33.884</v>
      </c>
      <c r="C389" s="325">
        <f t="shared" si="156"/>
        <v>42.990716232451142</v>
      </c>
      <c r="D389" s="326">
        <f t="shared" si="157"/>
        <v>1.5475333926696624</v>
      </c>
      <c r="E389" s="326">
        <f t="shared" si="158"/>
        <v>1.0009061130018255</v>
      </c>
      <c r="F389" s="327">
        <f t="shared" si="159"/>
        <v>4.2554184983390031E-2</v>
      </c>
      <c r="G389" s="326">
        <f t="shared" si="160"/>
        <v>1</v>
      </c>
      <c r="H389" s="327">
        <f t="shared" si="161"/>
        <v>0</v>
      </c>
      <c r="I389" s="325">
        <f t="shared" si="162"/>
        <v>44973.075845578875</v>
      </c>
      <c r="J389" s="328">
        <f t="shared" si="163"/>
        <v>1.5707740912688339</v>
      </c>
      <c r="K389" s="336">
        <f t="shared" si="183"/>
        <v>8.7690508274339383</v>
      </c>
      <c r="L389" s="337">
        <f t="shared" si="184"/>
        <v>1.4565102740493752</v>
      </c>
      <c r="M389" s="325">
        <f t="shared" si="164"/>
        <v>1.0214253873840802</v>
      </c>
      <c r="N389" s="337">
        <f t="shared" si="165"/>
        <v>0.20518145128160359</v>
      </c>
      <c r="O389" s="343">
        <f t="shared" si="166"/>
        <v>1.0192000755724231</v>
      </c>
      <c r="P389" s="691">
        <f t="shared" si="167"/>
        <v>0.19441102672812638</v>
      </c>
      <c r="Q389" s="336">
        <f t="shared" si="182"/>
        <v>15.186203766742851</v>
      </c>
      <c r="R389" s="692">
        <f t="shared" si="168"/>
        <v>9.16532250111632E-2</v>
      </c>
      <c r="S389" s="329">
        <f t="shared" si="169"/>
        <v>0.99720340618616066</v>
      </c>
      <c r="T389" s="330">
        <f t="shared" si="170"/>
        <v>0.27300321694312135</v>
      </c>
      <c r="U389" s="331">
        <f t="shared" si="171"/>
        <v>1.2844465134714886</v>
      </c>
      <c r="V389" s="332">
        <f t="shared" si="172"/>
        <v>-114.28616643040229</v>
      </c>
      <c r="W389" s="334">
        <f t="shared" si="173"/>
        <v>65.71383356959771</v>
      </c>
      <c r="Y389" s="307">
        <f t="shared" si="174"/>
        <v>1000000000</v>
      </c>
      <c r="Z389" s="307">
        <f t="shared" si="175"/>
        <v>1148125456</v>
      </c>
      <c r="AB389" s="333">
        <f t="shared" si="176"/>
        <v>23.323091361983096</v>
      </c>
      <c r="AC389" s="334">
        <f t="shared" si="177"/>
        <v>-18.302865691448329</v>
      </c>
      <c r="AE389" s="333">
        <f t="shared" si="178"/>
        <v>35.404550752227507</v>
      </c>
      <c r="AF389" s="334">
        <f t="shared" si="179"/>
        <v>-101.8708890961057</v>
      </c>
      <c r="AH389">
        <f t="shared" si="180"/>
        <v>0</v>
      </c>
      <c r="AI389">
        <f t="shared" si="185"/>
        <v>0</v>
      </c>
    </row>
    <row r="390" spans="1:35" x14ac:dyDescent="0.2">
      <c r="A390" s="335">
        <v>34081.5</v>
      </c>
      <c r="B390" s="352">
        <f t="shared" si="181"/>
        <v>34.081499999999998</v>
      </c>
      <c r="C390" s="325">
        <f t="shared" si="156"/>
        <v>43.241161449799804</v>
      </c>
      <c r="D390" s="326">
        <f t="shared" si="157"/>
        <v>1.5476681515999189</v>
      </c>
      <c r="E390" s="326">
        <f t="shared" si="158"/>
        <v>1.0009167018740714</v>
      </c>
      <c r="F390" s="327">
        <f t="shared" si="159"/>
        <v>4.2801919026203457E-2</v>
      </c>
      <c r="G390" s="326">
        <f t="shared" si="160"/>
        <v>1</v>
      </c>
      <c r="H390" s="327">
        <f t="shared" si="161"/>
        <v>0</v>
      </c>
      <c r="I390" s="325">
        <f t="shared" si="162"/>
        <v>45235.210849566691</v>
      </c>
      <c r="J390" s="328">
        <f t="shared" si="163"/>
        <v>1.5707742201222117</v>
      </c>
      <c r="K390" s="336">
        <f t="shared" si="183"/>
        <v>8.8195002891419332</v>
      </c>
      <c r="L390" s="337">
        <f t="shared" si="184"/>
        <v>1.4571668516430036</v>
      </c>
      <c r="M390" s="325">
        <f t="shared" si="164"/>
        <v>1.0216732227844998</v>
      </c>
      <c r="N390" s="337">
        <f t="shared" si="165"/>
        <v>0.2063438284343749</v>
      </c>
      <c r="O390" s="343">
        <f t="shared" si="166"/>
        <v>1.0194224125775015</v>
      </c>
      <c r="P390" s="691">
        <f t="shared" si="167"/>
        <v>0.19551561400472525</v>
      </c>
      <c r="Q390" s="336">
        <f t="shared" si="182"/>
        <v>15.18692608941441</v>
      </c>
      <c r="R390" s="692">
        <f t="shared" si="168"/>
        <v>9.2184562017968583E-2</v>
      </c>
      <c r="S390" s="329">
        <f t="shared" si="169"/>
        <v>0.99718002415354623</v>
      </c>
      <c r="T390" s="330">
        <f t="shared" si="170"/>
        <v>0.27464220159542896</v>
      </c>
      <c r="U390" s="331">
        <f t="shared" si="171"/>
        <v>1.2330101635624684</v>
      </c>
      <c r="V390" s="332">
        <f t="shared" si="172"/>
        <v>-114.36974307833151</v>
      </c>
      <c r="W390" s="334">
        <f t="shared" si="173"/>
        <v>65.63025692166849</v>
      </c>
      <c r="Y390" s="307">
        <f t="shared" si="174"/>
        <v>1000000000</v>
      </c>
      <c r="Z390" s="307">
        <f t="shared" si="175"/>
        <v>1161548642.25</v>
      </c>
      <c r="AB390" s="333">
        <f t="shared" si="176"/>
        <v>23.320331376460253</v>
      </c>
      <c r="AC390" s="334">
        <f t="shared" si="177"/>
        <v>-18.331853254254625</v>
      </c>
      <c r="AE390" s="333">
        <f t="shared" si="178"/>
        <v>35.35439290967706</v>
      </c>
      <c r="AF390" s="334">
        <f t="shared" si="179"/>
        <v>-101.95832300233003</v>
      </c>
      <c r="AH390">
        <f t="shared" si="180"/>
        <v>0</v>
      </c>
      <c r="AI390">
        <f t="shared" si="185"/>
        <v>0</v>
      </c>
    </row>
    <row r="391" spans="1:35" x14ac:dyDescent="0.2">
      <c r="A391" s="335">
        <v>34279</v>
      </c>
      <c r="B391" s="352">
        <f t="shared" si="181"/>
        <v>34.279000000000003</v>
      </c>
      <c r="C391" s="325">
        <f t="shared" si="156"/>
        <v>43.491607443362845</v>
      </c>
      <c r="D391" s="326">
        <f t="shared" si="157"/>
        <v>1.5478013585166233</v>
      </c>
      <c r="E391" s="326">
        <f t="shared" si="158"/>
        <v>1.0009273521734317</v>
      </c>
      <c r="F391" s="327">
        <f t="shared" si="159"/>
        <v>4.3049647812225818E-2</v>
      </c>
      <c r="G391" s="326">
        <f t="shared" si="160"/>
        <v>1</v>
      </c>
      <c r="H391" s="327">
        <f t="shared" si="161"/>
        <v>0</v>
      </c>
      <c r="I391" s="325">
        <f t="shared" si="162"/>
        <v>45497.345853555242</v>
      </c>
      <c r="J391" s="328">
        <f t="shared" si="163"/>
        <v>1.5707743474908005</v>
      </c>
      <c r="K391" s="336">
        <f t="shared" si="183"/>
        <v>8.8699535096343194</v>
      </c>
      <c r="L391" s="337">
        <f t="shared" si="184"/>
        <v>1.4578159601501757</v>
      </c>
      <c r="M391" s="325">
        <f t="shared" si="164"/>
        <v>1.0219224379180678</v>
      </c>
      <c r="N391" s="337">
        <f t="shared" si="165"/>
        <v>0.20750564022090798</v>
      </c>
      <c r="O391" s="343">
        <f t="shared" si="166"/>
        <v>1.019645992849852</v>
      </c>
      <c r="P391" s="691">
        <f t="shared" si="167"/>
        <v>0.19661971821685403</v>
      </c>
      <c r="Q391" s="336">
        <f t="shared" si="182"/>
        <v>15.18765257543752</v>
      </c>
      <c r="R391" s="692">
        <f t="shared" si="168"/>
        <v>9.2715849092074767E-2</v>
      </c>
      <c r="S391" s="329">
        <f t="shared" si="169"/>
        <v>0.99715672391416188</v>
      </c>
      <c r="T391" s="330">
        <f t="shared" si="170"/>
        <v>0.27628199714863488</v>
      </c>
      <c r="U391" s="331">
        <f t="shared" si="171"/>
        <v>1.1818726122987411</v>
      </c>
      <c r="V391" s="332">
        <f t="shared" si="172"/>
        <v>-114.45369785040765</v>
      </c>
      <c r="W391" s="334">
        <f t="shared" si="173"/>
        <v>65.54630214959235</v>
      </c>
      <c r="Y391" s="307">
        <f t="shared" si="174"/>
        <v>1000000000</v>
      </c>
      <c r="Z391" s="307">
        <f t="shared" si="175"/>
        <v>1175049841</v>
      </c>
      <c r="AB391" s="333">
        <f t="shared" si="176"/>
        <v>23.317571328899163</v>
      </c>
      <c r="AC391" s="334">
        <f t="shared" si="177"/>
        <v>-18.361236286020684</v>
      </c>
      <c r="AE391" s="333">
        <f t="shared" si="178"/>
        <v>35.304526111550835</v>
      </c>
      <c r="AF391" s="334">
        <f t="shared" si="179"/>
        <v>-102.04571474711904</v>
      </c>
      <c r="AH391">
        <f t="shared" si="180"/>
        <v>0</v>
      </c>
      <c r="AI391">
        <f t="shared" si="185"/>
        <v>0</v>
      </c>
    </row>
    <row r="392" spans="1:35" x14ac:dyDescent="0.2">
      <c r="A392" s="335">
        <v>34476.5</v>
      </c>
      <c r="B392" s="352">
        <f t="shared" si="181"/>
        <v>34.476500000000001</v>
      </c>
      <c r="C392" s="325">
        <f t="shared" si="156"/>
        <v>43.742054199807569</v>
      </c>
      <c r="D392" s="326">
        <f t="shared" si="157"/>
        <v>1.5479330400733406</v>
      </c>
      <c r="E392" s="326">
        <f t="shared" si="158"/>
        <v>1.0009380638979448</v>
      </c>
      <c r="F392" s="327">
        <f t="shared" si="159"/>
        <v>4.3297371311219399E-2</v>
      </c>
      <c r="G392" s="326">
        <f t="shared" si="160"/>
        <v>1</v>
      </c>
      <c r="H392" s="327">
        <f t="shared" si="161"/>
        <v>0</v>
      </c>
      <c r="I392" s="325">
        <f t="shared" si="162"/>
        <v>45759.480857544528</v>
      </c>
      <c r="J392" s="328">
        <f t="shared" si="163"/>
        <v>1.5707744734001172</v>
      </c>
      <c r="K392" s="336">
        <f t="shared" si="183"/>
        <v>8.9204104251328307</v>
      </c>
      <c r="L392" s="337">
        <f t="shared" si="184"/>
        <v>1.4584577257623847</v>
      </c>
      <c r="M392" s="325">
        <f t="shared" si="164"/>
        <v>1.0221730317756101</v>
      </c>
      <c r="N392" s="337">
        <f t="shared" si="165"/>
        <v>0.2086668839194365</v>
      </c>
      <c r="O392" s="343">
        <f t="shared" si="166"/>
        <v>1.0198708155718124</v>
      </c>
      <c r="P392" s="691">
        <f t="shared" si="167"/>
        <v>0.19772333699119182</v>
      </c>
      <c r="Q392" s="336">
        <f t="shared" si="182"/>
        <v>15.188383224215292</v>
      </c>
      <c r="R392" s="692">
        <f t="shared" si="168"/>
        <v>9.3247085953731546E-2</v>
      </c>
      <c r="S392" s="329">
        <f t="shared" si="169"/>
        <v>0.99713350926784183</v>
      </c>
      <c r="T392" s="330">
        <f t="shared" si="170"/>
        <v>0.27792260765614035</v>
      </c>
      <c r="U392" s="331">
        <f t="shared" si="171"/>
        <v>1.1310302373293111</v>
      </c>
      <c r="V392" s="332">
        <f t="shared" si="172"/>
        <v>-114.53802524297177</v>
      </c>
      <c r="W392" s="334">
        <f t="shared" si="173"/>
        <v>65.46197475702823</v>
      </c>
      <c r="Y392" s="307">
        <f t="shared" si="174"/>
        <v>1000000000</v>
      </c>
      <c r="Z392" s="307">
        <f t="shared" si="175"/>
        <v>1188629052.25</v>
      </c>
      <c r="AB392" s="333">
        <f t="shared" si="176"/>
        <v>23.31481098403389</v>
      </c>
      <c r="AC392" s="334">
        <f t="shared" si="177"/>
        <v>-18.391007402022797</v>
      </c>
      <c r="AE392" s="333">
        <f t="shared" si="178"/>
        <v>35.25494698383153</v>
      </c>
      <c r="AF392" s="334">
        <f t="shared" si="179"/>
        <v>-102.13306609158479</v>
      </c>
      <c r="AH392">
        <f t="shared" si="180"/>
        <v>0</v>
      </c>
      <c r="AI392">
        <f t="shared" si="185"/>
        <v>0</v>
      </c>
    </row>
    <row r="393" spans="1:35" x14ac:dyDescent="0.2">
      <c r="A393" s="335">
        <v>34674</v>
      </c>
      <c r="B393" s="352">
        <f t="shared" si="181"/>
        <v>34.673999999999999</v>
      </c>
      <c r="C393" s="325">
        <f t="shared" si="156"/>
        <v>43.992501706104868</v>
      </c>
      <c r="D393" s="326">
        <f t="shared" si="157"/>
        <v>1.5480632223169006</v>
      </c>
      <c r="E393" s="326">
        <f t="shared" si="158"/>
        <v>1.0009488370456392</v>
      </c>
      <c r="F393" s="327">
        <f t="shared" si="159"/>
        <v>4.3545089492950377E-2</v>
      </c>
      <c r="G393" s="326">
        <f t="shared" si="160"/>
        <v>1</v>
      </c>
      <c r="H393" s="327">
        <f t="shared" si="161"/>
        <v>0</v>
      </c>
      <c r="I393" s="325">
        <f t="shared" si="162"/>
        <v>46021.615861534527</v>
      </c>
      <c r="J393" s="328">
        <f t="shared" si="163"/>
        <v>1.5707745978750975</v>
      </c>
      <c r="K393" s="336">
        <f t="shared" si="183"/>
        <v>8.9708709732894683</v>
      </c>
      <c r="L393" s="337">
        <f t="shared" si="184"/>
        <v>1.4590922718563579</v>
      </c>
      <c r="M393" s="325">
        <f t="shared" si="164"/>
        <v>1.0224250033433606</v>
      </c>
      <c r="N393" s="337">
        <f t="shared" si="165"/>
        <v>0.20982755681698356</v>
      </c>
      <c r="O393" s="343">
        <f t="shared" si="166"/>
        <v>1.0200968799218986</v>
      </c>
      <c r="P393" s="691">
        <f t="shared" si="167"/>
        <v>0.19882646796123427</v>
      </c>
      <c r="Q393" s="336">
        <f t="shared" si="182"/>
        <v>15.189118035147526</v>
      </c>
      <c r="R393" s="692">
        <f t="shared" si="168"/>
        <v>9.377827232335248E-2</v>
      </c>
      <c r="S393" s="329">
        <f t="shared" si="169"/>
        <v>0.99711038403667607</v>
      </c>
      <c r="T393" s="330">
        <f t="shared" si="170"/>
        <v>0.27956403715897321</v>
      </c>
      <c r="U393" s="331">
        <f t="shared" si="171"/>
        <v>1.0804794803231952</v>
      </c>
      <c r="V393" s="332">
        <f t="shared" si="172"/>
        <v>-114.62271987825591</v>
      </c>
      <c r="W393" s="334">
        <f t="shared" si="173"/>
        <v>65.377280121744093</v>
      </c>
      <c r="Y393" s="307">
        <f t="shared" si="174"/>
        <v>1000000000</v>
      </c>
      <c r="Z393" s="307">
        <f t="shared" si="175"/>
        <v>1202286276</v>
      </c>
      <c r="AB393" s="333">
        <f t="shared" si="176"/>
        <v>23.312050113740057</v>
      </c>
      <c r="AC393" s="334">
        <f t="shared" si="177"/>
        <v>-18.421159379281772</v>
      </c>
      <c r="AE393" s="333">
        <f t="shared" si="178"/>
        <v>35.205652209435627</v>
      </c>
      <c r="AF393" s="334">
        <f t="shared" si="179"/>
        <v>-102.22037876136685</v>
      </c>
      <c r="AH393">
        <f t="shared" si="180"/>
        <v>0</v>
      </c>
      <c r="AI393">
        <f t="shared" si="185"/>
        <v>0</v>
      </c>
    </row>
    <row r="394" spans="1:35" x14ac:dyDescent="0.2">
      <c r="A394" s="335">
        <v>34875.75</v>
      </c>
      <c r="B394" s="352">
        <f t="shared" si="181"/>
        <v>34.875749999999996</v>
      </c>
      <c r="C394" s="325">
        <f t="shared" si="156"/>
        <v>44.248339350109411</v>
      </c>
      <c r="D394" s="326">
        <f t="shared" si="157"/>
        <v>1.5481946843648526</v>
      </c>
      <c r="E394" s="326">
        <f t="shared" si="158"/>
        <v>1.0009599054385498</v>
      </c>
      <c r="F394" s="327">
        <f t="shared" si="159"/>
        <v>4.3798132797534882E-2</v>
      </c>
      <c r="G394" s="326">
        <f t="shared" si="160"/>
        <v>1</v>
      </c>
      <c r="H394" s="327">
        <f t="shared" si="161"/>
        <v>0</v>
      </c>
      <c r="I394" s="325">
        <f t="shared" si="162"/>
        <v>46289.391745357956</v>
      </c>
      <c r="J394" s="328">
        <f t="shared" si="163"/>
        <v>1.5707747235730272</v>
      </c>
      <c r="K394" s="336">
        <f t="shared" si="183"/>
        <v>9.0224210687159871</v>
      </c>
      <c r="L394" s="337">
        <f t="shared" si="184"/>
        <v>1.4597331439549925</v>
      </c>
      <c r="M394" s="325">
        <f t="shared" si="164"/>
        <v>1.0226838185246645</v>
      </c>
      <c r="N394" s="337">
        <f t="shared" si="165"/>
        <v>0.21101261405014224</v>
      </c>
      <c r="O394" s="343">
        <f t="shared" si="166"/>
        <v>1.0203290900830932</v>
      </c>
      <c r="P394" s="691">
        <f t="shared" si="167"/>
        <v>0.19995283107602285</v>
      </c>
      <c r="Q394" s="336">
        <f t="shared" si="182"/>
        <v>15.18987295530547</v>
      </c>
      <c r="R394" s="692">
        <f t="shared" si="168"/>
        <v>9.4320836861630369E-2</v>
      </c>
      <c r="S394" s="329">
        <f t="shared" si="169"/>
        <v>0.99708685749391679</v>
      </c>
      <c r="T394" s="330">
        <f t="shared" si="170"/>
        <v>0.28124163837266192</v>
      </c>
      <c r="U394" s="331">
        <f t="shared" si="171"/>
        <v>1.0291383856447407</v>
      </c>
      <c r="V394" s="332">
        <f t="shared" si="172"/>
        <v>-114.70961077365565</v>
      </c>
      <c r="W394" s="334">
        <f t="shared" si="173"/>
        <v>65.290389226344345</v>
      </c>
      <c r="Y394" s="307">
        <f t="shared" si="174"/>
        <v>1000000000</v>
      </c>
      <c r="Z394" s="307">
        <f t="shared" si="175"/>
        <v>1216317938.0625</v>
      </c>
      <c r="AB394" s="333">
        <f t="shared" si="176"/>
        <v>23.309229059790994</v>
      </c>
      <c r="AC394" s="334">
        <f t="shared" si="177"/>
        <v>-18.452346092760255</v>
      </c>
      <c r="AE394" s="333">
        <f t="shared" si="178"/>
        <v>35.155586867744383</v>
      </c>
      <c r="AF394" s="334">
        <f t="shared" si="179"/>
        <v>-102.30953213784616</v>
      </c>
      <c r="AH394">
        <f t="shared" si="180"/>
        <v>0</v>
      </c>
      <c r="AI394">
        <f t="shared" si="185"/>
        <v>0</v>
      </c>
    </row>
    <row r="395" spans="1:35" x14ac:dyDescent="0.2">
      <c r="A395" s="335">
        <v>35077.5</v>
      </c>
      <c r="B395" s="352">
        <f t="shared" si="181"/>
        <v>35.077500000000001</v>
      </c>
      <c r="C395" s="325">
        <f t="shared" si="156"/>
        <v>44.504177750033612</v>
      </c>
      <c r="D395" s="326">
        <f t="shared" si="157"/>
        <v>1.548324634959624</v>
      </c>
      <c r="E395" s="326">
        <f t="shared" si="158"/>
        <v>1.0009710379224181</v>
      </c>
      <c r="F395" s="327">
        <f t="shared" si="159"/>
        <v>4.4051170489785837E-2</v>
      </c>
      <c r="G395" s="326">
        <f t="shared" si="160"/>
        <v>1</v>
      </c>
      <c r="H395" s="327">
        <f t="shared" si="161"/>
        <v>0</v>
      </c>
      <c r="I395" s="325">
        <f t="shared" si="162"/>
        <v>46557.167629182106</v>
      </c>
      <c r="J395" s="328">
        <f t="shared" si="163"/>
        <v>1.570774847825041</v>
      </c>
      <c r="K395" s="336">
        <f t="shared" si="183"/>
        <v>9.0739748276993382</v>
      </c>
      <c r="L395" s="337">
        <f t="shared" si="184"/>
        <v>1.4603667340858348</v>
      </c>
      <c r="M395" s="325">
        <f t="shared" si="164"/>
        <v>1.0229440691949452</v>
      </c>
      <c r="N395" s="337">
        <f t="shared" si="165"/>
        <v>0.21219706995714033</v>
      </c>
      <c r="O395" s="343">
        <f t="shared" si="166"/>
        <v>1.0205625941395162</v>
      </c>
      <c r="P395" s="691">
        <f t="shared" si="167"/>
        <v>0.2010786801963329</v>
      </c>
      <c r="Q395" s="336">
        <f t="shared" si="182"/>
        <v>15.190632217399305</v>
      </c>
      <c r="R395" s="692">
        <f t="shared" si="168"/>
        <v>9.4863348122166707E-2</v>
      </c>
      <c r="S395" s="329">
        <f t="shared" si="169"/>
        <v>0.99706343238950723</v>
      </c>
      <c r="T395" s="330">
        <f t="shared" si="170"/>
        <v>0.28292010269327805</v>
      </c>
      <c r="U395" s="331">
        <f t="shared" si="171"/>
        <v>0.97809428622712868</v>
      </c>
      <c r="V395" s="332">
        <f t="shared" si="172"/>
        <v>-114.79687392996458</v>
      </c>
      <c r="W395" s="334">
        <f t="shared" si="173"/>
        <v>65.203126070035424</v>
      </c>
      <c r="Y395" s="307">
        <f t="shared" si="174"/>
        <v>1000000000</v>
      </c>
      <c r="Z395" s="307">
        <f t="shared" si="175"/>
        <v>1230431006.25</v>
      </c>
      <c r="AB395" s="333">
        <f t="shared" si="176"/>
        <v>23.306406998120988</v>
      </c>
      <c r="AC395" s="334">
        <f t="shared" si="177"/>
        <v>-18.483915495964233</v>
      </c>
      <c r="AE395" s="333">
        <f t="shared" si="178"/>
        <v>35.105811427948296</v>
      </c>
      <c r="AF395" s="334">
        <f t="shared" si="179"/>
        <v>-102.3986486883845</v>
      </c>
      <c r="AH395">
        <f t="shared" si="180"/>
        <v>0</v>
      </c>
      <c r="AI395">
        <f t="shared" si="185"/>
        <v>0</v>
      </c>
    </row>
    <row r="396" spans="1:35" x14ac:dyDescent="0.2">
      <c r="A396" s="335">
        <v>35279.25</v>
      </c>
      <c r="B396" s="352">
        <f t="shared" si="181"/>
        <v>35.279249999999998</v>
      </c>
      <c r="C396" s="325">
        <f t="shared" si="156"/>
        <v>44.760016892915473</v>
      </c>
      <c r="D396" s="326">
        <f t="shared" si="157"/>
        <v>1.5484531000142638</v>
      </c>
      <c r="E396" s="326">
        <f t="shared" si="158"/>
        <v>1.0009822344951058</v>
      </c>
      <c r="F396" s="327">
        <f t="shared" si="159"/>
        <v>4.4304202537487986E-2</v>
      </c>
      <c r="G396" s="326">
        <f t="shared" si="160"/>
        <v>1</v>
      </c>
      <c r="H396" s="327">
        <f t="shared" si="161"/>
        <v>0</v>
      </c>
      <c r="I396" s="325">
        <f t="shared" si="162"/>
        <v>46824.943513006961</v>
      </c>
      <c r="J396" s="328">
        <f t="shared" si="163"/>
        <v>1.5707749706559448</v>
      </c>
      <c r="K396" s="336">
        <f t="shared" si="183"/>
        <v>9.1255321881488562</v>
      </c>
      <c r="L396" s="337">
        <f t="shared" si="184"/>
        <v>1.4609931651606463</v>
      </c>
      <c r="M396" s="325">
        <f t="shared" si="164"/>
        <v>1.0232057542588602</v>
      </c>
      <c r="N396" s="337">
        <f t="shared" si="165"/>
        <v>0.21338092167465872</v>
      </c>
      <c r="O396" s="343">
        <f t="shared" si="166"/>
        <v>1.0207973912032442</v>
      </c>
      <c r="P396" s="691">
        <f t="shared" si="167"/>
        <v>0.20220401282176223</v>
      </c>
      <c r="Q396" s="336">
        <f t="shared" si="182"/>
        <v>15.191395820778583</v>
      </c>
      <c r="R396" s="692">
        <f t="shared" si="168"/>
        <v>9.5405805807469463E-2</v>
      </c>
      <c r="S396" s="329">
        <f t="shared" si="169"/>
        <v>0.99704011286955918</v>
      </c>
      <c r="T396" s="330">
        <f t="shared" si="170"/>
        <v>0.28459943438770652</v>
      </c>
      <c r="U396" s="331">
        <f t="shared" si="171"/>
        <v>0.92734358619100243</v>
      </c>
      <c r="V396" s="332">
        <f t="shared" si="172"/>
        <v>-114.88450399946871</v>
      </c>
      <c r="W396" s="334">
        <f t="shared" si="173"/>
        <v>65.115496000531294</v>
      </c>
      <c r="Y396" s="307">
        <f t="shared" si="174"/>
        <v>1000000000</v>
      </c>
      <c r="Z396" s="307">
        <f t="shared" si="175"/>
        <v>1244625480.5625</v>
      </c>
      <c r="AB396" s="333">
        <f t="shared" si="176"/>
        <v>23.30358370713974</v>
      </c>
      <c r="AC396" s="334">
        <f t="shared" si="177"/>
        <v>-18.515860383933706</v>
      </c>
      <c r="AE396" s="333">
        <f t="shared" si="178"/>
        <v>35.056322529923889</v>
      </c>
      <c r="AF396" s="334">
        <f t="shared" si="179"/>
        <v>-102.48773014401048</v>
      </c>
      <c r="AH396">
        <f t="shared" si="180"/>
        <v>0</v>
      </c>
      <c r="AI396">
        <f t="shared" si="185"/>
        <v>0</v>
      </c>
    </row>
    <row r="397" spans="1:35" x14ac:dyDescent="0.2">
      <c r="A397" s="335">
        <v>35481</v>
      </c>
      <c r="B397" s="352">
        <f t="shared" si="181"/>
        <v>35.481000000000002</v>
      </c>
      <c r="C397" s="325">
        <f t="shared" ref="C397:C460" si="186">SQRT(1+(A397/pole1)^2)</f>
        <v>45.015856766087602</v>
      </c>
      <c r="D397" s="326">
        <f t="shared" ref="D397:D460" si="187">ATAN(A397/pole1)</f>
        <v>1.54858010485293</v>
      </c>
      <c r="E397" s="326">
        <f t="shared" ref="E397:E460" si="188">SQRT(1+(A397/Zero1)^2)</f>
        <v>1.0009934951544626</v>
      </c>
      <c r="F397" s="327">
        <f t="shared" ref="F397:F460" si="189">ATAN(A397/Zero1)</f>
        <v>4.4557228908430446E-2</v>
      </c>
      <c r="G397" s="326">
        <f t="shared" ref="G397:G460" si="190">IF(VIN_nom&gt;Vout, 1, SQRT(1+(A397/z_RHP)^2))</f>
        <v>1</v>
      </c>
      <c r="H397" s="327">
        <f t="shared" ref="H397:H460" si="191">IF(VIN_nom&gt;Vout, 0, -ATAN(A397/z_RHP))</f>
        <v>0</v>
      </c>
      <c r="I397" s="325">
        <f t="shared" ref="I397:I460" si="192">SQRT(1+(A397/Pole2)^2)</f>
        <v>47092.719396832523</v>
      </c>
      <c r="J397" s="328">
        <f t="shared" ref="J397:J460" si="193">ATAN(A397/Pole2)</f>
        <v>1.5707750920899808</v>
      </c>
      <c r="K397" s="336">
        <f t="shared" si="183"/>
        <v>9.1770930893648934</v>
      </c>
      <c r="L397" s="337">
        <f t="shared" si="184"/>
        <v>1.4616125573516665</v>
      </c>
      <c r="M397" s="325">
        <f t="shared" ref="M397:M460" si="194">SQRT(1+(A397/pole4)^2)</f>
        <v>1.0234688726161529</v>
      </c>
      <c r="N397" s="337">
        <f t="shared" ref="N397:N460" si="195">ATAN(A397/pole4)</f>
        <v>0.2145641663490728</v>
      </c>
      <c r="O397" s="343">
        <f t="shared" ref="O397:O460" si="196">IF(VOUT_setting=1,1,SQRT(1+(A397*zterm1)^2))</f>
        <v>1.0210334803822569</v>
      </c>
      <c r="P397" s="691">
        <f t="shared" ref="P397:P460" si="197">IF(VOUT_setting=1,0,ATAN(((A397*zterm1))))</f>
        <v>0.20332882645943501</v>
      </c>
      <c r="Q397" s="336">
        <f t="shared" si="182"/>
        <v>15.192163764789266</v>
      </c>
      <c r="R397" s="692">
        <f t="shared" ref="R397:R460" si="198">IF(VOUT_setting=1,0,ATAN(A397*$Q$4/(1+Afbr-$Q$5*(A397)^2)))</f>
        <v>9.5948209620228653E-2</v>
      </c>
      <c r="S397" s="329">
        <f t="shared" ref="S397:S460" si="199">SQRT((1-(Z397/pterm2))^2+(A397/pterm1)^2)</f>
        <v>0.99701690310441438</v>
      </c>
      <c r="T397" s="330">
        <f t="shared" ref="T397:T460" si="200">IF((ATAN((A397/pterm1)/(1-A397^2/pterm2))&gt;0),ATAN((A397/pterm1)/(1-A397^2/pterm2)),PI()+ATAN((A397/pterm1)/(1-A397^2/pterm2)))</f>
        <v>0.28627963770889869</v>
      </c>
      <c r="U397" s="331">
        <f t="shared" ref="U397:U460" si="201">20*LOG10(((E397*K397*G397*O397)/(C397*I397*S397*M397*Q397))*Adc)</f>
        <v>0.87688275292683349</v>
      </c>
      <c r="V397" s="332">
        <f t="shared" ref="V397:V460" si="202">((F397+L397+H397+P397)-(D397+J397+T397+N397+R397))*radconv</f>
        <v>-114.97249575697987</v>
      </c>
      <c r="W397" s="334">
        <f t="shared" ref="W397:W460" si="203">IF(V397&gt;0,V397,V397+180)</f>
        <v>65.027504243020132</v>
      </c>
      <c r="Y397" s="307">
        <f t="shared" ref="Y397:Y460" si="204">IF(U397&lt;0,A397,1000000000)</f>
        <v>1000000000</v>
      </c>
      <c r="Z397" s="307">
        <f t="shared" ref="Z397:Z460" si="205">A397^2</f>
        <v>1258901361</v>
      </c>
      <c r="AB397" s="333">
        <f t="shared" ref="AB397:AB460" si="206">20*LOG10((K397/(I397*M397))*AEA)</f>
        <v>23.300758972051195</v>
      </c>
      <c r="AC397" s="334">
        <f t="shared" ref="AC397:AC460" si="207">(L397-(J397+N397))*radconv</f>
        <v>-18.54817370919481</v>
      </c>
      <c r="AE397" s="333">
        <f t="shared" ref="AE397:AE460" si="208">20*LOG10((E397*G397/(C397*S397))*Acs*Am)</f>
        <v>35.007116870082186</v>
      </c>
      <c r="AF397" s="334">
        <f t="shared" ref="AF397:AF460" si="209">(F397+H397-(D397+T397))*radconv</f>
        <v>-102.57677820121322</v>
      </c>
      <c r="AH397">
        <f t="shared" ref="AH397:AH460" si="210">SUM((U398&lt;0)*(U397&gt;0))*A397</f>
        <v>0</v>
      </c>
      <c r="AI397">
        <f t="shared" si="185"/>
        <v>0</v>
      </c>
    </row>
    <row r="398" spans="1:35" x14ac:dyDescent="0.2">
      <c r="A398" s="335">
        <v>35687.75</v>
      </c>
      <c r="B398" s="352">
        <f t="shared" ref="B398:B461" si="211">A398/1000</f>
        <v>35.687750000000001</v>
      </c>
      <c r="C398" s="325">
        <f t="shared" si="186"/>
        <v>45.278037901276086</v>
      </c>
      <c r="D398" s="326">
        <f t="shared" si="187"/>
        <v>1.5487087682118716</v>
      </c>
      <c r="E398" s="326">
        <f t="shared" si="188"/>
        <v>1.001005101374892</v>
      </c>
      <c r="F398" s="327">
        <f t="shared" si="189"/>
        <v>4.4816520146010459E-2</v>
      </c>
      <c r="G398" s="326">
        <f t="shared" si="190"/>
        <v>1</v>
      </c>
      <c r="H398" s="327">
        <f t="shared" si="191"/>
        <v>0</v>
      </c>
      <c r="I398" s="325">
        <f t="shared" si="192"/>
        <v>47367.131609873795</v>
      </c>
      <c r="J398" s="328">
        <f t="shared" si="193"/>
        <v>1.5707752151090908</v>
      </c>
      <c r="K398" s="336">
        <f t="shared" si="183"/>
        <v>9.229935443408074</v>
      </c>
      <c r="L398" s="337">
        <f t="shared" si="184"/>
        <v>1.4622401202196835</v>
      </c>
      <c r="M398" s="325">
        <f t="shared" si="194"/>
        <v>1.0237399977342461</v>
      </c>
      <c r="N398" s="337">
        <f t="shared" si="195"/>
        <v>0.21577610277974191</v>
      </c>
      <c r="O398" s="343">
        <f t="shared" si="196"/>
        <v>1.0212767602029313</v>
      </c>
      <c r="P398" s="691">
        <f t="shared" si="197"/>
        <v>0.20448097547926056</v>
      </c>
      <c r="Q398" s="336">
        <f t="shared" si="182"/>
        <v>15.192955243507861</v>
      </c>
      <c r="R398" s="692">
        <f t="shared" si="198"/>
        <v>9.6503999704068255E-2</v>
      </c>
      <c r="S398" s="329">
        <f t="shared" si="199"/>
        <v>0.99699323638474868</v>
      </c>
      <c r="T398" s="330">
        <f t="shared" si="200"/>
        <v>0.28800239048770709</v>
      </c>
      <c r="U398" s="331">
        <f t="shared" si="201"/>
        <v>0.825468442601486</v>
      </c>
      <c r="V398" s="332">
        <f t="shared" si="202"/>
        <v>-115.06303813148865</v>
      </c>
      <c r="W398" s="334">
        <f t="shared" si="203"/>
        <v>64.936961868511347</v>
      </c>
      <c r="Y398" s="307">
        <f t="shared" si="204"/>
        <v>1000000000</v>
      </c>
      <c r="Z398" s="307">
        <f t="shared" si="205"/>
        <v>1273615500.0625</v>
      </c>
      <c r="AB398" s="333">
        <f t="shared" si="206"/>
        <v>23.297862515126955</v>
      </c>
      <c r="AC398" s="334">
        <f t="shared" si="207"/>
        <v>-18.581662896507879</v>
      </c>
      <c r="AE398" s="333">
        <f t="shared" si="208"/>
        <v>34.956982196002023</v>
      </c>
      <c r="AF398" s="334">
        <f t="shared" si="209"/>
        <v>-102.66800023855488</v>
      </c>
      <c r="AH398">
        <f t="shared" si="210"/>
        <v>0</v>
      </c>
      <c r="AI398">
        <f t="shared" si="185"/>
        <v>0</v>
      </c>
    </row>
    <row r="399" spans="1:35" x14ac:dyDescent="0.2">
      <c r="A399" s="335">
        <v>35894.5</v>
      </c>
      <c r="B399" s="352">
        <f t="shared" si="211"/>
        <v>35.894500000000001</v>
      </c>
      <c r="C399" s="325">
        <f t="shared" si="186"/>
        <v>45.540219777378518</v>
      </c>
      <c r="D399" s="326">
        <f t="shared" si="187"/>
        <v>1.5488359501043858</v>
      </c>
      <c r="E399" s="326">
        <f t="shared" si="188"/>
        <v>1.001016774893279</v>
      </c>
      <c r="F399" s="327">
        <f t="shared" si="189"/>
        <v>4.5075805353489297E-2</v>
      </c>
      <c r="G399" s="326">
        <f t="shared" si="190"/>
        <v>1</v>
      </c>
      <c r="H399" s="327">
        <f t="shared" si="191"/>
        <v>0</v>
      </c>
      <c r="I399" s="325">
        <f t="shared" si="192"/>
        <v>47641.543822915788</v>
      </c>
      <c r="J399" s="328">
        <f t="shared" si="193"/>
        <v>1.5707753367110364</v>
      </c>
      <c r="K399" s="336">
        <f t="shared" si="183"/>
        <v>9.2827813911380677</v>
      </c>
      <c r="L399" s="337">
        <f t="shared" si="184"/>
        <v>1.4628605380242177</v>
      </c>
      <c r="M399" s="325">
        <f t="shared" si="194"/>
        <v>1.0240126257137929</v>
      </c>
      <c r="N399" s="337">
        <f t="shared" si="195"/>
        <v>0.21698739566901892</v>
      </c>
      <c r="O399" s="343">
        <f t="shared" si="196"/>
        <v>1.021521395067972</v>
      </c>
      <c r="P399" s="691">
        <f t="shared" si="197"/>
        <v>0.20563257419179137</v>
      </c>
      <c r="Q399" s="336">
        <f t="shared" ref="Q399:Q462" si="212">IF(VOUT_setting=1,1,SQRT((1+Afbr-$Q$5*(A399)^2)^2+(A399*$Q$4)^2))</f>
        <v>15.19375127927063</v>
      </c>
      <c r="R399" s="692">
        <f t="shared" si="198"/>
        <v>9.7059732580407329E-2</v>
      </c>
      <c r="S399" s="329">
        <f t="shared" si="199"/>
        <v>0.99696969387322176</v>
      </c>
      <c r="T399" s="330">
        <f t="shared" si="200"/>
        <v>0.28972606762998931</v>
      </c>
      <c r="U399" s="331">
        <f t="shared" si="201"/>
        <v>0.77435123028192865</v>
      </c>
      <c r="V399" s="332">
        <f t="shared" si="202"/>
        <v>-115.15394961296496</v>
      </c>
      <c r="W399" s="334">
        <f t="shared" si="203"/>
        <v>64.846050387035035</v>
      </c>
      <c r="Y399" s="307">
        <f t="shared" si="204"/>
        <v>1000000000</v>
      </c>
      <c r="Z399" s="307">
        <f t="shared" si="205"/>
        <v>1288415130.25</v>
      </c>
      <c r="AB399" s="333">
        <f t="shared" si="206"/>
        <v>23.29496410580672</v>
      </c>
      <c r="AC399" s="334">
        <f t="shared" si="207"/>
        <v>-18.615524512400032</v>
      </c>
      <c r="AE399" s="333">
        <f t="shared" si="208"/>
        <v>34.907138124970139</v>
      </c>
      <c r="AF399" s="334">
        <f t="shared" si="209"/>
        <v>-102.75919070174785</v>
      </c>
      <c r="AH399">
        <f t="shared" si="210"/>
        <v>0</v>
      </c>
      <c r="AI399">
        <f t="shared" si="185"/>
        <v>0</v>
      </c>
    </row>
    <row r="400" spans="1:35" x14ac:dyDescent="0.2">
      <c r="A400" s="335">
        <v>36101.25</v>
      </c>
      <c r="B400" s="352">
        <f t="shared" si="211"/>
        <v>36.10125</v>
      </c>
      <c r="C400" s="325">
        <f t="shared" si="186"/>
        <v>45.802402381671499</v>
      </c>
      <c r="D400" s="326">
        <f t="shared" si="187"/>
        <v>1.5489616759670006</v>
      </c>
      <c r="E400" s="326">
        <f t="shared" si="188"/>
        <v>1.0010285157072691</v>
      </c>
      <c r="F400" s="327">
        <f t="shared" si="189"/>
        <v>4.533508449621567E-2</v>
      </c>
      <c r="G400" s="326">
        <f t="shared" si="190"/>
        <v>1</v>
      </c>
      <c r="H400" s="327">
        <f t="shared" si="191"/>
        <v>0</v>
      </c>
      <c r="I400" s="325">
        <f t="shared" si="192"/>
        <v>47915.956035958465</v>
      </c>
      <c r="J400" s="328">
        <f t="shared" si="193"/>
        <v>1.570775456920166</v>
      </c>
      <c r="K400" s="336">
        <f t="shared" si="183"/>
        <v>9.3356308715268188</v>
      </c>
      <c r="L400" s="337">
        <f t="shared" si="184"/>
        <v>1.4634739316292484</v>
      </c>
      <c r="M400" s="325">
        <f t="shared" si="194"/>
        <v>1.0242867553547716</v>
      </c>
      <c r="N400" s="337">
        <f t="shared" si="195"/>
        <v>0.21819804197769915</v>
      </c>
      <c r="O400" s="343">
        <f t="shared" si="196"/>
        <v>1.0217673840040913</v>
      </c>
      <c r="P400" s="691">
        <f t="shared" si="197"/>
        <v>0.20678361993894454</v>
      </c>
      <c r="Q400" s="336">
        <f t="shared" si="212"/>
        <v>15.194551871361984</v>
      </c>
      <c r="R400" s="692">
        <f t="shared" si="198"/>
        <v>9.7615407929880174E-2</v>
      </c>
      <c r="S400" s="329">
        <f t="shared" si="199"/>
        <v>0.99694628013717224</v>
      </c>
      <c r="T400" s="330">
        <f t="shared" si="200"/>
        <v>0.29145067366647998</v>
      </c>
      <c r="U400" s="331">
        <f t="shared" si="201"/>
        <v>0.72352751119206427</v>
      </c>
      <c r="V400" s="332">
        <f t="shared" si="202"/>
        <v>-115.24522495665603</v>
      </c>
      <c r="W400" s="334">
        <f t="shared" si="203"/>
        <v>64.754775043343969</v>
      </c>
      <c r="Y400" s="307">
        <f t="shared" si="204"/>
        <v>1000000000</v>
      </c>
      <c r="Z400" s="307">
        <f t="shared" si="205"/>
        <v>1303300251.5625</v>
      </c>
      <c r="AB400" s="333">
        <f t="shared" si="206"/>
        <v>23.292063533687948</v>
      </c>
      <c r="AC400" s="334">
        <f t="shared" si="207"/>
        <v>-18.649751459136819</v>
      </c>
      <c r="AE400" s="333">
        <f t="shared" si="208"/>
        <v>34.857581278111724</v>
      </c>
      <c r="AF400" s="334">
        <f t="shared" si="209"/>
        <v>-102.85035130977519</v>
      </c>
      <c r="AH400">
        <f t="shared" si="210"/>
        <v>0</v>
      </c>
      <c r="AI400">
        <f t="shared" si="185"/>
        <v>0</v>
      </c>
    </row>
    <row r="401" spans="1:35" x14ac:dyDescent="0.2">
      <c r="A401" s="335">
        <v>36308</v>
      </c>
      <c r="B401" s="352">
        <f t="shared" si="211"/>
        <v>36.308</v>
      </c>
      <c r="C401" s="325">
        <f t="shared" si="186"/>
        <v>46.064585701721228</v>
      </c>
      <c r="D401" s="326">
        <f t="shared" si="187"/>
        <v>1.5490859706573274</v>
      </c>
      <c r="E401" s="326">
        <f t="shared" si="188"/>
        <v>1.0010403238144947</v>
      </c>
      <c r="F401" s="327">
        <f t="shared" si="189"/>
        <v>4.5594357539543134E-2</v>
      </c>
      <c r="G401" s="326">
        <f t="shared" si="190"/>
        <v>1</v>
      </c>
      <c r="H401" s="327">
        <f t="shared" si="191"/>
        <v>0</v>
      </c>
      <c r="I401" s="325">
        <f t="shared" si="192"/>
        <v>48190.36824900184</v>
      </c>
      <c r="J401" s="328">
        <f t="shared" si="193"/>
        <v>1.5707755757602728</v>
      </c>
      <c r="K401" s="336">
        <f t="shared" si="183"/>
        <v>9.3884838249163955</v>
      </c>
      <c r="L401" s="337">
        <f t="shared" si="184"/>
        <v>1.4640804191985315</v>
      </c>
      <c r="M401" s="325">
        <f t="shared" si="194"/>
        <v>1.0245623854518389</v>
      </c>
      <c r="N401" s="337">
        <f t="shared" si="195"/>
        <v>0.21940803867740299</v>
      </c>
      <c r="O401" s="343">
        <f t="shared" si="196"/>
        <v>1.0220147260335541</v>
      </c>
      <c r="P401" s="691">
        <f t="shared" si="197"/>
        <v>0.20793411007105028</v>
      </c>
      <c r="Q401" s="336">
        <f t="shared" si="212"/>
        <v>15.195357019062387</v>
      </c>
      <c r="R401" s="692">
        <f t="shared" si="198"/>
        <v>9.8171025433326162E-2</v>
      </c>
      <c r="S401" s="329">
        <f t="shared" si="199"/>
        <v>0.99692299977065257</v>
      </c>
      <c r="T401" s="330">
        <f t="shared" si="200"/>
        <v>0.29317621311201747</v>
      </c>
      <c r="U401" s="331">
        <f t="shared" si="201"/>
        <v>0.67299374389677535</v>
      </c>
      <c r="V401" s="332">
        <f t="shared" si="202"/>
        <v>-115.33685903855803</v>
      </c>
      <c r="W401" s="334">
        <f t="shared" si="203"/>
        <v>64.663140961441968</v>
      </c>
      <c r="Y401" s="307">
        <f t="shared" si="204"/>
        <v>1000000000</v>
      </c>
      <c r="Z401" s="307">
        <f t="shared" si="205"/>
        <v>1318270864</v>
      </c>
      <c r="AB401" s="333">
        <f t="shared" si="206"/>
        <v>23.289160594915231</v>
      </c>
      <c r="AC401" s="334">
        <f t="shared" si="207"/>
        <v>-18.68433679428361</v>
      </c>
      <c r="AE401" s="333">
        <f t="shared" si="208"/>
        <v>34.808308333409251</v>
      </c>
      <c r="AF401" s="334">
        <f t="shared" si="209"/>
        <v>-102.94148374753941</v>
      </c>
      <c r="AH401">
        <f t="shared" si="210"/>
        <v>0</v>
      </c>
      <c r="AI401">
        <f t="shared" si="185"/>
        <v>0</v>
      </c>
    </row>
    <row r="402" spans="1:35" x14ac:dyDescent="0.2">
      <c r="A402" s="335">
        <v>36519.5</v>
      </c>
      <c r="B402" s="352">
        <f t="shared" si="211"/>
        <v>36.519500000000001</v>
      </c>
      <c r="C402" s="325">
        <f t="shared" si="186"/>
        <v>46.332793308457575</v>
      </c>
      <c r="D402" s="326">
        <f t="shared" si="187"/>
        <v>1.5492116654263506</v>
      </c>
      <c r="E402" s="326">
        <f t="shared" si="188"/>
        <v>1.0010524728359089</v>
      </c>
      <c r="F402" s="327">
        <f t="shared" si="189"/>
        <v>4.5859580931825704E-2</v>
      </c>
      <c r="G402" s="326">
        <f t="shared" si="190"/>
        <v>1</v>
      </c>
      <c r="H402" s="327">
        <f t="shared" si="191"/>
        <v>0</v>
      </c>
      <c r="I402" s="325">
        <f t="shared" si="192"/>
        <v>48471.084974800222</v>
      </c>
      <c r="J402" s="328">
        <f t="shared" si="193"/>
        <v>1.5707756959383645</v>
      </c>
      <c r="K402" s="336">
        <f t="shared" si="183"/>
        <v>9.4425545869374989</v>
      </c>
      <c r="L402" s="337">
        <f t="shared" si="184"/>
        <v>1.4646938151783861</v>
      </c>
      <c r="M402" s="325">
        <f t="shared" si="194"/>
        <v>1.0248458993404275</v>
      </c>
      <c r="N402" s="337">
        <f t="shared" si="195"/>
        <v>0.22064515926243095</v>
      </c>
      <c r="O402" s="343">
        <f t="shared" si="196"/>
        <v>1.0222691497054908</v>
      </c>
      <c r="P402" s="691">
        <f t="shared" si="197"/>
        <v>0.20911045459874783</v>
      </c>
      <c r="Q402" s="336">
        <f t="shared" si="212"/>
        <v>15.196185377766779</v>
      </c>
      <c r="R402" s="692">
        <f t="shared" si="198"/>
        <v>9.8739347843228839E-2</v>
      </c>
      <c r="S402" s="329">
        <f t="shared" si="199"/>
        <v>0.99689932736575659</v>
      </c>
      <c r="T402" s="330">
        <f t="shared" si="200"/>
        <v>0.29494236666123397</v>
      </c>
      <c r="U402" s="331">
        <f t="shared" si="201"/>
        <v>0.62159537612144966</v>
      </c>
      <c r="V402" s="332">
        <f t="shared" si="202"/>
        <v>-115.43096435372578</v>
      </c>
      <c r="W402" s="334">
        <f t="shared" si="203"/>
        <v>64.569035646274216</v>
      </c>
      <c r="Y402" s="307">
        <f t="shared" si="204"/>
        <v>1000000000</v>
      </c>
      <c r="Z402" s="307">
        <f t="shared" si="205"/>
        <v>1333673880.25</v>
      </c>
      <c r="AB402" s="333">
        <f t="shared" si="206"/>
        <v>23.286188307514529</v>
      </c>
      <c r="AC402" s="334">
        <f t="shared" si="207"/>
        <v>-18.720080467476802</v>
      </c>
      <c r="AE402" s="333">
        <f t="shared" si="208"/>
        <v>34.758193717617502</v>
      </c>
      <c r="AF402" s="334">
        <f t="shared" si="209"/>
        <v>-103.03468249075404</v>
      </c>
      <c r="AH402">
        <f t="shared" si="210"/>
        <v>0</v>
      </c>
      <c r="AI402">
        <f t="shared" si="185"/>
        <v>0</v>
      </c>
    </row>
    <row r="403" spans="1:35" x14ac:dyDescent="0.2">
      <c r="A403" s="335">
        <v>36731</v>
      </c>
      <c r="B403" s="352">
        <f t="shared" si="211"/>
        <v>36.731000000000002</v>
      </c>
      <c r="C403" s="325">
        <f t="shared" si="186"/>
        <v>46.601001638787686</v>
      </c>
      <c r="D403" s="326">
        <f t="shared" si="187"/>
        <v>1.549335913344978</v>
      </c>
      <c r="E403" s="326">
        <f t="shared" si="188"/>
        <v>1.0010646922730935</v>
      </c>
      <c r="F403" s="327">
        <f t="shared" si="189"/>
        <v>4.612479786789675E-2</v>
      </c>
      <c r="G403" s="326">
        <f t="shared" si="190"/>
        <v>1</v>
      </c>
      <c r="H403" s="327">
        <f t="shared" si="191"/>
        <v>0</v>
      </c>
      <c r="I403" s="325">
        <f t="shared" si="192"/>
        <v>48751.801700599295</v>
      </c>
      <c r="J403" s="328">
        <f t="shared" si="193"/>
        <v>1.5707758147324664</v>
      </c>
      <c r="K403" s="336">
        <f t="shared" si="183"/>
        <v>9.4966288613056271</v>
      </c>
      <c r="L403" s="337">
        <f t="shared" si="184"/>
        <v>1.4653002259701589</v>
      </c>
      <c r="M403" s="325">
        <f t="shared" si="194"/>
        <v>1.0251309808532196</v>
      </c>
      <c r="N403" s="337">
        <f t="shared" si="195"/>
        <v>0.221881593670329</v>
      </c>
      <c r="O403" s="343">
        <f t="shared" si="196"/>
        <v>1.0225249872745212</v>
      </c>
      <c r="P403" s="691">
        <f t="shared" si="197"/>
        <v>0.21028621210578316</v>
      </c>
      <c r="Q403" s="336">
        <f t="shared" si="212"/>
        <v>15.197018502275602</v>
      </c>
      <c r="R403" s="692">
        <f t="shared" si="198"/>
        <v>9.9307609043591732E-2</v>
      </c>
      <c r="S403" s="329">
        <f t="shared" si="199"/>
        <v>0.99687580434017953</v>
      </c>
      <c r="T403" s="330">
        <f t="shared" si="200"/>
        <v>0.29670950650797745</v>
      </c>
      <c r="U403" s="331">
        <f t="shared" si="201"/>
        <v>0.5704931355260906</v>
      </c>
      <c r="V403" s="332">
        <f t="shared" si="202"/>
        <v>-115.52543460527598</v>
      </c>
      <c r="W403" s="334">
        <f t="shared" si="203"/>
        <v>64.474565394724024</v>
      </c>
      <c r="Y403" s="307">
        <f t="shared" si="204"/>
        <v>1000000000</v>
      </c>
      <c r="Z403" s="307">
        <f t="shared" si="205"/>
        <v>1349166361</v>
      </c>
      <c r="AB403" s="333">
        <f t="shared" si="206"/>
        <v>23.283213131956387</v>
      </c>
      <c r="AC403" s="334">
        <f t="shared" si="207"/>
        <v>-18.756184968116269</v>
      </c>
      <c r="AE403" s="333">
        <f t="shared" si="208"/>
        <v>34.708369342852691</v>
      </c>
      <c r="AF403" s="334">
        <f t="shared" si="209"/>
        <v>-103.12785521614667</v>
      </c>
      <c r="AH403">
        <f t="shared" si="210"/>
        <v>0</v>
      </c>
      <c r="AI403">
        <f t="shared" si="185"/>
        <v>0</v>
      </c>
    </row>
    <row r="404" spans="1:35" x14ac:dyDescent="0.2">
      <c r="A404" s="335">
        <v>36942.5</v>
      </c>
      <c r="B404" s="352">
        <f t="shared" si="211"/>
        <v>36.942500000000003</v>
      </c>
      <c r="C404" s="325">
        <f t="shared" si="186"/>
        <v>46.869210680289292</v>
      </c>
      <c r="D404" s="326">
        <f t="shared" si="187"/>
        <v>1.5494587392481429</v>
      </c>
      <c r="E404" s="326">
        <f t="shared" si="188"/>
        <v>1.0010769821234697</v>
      </c>
      <c r="F404" s="327">
        <f t="shared" si="189"/>
        <v>4.6390008310682629E-2</v>
      </c>
      <c r="G404" s="326">
        <f t="shared" si="190"/>
        <v>1</v>
      </c>
      <c r="H404" s="327">
        <f t="shared" si="191"/>
        <v>0</v>
      </c>
      <c r="I404" s="325">
        <f t="shared" si="192"/>
        <v>49032.518426399052</v>
      </c>
      <c r="J404" s="328">
        <f t="shared" si="193"/>
        <v>1.5707759321663488</v>
      </c>
      <c r="K404" s="336">
        <f t="shared" si="183"/>
        <v>9.5507065883620683</v>
      </c>
      <c r="L404" s="337">
        <f t="shared" si="184"/>
        <v>1.4658997697779956</v>
      </c>
      <c r="M404" s="325">
        <f t="shared" si="194"/>
        <v>1.0254176286827457</v>
      </c>
      <c r="N404" s="337">
        <f t="shared" si="195"/>
        <v>0.22311733869453498</v>
      </c>
      <c r="O404" s="343">
        <f t="shared" si="196"/>
        <v>1.0227822376796341</v>
      </c>
      <c r="P404" s="691">
        <f t="shared" si="197"/>
        <v>0.21146137978314322</v>
      </c>
      <c r="Q404" s="336">
        <f t="shared" si="212"/>
        <v>15.197856391805784</v>
      </c>
      <c r="R404" s="692">
        <f t="shared" si="198"/>
        <v>9.9875808693420387E-2</v>
      </c>
      <c r="S404" s="329">
        <f t="shared" si="199"/>
        <v>0.99685243569870141</v>
      </c>
      <c r="T404" s="330">
        <f t="shared" si="200"/>
        <v>0.29847763743294092</v>
      </c>
      <c r="U404" s="331">
        <f t="shared" si="201"/>
        <v>0.51968342698954983</v>
      </c>
      <c r="V404" s="332">
        <f t="shared" si="202"/>
        <v>-115.62026467863105</v>
      </c>
      <c r="W404" s="334">
        <f t="shared" si="203"/>
        <v>64.379735321368955</v>
      </c>
      <c r="Y404" s="307">
        <f t="shared" si="204"/>
        <v>1000000000</v>
      </c>
      <c r="Z404" s="307">
        <f t="shared" si="205"/>
        <v>1364748306.25</v>
      </c>
      <c r="AB404" s="333">
        <f t="shared" si="206"/>
        <v>23.280234869892958</v>
      </c>
      <c r="AC404" s="334">
        <f t="shared" si="207"/>
        <v>-18.792643341242805</v>
      </c>
      <c r="AE404" s="333">
        <f t="shared" si="208"/>
        <v>34.658831829204516</v>
      </c>
      <c r="AF404" s="334">
        <f t="shared" si="209"/>
        <v>-103.22100362269188</v>
      </c>
      <c r="AH404">
        <f t="shared" si="210"/>
        <v>0</v>
      </c>
      <c r="AI404">
        <f t="shared" si="185"/>
        <v>0</v>
      </c>
    </row>
    <row r="405" spans="1:35" x14ac:dyDescent="0.2">
      <c r="A405" s="335">
        <v>37154</v>
      </c>
      <c r="B405" s="352">
        <f t="shared" si="211"/>
        <v>37.154000000000003</v>
      </c>
      <c r="C405" s="325">
        <f t="shared" si="186"/>
        <v>47.137420420822828</v>
      </c>
      <c r="D405" s="326">
        <f t="shared" si="187"/>
        <v>1.5495801674057141</v>
      </c>
      <c r="E405" s="326">
        <f t="shared" si="188"/>
        <v>1.0010893423844447</v>
      </c>
      <c r="F405" s="327">
        <f t="shared" si="189"/>
        <v>4.6655212223115208E-2</v>
      </c>
      <c r="G405" s="326">
        <f t="shared" si="190"/>
        <v>1</v>
      </c>
      <c r="H405" s="327">
        <f t="shared" si="191"/>
        <v>0</v>
      </c>
      <c r="I405" s="325">
        <f t="shared" si="192"/>
        <v>49313.235152199479</v>
      </c>
      <c r="J405" s="328">
        <f t="shared" si="193"/>
        <v>1.5707760482632411</v>
      </c>
      <c r="K405" s="336">
        <f t="shared" si="183"/>
        <v>9.604787709787928</v>
      </c>
      <c r="L405" s="337">
        <f t="shared" si="184"/>
        <v>1.4664925621637845</v>
      </c>
      <c r="M405" s="325">
        <f t="shared" si="194"/>
        <v>1.0257058415158187</v>
      </c>
      <c r="N405" s="337">
        <f t="shared" si="195"/>
        <v>0.22435239114048319</v>
      </c>
      <c r="O405" s="343">
        <f t="shared" si="196"/>
        <v>1.0230408998550282</v>
      </c>
      <c r="P405" s="691">
        <f t="shared" si="197"/>
        <v>0.21263595483114903</v>
      </c>
      <c r="Q405" s="336">
        <f t="shared" si="212"/>
        <v>15.198699045569949</v>
      </c>
      <c r="R405" s="692">
        <f t="shared" si="198"/>
        <v>0.10044394645194951</v>
      </c>
      <c r="S405" s="329">
        <f t="shared" si="199"/>
        <v>0.99682922647534256</v>
      </c>
      <c r="T405" s="330">
        <f t="shared" si="200"/>
        <v>0.30024676419880431</v>
      </c>
      <c r="U405" s="331">
        <f t="shared" si="201"/>
        <v>0.46916271836126489</v>
      </c>
      <c r="V405" s="332">
        <f t="shared" si="202"/>
        <v>-115.71544957733011</v>
      </c>
      <c r="W405" s="334">
        <f t="shared" si="203"/>
        <v>64.284550422669895</v>
      </c>
      <c r="Y405" s="307">
        <f t="shared" si="204"/>
        <v>1000000000</v>
      </c>
      <c r="Z405" s="307">
        <f t="shared" si="205"/>
        <v>1380419716</v>
      </c>
      <c r="AB405" s="333">
        <f t="shared" si="206"/>
        <v>23.2772533292408</v>
      </c>
      <c r="AC405" s="334">
        <f t="shared" si="207"/>
        <v>-18.829448783943761</v>
      </c>
      <c r="AE405" s="333">
        <f t="shared" si="208"/>
        <v>34.609577853536521</v>
      </c>
      <c r="AF405" s="334">
        <f t="shared" si="209"/>
        <v>-103.31412937595603</v>
      </c>
      <c r="AH405">
        <f t="shared" si="210"/>
        <v>0</v>
      </c>
      <c r="AI405">
        <f t="shared" si="185"/>
        <v>0</v>
      </c>
    </row>
    <row r="406" spans="1:35" x14ac:dyDescent="0.2">
      <c r="A406" s="335">
        <v>37370.25</v>
      </c>
      <c r="B406" s="352">
        <f t="shared" si="211"/>
        <v>37.370249999999999</v>
      </c>
      <c r="C406" s="325">
        <f t="shared" si="186"/>
        <v>47.411654494770055</v>
      </c>
      <c r="D406" s="326">
        <f t="shared" si="187"/>
        <v>1.5497029021942699</v>
      </c>
      <c r="E406" s="326">
        <f t="shared" si="188"/>
        <v>1.0011020530375601</v>
      </c>
      <c r="F406" s="327">
        <f t="shared" si="189"/>
        <v>4.6926365461182638E-2</v>
      </c>
      <c r="G406" s="326">
        <f t="shared" si="190"/>
        <v>1</v>
      </c>
      <c r="H406" s="327">
        <f t="shared" si="191"/>
        <v>0</v>
      </c>
      <c r="I406" s="325">
        <f t="shared" si="192"/>
        <v>49600.256390754963</v>
      </c>
      <c r="J406" s="328">
        <f t="shared" si="193"/>
        <v>1.5707761656087893</v>
      </c>
      <c r="K406" s="336">
        <f t="shared" si="183"/>
        <v>9.6600868692366149</v>
      </c>
      <c r="L406" s="337">
        <f t="shared" si="184"/>
        <v>1.4670918049751731</v>
      </c>
      <c r="M406" s="325">
        <f t="shared" si="194"/>
        <v>1.0260021439600389</v>
      </c>
      <c r="N406" s="337">
        <f t="shared" si="195"/>
        <v>0.22561446177134184</v>
      </c>
      <c r="O406" s="343">
        <f t="shared" si="196"/>
        <v>1.0233068297989554</v>
      </c>
      <c r="P406" s="691">
        <f t="shared" si="197"/>
        <v>0.2138362935743664</v>
      </c>
      <c r="Q406" s="336">
        <f t="shared" si="212"/>
        <v>15.199565549290295</v>
      </c>
      <c r="R406" s="692">
        <f t="shared" si="198"/>
        <v>0.10102477945890261</v>
      </c>
      <c r="S406" s="329">
        <f t="shared" si="199"/>
        <v>0.99680566610790777</v>
      </c>
      <c r="T406" s="330">
        <f t="shared" si="200"/>
        <v>0.30205665770811285</v>
      </c>
      <c r="U406" s="331">
        <f t="shared" si="201"/>
        <v>0.41780257750870864</v>
      </c>
      <c r="V406" s="332">
        <f t="shared" si="202"/>
        <v>-115.81313398206636</v>
      </c>
      <c r="W406" s="334">
        <f t="shared" si="203"/>
        <v>64.186866017933639</v>
      </c>
      <c r="Y406" s="307">
        <f t="shared" si="204"/>
        <v>1000000000</v>
      </c>
      <c r="Z406" s="307">
        <f t="shared" si="205"/>
        <v>1396535585.0625</v>
      </c>
      <c r="AB406" s="333">
        <f t="shared" si="206"/>
        <v>23.274201243663796</v>
      </c>
      <c r="AC406" s="334">
        <f t="shared" si="207"/>
        <v>-18.867432743991312</v>
      </c>
      <c r="AE406" s="333">
        <f t="shared" si="208"/>
        <v>34.559507458875252</v>
      </c>
      <c r="AF406" s="334">
        <f t="shared" si="209"/>
        <v>-103.4093248847574</v>
      </c>
      <c r="AH406">
        <f t="shared" si="210"/>
        <v>0</v>
      </c>
      <c r="AI406">
        <f t="shared" si="185"/>
        <v>0</v>
      </c>
    </row>
    <row r="407" spans="1:35" x14ac:dyDescent="0.2">
      <c r="A407" s="335">
        <v>37586.5</v>
      </c>
      <c r="B407" s="352">
        <f t="shared" si="211"/>
        <v>37.586500000000001</v>
      </c>
      <c r="C407" s="325">
        <f t="shared" si="186"/>
        <v>47.685889274703776</v>
      </c>
      <c r="D407" s="326">
        <f t="shared" si="187"/>
        <v>1.5498242253239438</v>
      </c>
      <c r="E407" s="326">
        <f t="shared" si="188"/>
        <v>1.0011148372939094</v>
      </c>
      <c r="F407" s="327">
        <f t="shared" si="189"/>
        <v>4.7197511793920954E-2</v>
      </c>
      <c r="G407" s="326">
        <f t="shared" si="190"/>
        <v>1</v>
      </c>
      <c r="H407" s="327">
        <f t="shared" si="191"/>
        <v>0</v>
      </c>
      <c r="I407" s="325">
        <f t="shared" si="192"/>
        <v>49887.277629311124</v>
      </c>
      <c r="J407" s="328">
        <f t="shared" si="193"/>
        <v>1.5707762816040667</v>
      </c>
      <c r="K407" s="336">
        <f t="shared" ref="K407:K470" si="213">SQRT(1+(A407/Zero2)^2)</f>
        <v>9.7153894580550855</v>
      </c>
      <c r="L407" s="337">
        <f t="shared" ref="L407:L470" si="214">ATAN(A407/Zero2)</f>
        <v>1.4676842258973659</v>
      </c>
      <c r="M407" s="325">
        <f t="shared" si="194"/>
        <v>1.0263000796981725</v>
      </c>
      <c r="N407" s="337">
        <f t="shared" si="195"/>
        <v>0.22687580165008389</v>
      </c>
      <c r="O407" s="343">
        <f t="shared" si="196"/>
        <v>1.0235742333694178</v>
      </c>
      <c r="P407" s="691">
        <f t="shared" si="197"/>
        <v>0.21503600688059377</v>
      </c>
      <c r="Q407" s="336">
        <f t="shared" si="212"/>
        <v>15.20043703196546</v>
      </c>
      <c r="R407" s="692">
        <f t="shared" si="198"/>
        <v>0.10160554704360267</v>
      </c>
      <c r="S407" s="329">
        <f t="shared" si="199"/>
        <v>0.99678228313668926</v>
      </c>
      <c r="T407" s="330">
        <f t="shared" si="200"/>
        <v>0.3038676023026034</v>
      </c>
      <c r="U407" s="331">
        <f t="shared" si="201"/>
        <v>0.36673729037727004</v>
      </c>
      <c r="V407" s="332">
        <f t="shared" si="202"/>
        <v>-115.9111791286612</v>
      </c>
      <c r="W407" s="334">
        <f t="shared" si="203"/>
        <v>64.088820871338797</v>
      </c>
      <c r="Y407" s="307">
        <f t="shared" si="204"/>
        <v>1000000000</v>
      </c>
      <c r="Z407" s="307">
        <f t="shared" si="205"/>
        <v>1412744982.25</v>
      </c>
      <c r="AB407" s="333">
        <f t="shared" si="206"/>
        <v>23.271145343612297</v>
      </c>
      <c r="AC407" s="334">
        <f t="shared" si="207"/>
        <v>-18.905765623121514</v>
      </c>
      <c r="AE407" s="333">
        <f t="shared" si="208"/>
        <v>34.509726630895607</v>
      </c>
      <c r="AF407" s="334">
        <f t="shared" si="209"/>
        <v>-103.50450012985378</v>
      </c>
      <c r="AH407">
        <f t="shared" si="210"/>
        <v>0</v>
      </c>
      <c r="AI407">
        <f t="shared" si="185"/>
        <v>0</v>
      </c>
    </row>
    <row r="408" spans="1:35" x14ac:dyDescent="0.2">
      <c r="A408" s="335">
        <v>37802.75</v>
      </c>
      <c r="B408" s="352">
        <f t="shared" si="211"/>
        <v>37.802750000000003</v>
      </c>
      <c r="C408" s="325">
        <f t="shared" si="186"/>
        <v>47.960124748513572</v>
      </c>
      <c r="D408" s="326">
        <f t="shared" si="187"/>
        <v>1.5499441610066835</v>
      </c>
      <c r="E408" s="326">
        <f t="shared" si="188"/>
        <v>1.0011276951506727</v>
      </c>
      <c r="F408" s="327">
        <f t="shared" si="189"/>
        <v>4.746865118172594E-2</v>
      </c>
      <c r="G408" s="326">
        <f t="shared" si="190"/>
        <v>1</v>
      </c>
      <c r="H408" s="327">
        <f t="shared" si="191"/>
        <v>0</v>
      </c>
      <c r="I408" s="325">
        <f t="shared" si="192"/>
        <v>50174.298867867954</v>
      </c>
      <c r="J408" s="328">
        <f t="shared" si="193"/>
        <v>1.5707763962722461</v>
      </c>
      <c r="K408" s="336">
        <f t="shared" si="213"/>
        <v>9.7706954180121652</v>
      </c>
      <c r="L408" s="337">
        <f t="shared" si="214"/>
        <v>1.4682699403546449</v>
      </c>
      <c r="M408" s="325">
        <f t="shared" si="194"/>
        <v>1.0265996473081946</v>
      </c>
      <c r="N408" s="337">
        <f t="shared" si="195"/>
        <v>0.22813640740116281</v>
      </c>
      <c r="O408" s="343">
        <f t="shared" si="196"/>
        <v>1.0238431094117857</v>
      </c>
      <c r="P408" s="691">
        <f t="shared" si="197"/>
        <v>0.21623509178771394</v>
      </c>
      <c r="Q408" s="336">
        <f t="shared" si="212"/>
        <v>15.201313492739887</v>
      </c>
      <c r="R408" s="692">
        <f t="shared" si="198"/>
        <v>0.102186248842557</v>
      </c>
      <c r="S408" s="329">
        <f t="shared" si="199"/>
        <v>0.9967590830373384</v>
      </c>
      <c r="T408" s="330">
        <f t="shared" si="200"/>
        <v>0.30567960301367963</v>
      </c>
      <c r="U408" s="331">
        <f t="shared" si="201"/>
        <v>0.31596327602996682</v>
      </c>
      <c r="V408" s="332">
        <f t="shared" si="202"/>
        <v>-116.00958003839354</v>
      </c>
      <c r="W408" s="334">
        <f t="shared" si="203"/>
        <v>63.990419961606463</v>
      </c>
      <c r="Y408" s="307">
        <f t="shared" si="204"/>
        <v>1000000000</v>
      </c>
      <c r="Z408" s="307">
        <f t="shared" si="205"/>
        <v>1429047907.5625</v>
      </c>
      <c r="AB408" s="333">
        <f t="shared" si="206"/>
        <v>23.268085442760402</v>
      </c>
      <c r="AC408" s="334">
        <f t="shared" si="207"/>
        <v>-18.944440615933289</v>
      </c>
      <c r="AE408" s="333">
        <f t="shared" si="208"/>
        <v>34.460231993300248</v>
      </c>
      <c r="AF408" s="334">
        <f t="shared" si="209"/>
        <v>-103.59965678903491</v>
      </c>
      <c r="AH408">
        <f t="shared" si="210"/>
        <v>0</v>
      </c>
      <c r="AI408">
        <f t="shared" si="185"/>
        <v>0</v>
      </c>
    </row>
    <row r="409" spans="1:35" x14ac:dyDescent="0.2">
      <c r="A409" s="335">
        <v>38019</v>
      </c>
      <c r="B409" s="352">
        <f t="shared" si="211"/>
        <v>38.018999999999998</v>
      </c>
      <c r="C409" s="325">
        <f t="shared" si="186"/>
        <v>48.234360904364365</v>
      </c>
      <c r="D409" s="326">
        <f t="shared" si="187"/>
        <v>1.5500627329039716</v>
      </c>
      <c r="E409" s="326">
        <f t="shared" si="188"/>
        <v>1.0011406266050142</v>
      </c>
      <c r="F409" s="327">
        <f t="shared" si="189"/>
        <v>4.7739783584999466E-2</v>
      </c>
      <c r="G409" s="326">
        <f t="shared" si="190"/>
        <v>1</v>
      </c>
      <c r="H409" s="327">
        <f t="shared" si="191"/>
        <v>0</v>
      </c>
      <c r="I409" s="325">
        <f t="shared" si="192"/>
        <v>50461.320106425432</v>
      </c>
      <c r="J409" s="328">
        <f t="shared" si="193"/>
        <v>1.5707765096359725</v>
      </c>
      <c r="K409" s="336">
        <f t="shared" si="213"/>
        <v>9.8260046921841884</v>
      </c>
      <c r="L409" s="337">
        <f t="shared" si="214"/>
        <v>1.4688490611911047</v>
      </c>
      <c r="M409" s="325">
        <f t="shared" si="194"/>
        <v>1.0269008453619559</v>
      </c>
      <c r="N409" s="337">
        <f t="shared" si="195"/>
        <v>0.22939627566229318</v>
      </c>
      <c r="O409" s="343">
        <f t="shared" si="196"/>
        <v>1.0241134567662882</v>
      </c>
      <c r="P409" s="691">
        <f t="shared" si="197"/>
        <v>0.21743354534394027</v>
      </c>
      <c r="Q409" s="336">
        <f t="shared" si="212"/>
        <v>15.202194930753322</v>
      </c>
      <c r="R409" s="692">
        <f t="shared" si="198"/>
        <v>0.10276688449252881</v>
      </c>
      <c r="S409" s="329">
        <f t="shared" si="199"/>
        <v>0.99673607131744091</v>
      </c>
      <c r="T409" s="330">
        <f t="shared" si="200"/>
        <v>0.30749266485236976</v>
      </c>
      <c r="U409" s="331">
        <f t="shared" si="201"/>
        <v>0.26547701601709101</v>
      </c>
      <c r="V409" s="332">
        <f t="shared" si="202"/>
        <v>-116.10833184782133</v>
      </c>
      <c r="W409" s="334">
        <f t="shared" si="203"/>
        <v>63.891668152178667</v>
      </c>
      <c r="Y409" s="307">
        <f t="shared" si="204"/>
        <v>1000000000</v>
      </c>
      <c r="Z409" s="307">
        <f t="shared" si="205"/>
        <v>1445444361</v>
      </c>
      <c r="AB409" s="333">
        <f t="shared" si="206"/>
        <v>23.265021360764727</v>
      </c>
      <c r="AC409" s="334">
        <f t="shared" si="207"/>
        <v>-18.983451065588966</v>
      </c>
      <c r="AE409" s="333">
        <f t="shared" si="208"/>
        <v>34.411020226368549</v>
      </c>
      <c r="AF409" s="334">
        <f t="shared" si="209"/>
        <v>-103.69479650738343</v>
      </c>
      <c r="AH409">
        <f t="shared" si="210"/>
        <v>0</v>
      </c>
      <c r="AI409">
        <f t="shared" si="185"/>
        <v>0</v>
      </c>
    </row>
    <row r="410" spans="1:35" x14ac:dyDescent="0.2">
      <c r="A410" s="335">
        <v>38240.5</v>
      </c>
      <c r="B410" s="352">
        <f t="shared" si="211"/>
        <v>38.240499999999997</v>
      </c>
      <c r="C410" s="325">
        <f t="shared" si="186"/>
        <v>48.515255511591818</v>
      </c>
      <c r="D410" s="326">
        <f t="shared" si="187"/>
        <v>1.5501827937404089</v>
      </c>
      <c r="E410" s="326">
        <f t="shared" si="188"/>
        <v>1.0011539482986076</v>
      </c>
      <c r="F410" s="327">
        <f t="shared" si="189"/>
        <v>4.8017491111121871E-2</v>
      </c>
      <c r="G410" s="326">
        <f t="shared" si="190"/>
        <v>1</v>
      </c>
      <c r="H410" s="327">
        <f t="shared" si="191"/>
        <v>0</v>
      </c>
      <c r="I410" s="325">
        <f t="shared" si="192"/>
        <v>50755.309490659536</v>
      </c>
      <c r="J410" s="328">
        <f t="shared" si="193"/>
        <v>1.57077662442267</v>
      </c>
      <c r="K410" s="336">
        <f t="shared" si="213"/>
        <v>9.8826601125902016</v>
      </c>
      <c r="L410" s="337">
        <f t="shared" si="214"/>
        <v>1.4694355212260719</v>
      </c>
      <c r="M410" s="325">
        <f t="shared" si="194"/>
        <v>1.0272110445382112</v>
      </c>
      <c r="N410" s="337">
        <f t="shared" si="195"/>
        <v>0.23068596225671503</v>
      </c>
      <c r="O410" s="343">
        <f t="shared" si="196"/>
        <v>1.0243918915748116</v>
      </c>
      <c r="P410" s="691">
        <f t="shared" si="197"/>
        <v>0.21866043670206092</v>
      </c>
      <c r="Q410" s="336">
        <f t="shared" si="212"/>
        <v>15.203102926893788</v>
      </c>
      <c r="R410" s="692">
        <f t="shared" si="198"/>
        <v>0.1033615475426021</v>
      </c>
      <c r="S410" s="329">
        <f t="shared" si="199"/>
        <v>0.99671270201609108</v>
      </c>
      <c r="T410" s="330">
        <f t="shared" si="200"/>
        <v>0.30935084851921035</v>
      </c>
      <c r="U410" s="331">
        <f t="shared" si="201"/>
        <v>0.21405978306587845</v>
      </c>
      <c r="V410" s="332">
        <f t="shared" si="202"/>
        <v>-116.20983991658601</v>
      </c>
      <c r="W410" s="334">
        <f t="shared" si="203"/>
        <v>63.790160083413994</v>
      </c>
      <c r="Y410" s="307">
        <f t="shared" si="204"/>
        <v>1000000000</v>
      </c>
      <c r="Z410" s="307">
        <f t="shared" si="205"/>
        <v>1462335840.25</v>
      </c>
      <c r="AB410" s="333">
        <f t="shared" si="206"/>
        <v>23.261878373618508</v>
      </c>
      <c r="AC410" s="334">
        <f t="shared" si="207"/>
        <v>-19.023749556326578</v>
      </c>
      <c r="AE410" s="333">
        <f t="shared" si="208"/>
        <v>34.360903566679944</v>
      </c>
      <c r="AF410" s="334">
        <f t="shared" si="209"/>
        <v>-103.79223009919171</v>
      </c>
      <c r="AH410">
        <f t="shared" si="210"/>
        <v>0</v>
      </c>
      <c r="AI410">
        <f t="shared" ref="AI410:AI473" si="215">IF(AH410&gt;0,W410,0)</f>
        <v>0</v>
      </c>
    </row>
    <row r="411" spans="1:35" x14ac:dyDescent="0.2">
      <c r="A411" s="335">
        <v>38462</v>
      </c>
      <c r="B411" s="352">
        <f t="shared" si="211"/>
        <v>38.462000000000003</v>
      </c>
      <c r="C411" s="325">
        <f t="shared" si="186"/>
        <v>48.796150810096137</v>
      </c>
      <c r="D411" s="326">
        <f t="shared" si="187"/>
        <v>1.5503014723168691</v>
      </c>
      <c r="E411" s="326">
        <f t="shared" si="188"/>
        <v>1.0011673472006071</v>
      </c>
      <c r="F411" s="327">
        <f t="shared" si="189"/>
        <v>4.8295191225385788E-2</v>
      </c>
      <c r="G411" s="326">
        <f t="shared" si="190"/>
        <v>1</v>
      </c>
      <c r="H411" s="327">
        <f t="shared" si="191"/>
        <v>0</v>
      </c>
      <c r="I411" s="325">
        <f t="shared" si="192"/>
        <v>51049.29887489431</v>
      </c>
      <c r="J411" s="328">
        <f t="shared" si="193"/>
        <v>1.5707767378872699</v>
      </c>
      <c r="K411" s="336">
        <f t="shared" si="213"/>
        <v>9.9393188932424792</v>
      </c>
      <c r="L411" s="337">
        <f t="shared" si="214"/>
        <v>1.4700152952638881</v>
      </c>
      <c r="M411" s="325">
        <f t="shared" si="194"/>
        <v>1.0275229512326305</v>
      </c>
      <c r="N411" s="337">
        <f t="shared" si="195"/>
        <v>0.23197486801987158</v>
      </c>
      <c r="O411" s="343">
        <f t="shared" si="196"/>
        <v>1.0246718675225774</v>
      </c>
      <c r="P411" s="691">
        <f t="shared" si="197"/>
        <v>0.21988665944645619</v>
      </c>
      <c r="Q411" s="336">
        <f t="shared" si="212"/>
        <v>15.204016143034201</v>
      </c>
      <c r="R411" s="692">
        <f t="shared" si="198"/>
        <v>0.10395614042224777</v>
      </c>
      <c r="S411" s="329">
        <f t="shared" si="199"/>
        <v>0.99668954215142125</v>
      </c>
      <c r="T411" s="330">
        <f t="shared" si="200"/>
        <v>0.31121015603797925</v>
      </c>
      <c r="U411" s="331">
        <f t="shared" si="201"/>
        <v>0.16293716817382284</v>
      </c>
      <c r="V411" s="332">
        <f t="shared" si="202"/>
        <v>-116.31170615793597</v>
      </c>
      <c r="W411" s="334">
        <f t="shared" si="203"/>
        <v>63.688293842064027</v>
      </c>
      <c r="Y411" s="307">
        <f t="shared" si="204"/>
        <v>1000000000</v>
      </c>
      <c r="Z411" s="307">
        <f t="shared" si="205"/>
        <v>1479325444</v>
      </c>
      <c r="AB411" s="333">
        <f t="shared" si="206"/>
        <v>23.258730635235693</v>
      </c>
      <c r="AC411" s="334">
        <f t="shared" si="207"/>
        <v>-19.064386312396554</v>
      </c>
      <c r="AE411" s="333">
        <f t="shared" si="208"/>
        <v>34.311076805264598</v>
      </c>
      <c r="AF411" s="334">
        <f t="shared" si="209"/>
        <v>-103.88964930997761</v>
      </c>
      <c r="AH411">
        <f t="shared" si="210"/>
        <v>0</v>
      </c>
      <c r="AI411">
        <f t="shared" si="215"/>
        <v>0</v>
      </c>
    </row>
    <row r="412" spans="1:35" x14ac:dyDescent="0.2">
      <c r="A412" s="335">
        <v>38683.5</v>
      </c>
      <c r="B412" s="352">
        <f t="shared" si="211"/>
        <v>38.683500000000002</v>
      </c>
      <c r="C412" s="325">
        <f t="shared" si="186"/>
        <v>49.077046788007621</v>
      </c>
      <c r="D412" s="326">
        <f t="shared" si="187"/>
        <v>1.5504187923643709</v>
      </c>
      <c r="E412" s="326">
        <f t="shared" si="188"/>
        <v>1.0011808233079125</v>
      </c>
      <c r="F412" s="327">
        <f t="shared" si="189"/>
        <v>4.8572883885258683E-2</v>
      </c>
      <c r="G412" s="326">
        <f t="shared" si="190"/>
        <v>1</v>
      </c>
      <c r="H412" s="327">
        <f t="shared" si="191"/>
        <v>0</v>
      </c>
      <c r="I412" s="325">
        <f t="shared" si="192"/>
        <v>51343.288259129724</v>
      </c>
      <c r="J412" s="328">
        <f t="shared" si="193"/>
        <v>1.5707768500524835</v>
      </c>
      <c r="K412" s="336">
        <f t="shared" si="213"/>
        <v>9.9959809770018158</v>
      </c>
      <c r="L412" s="337">
        <f t="shared" si="214"/>
        <v>1.4705884966098879</v>
      </c>
      <c r="M412" s="325">
        <f t="shared" si="194"/>
        <v>1.0278365638907265</v>
      </c>
      <c r="N412" s="337">
        <f t="shared" si="195"/>
        <v>0.23326298938210993</v>
      </c>
      <c r="O412" s="343">
        <f t="shared" si="196"/>
        <v>1.0249533833466546</v>
      </c>
      <c r="P412" s="691">
        <f t="shared" si="197"/>
        <v>0.22111221043900653</v>
      </c>
      <c r="Q412" s="336">
        <f t="shared" si="212"/>
        <v>15.20493457823485</v>
      </c>
      <c r="R412" s="692">
        <f t="shared" si="198"/>
        <v>0.10455066274196972</v>
      </c>
      <c r="S412" s="329">
        <f t="shared" si="199"/>
        <v>0.99666659774612054</v>
      </c>
      <c r="T412" s="330">
        <f t="shared" si="200"/>
        <v>0.31307059272595061</v>
      </c>
      <c r="U412" s="331">
        <f t="shared" si="201"/>
        <v>0.11210558466801368</v>
      </c>
      <c r="V412" s="332">
        <f t="shared" si="202"/>
        <v>-116.41392570099489</v>
      </c>
      <c r="W412" s="334">
        <f t="shared" si="203"/>
        <v>63.586074299005105</v>
      </c>
      <c r="Y412" s="307">
        <f t="shared" si="204"/>
        <v>1000000000</v>
      </c>
      <c r="Z412" s="307">
        <f t="shared" si="205"/>
        <v>1496413172.25</v>
      </c>
      <c r="AB412" s="333">
        <f t="shared" si="206"/>
        <v>23.255577970068245</v>
      </c>
      <c r="AC412" s="334">
        <f t="shared" si="207"/>
        <v>-19.1053546386566</v>
      </c>
      <c r="AE412" s="333">
        <f t="shared" si="208"/>
        <v>34.261536550986698</v>
      </c>
      <c r="AF412" s="334">
        <f t="shared" si="209"/>
        <v>-103.9870558065226</v>
      </c>
      <c r="AH412">
        <f t="shared" si="210"/>
        <v>0</v>
      </c>
      <c r="AI412">
        <f t="shared" si="215"/>
        <v>0</v>
      </c>
    </row>
    <row r="413" spans="1:35" x14ac:dyDescent="0.2">
      <c r="A413" s="335">
        <v>38905</v>
      </c>
      <c r="B413" s="352">
        <f t="shared" si="211"/>
        <v>38.905000000000001</v>
      </c>
      <c r="C413" s="325">
        <f t="shared" si="186"/>
        <v>49.35794343372676</v>
      </c>
      <c r="D413" s="326">
        <f t="shared" si="187"/>
        <v>1.5505347770738702</v>
      </c>
      <c r="E413" s="326">
        <f t="shared" si="188"/>
        <v>1.0011943766174067</v>
      </c>
      <c r="F413" s="327">
        <f t="shared" si="189"/>
        <v>4.8850569048214873E-2</v>
      </c>
      <c r="G413" s="326">
        <f t="shared" si="190"/>
        <v>1</v>
      </c>
      <c r="H413" s="327">
        <f t="shared" si="191"/>
        <v>0</v>
      </c>
      <c r="I413" s="325">
        <f t="shared" si="192"/>
        <v>51637.277643365771</v>
      </c>
      <c r="J413" s="328">
        <f t="shared" si="193"/>
        <v>1.5707769609405042</v>
      </c>
      <c r="K413" s="336">
        <f t="shared" si="213"/>
        <v>10.052646308013983</v>
      </c>
      <c r="L413" s="337">
        <f t="shared" si="214"/>
        <v>1.4711552360321623</v>
      </c>
      <c r="M413" s="325">
        <f t="shared" si="194"/>
        <v>1.028151880951411</v>
      </c>
      <c r="N413" s="337">
        <f t="shared" si="195"/>
        <v>0.2345503227885328</v>
      </c>
      <c r="O413" s="343">
        <f t="shared" si="196"/>
        <v>1.0252364377785566</v>
      </c>
      <c r="P413" s="691">
        <f t="shared" si="197"/>
        <v>0.2223370865531013</v>
      </c>
      <c r="Q413" s="336">
        <f t="shared" si="212"/>
        <v>15.205858231550881</v>
      </c>
      <c r="R413" s="692">
        <f t="shared" si="198"/>
        <v>0.10514511411255938</v>
      </c>
      <c r="S413" s="329">
        <f t="shared" si="199"/>
        <v>0.99664387485799721</v>
      </c>
      <c r="T413" s="330">
        <f t="shared" si="200"/>
        <v>0.31493216387717937</v>
      </c>
      <c r="U413" s="331">
        <f t="shared" si="201"/>
        <v>6.1561508332312831E-2</v>
      </c>
      <c r="V413" s="332">
        <f t="shared" si="202"/>
        <v>-116.51649378815871</v>
      </c>
      <c r="W413" s="334">
        <f t="shared" si="203"/>
        <v>63.483506211841288</v>
      </c>
      <c r="Y413" s="307">
        <f t="shared" si="204"/>
        <v>1000000000</v>
      </c>
      <c r="Z413" s="307">
        <f t="shared" si="205"/>
        <v>1513599025</v>
      </c>
      <c r="AB413" s="333">
        <f t="shared" si="206"/>
        <v>23.252420208322576</v>
      </c>
      <c r="AC413" s="334">
        <f t="shared" si="207"/>
        <v>-19.146647986153603</v>
      </c>
      <c r="AE413" s="333">
        <f t="shared" si="208"/>
        <v>34.212279469489744</v>
      </c>
      <c r="AF413" s="334">
        <f t="shared" si="209"/>
        <v>-104.0844512233342</v>
      </c>
      <c r="AH413">
        <f t="shared" si="210"/>
        <v>0</v>
      </c>
      <c r="AI413">
        <f t="shared" si="215"/>
        <v>0</v>
      </c>
    </row>
    <row r="414" spans="1:35" x14ac:dyDescent="0.2">
      <c r="A414" s="335">
        <v>39131.5</v>
      </c>
      <c r="B414" s="352">
        <f t="shared" si="211"/>
        <v>39.131500000000003</v>
      </c>
      <c r="C414" s="325">
        <f t="shared" si="186"/>
        <v>49.64518154029566</v>
      </c>
      <c r="D414" s="326">
        <f t="shared" si="187"/>
        <v>1.5506520226683205</v>
      </c>
      <c r="E414" s="326">
        <f t="shared" si="188"/>
        <v>1.0012083157033427</v>
      </c>
      <c r="F414" s="327">
        <f t="shared" si="189"/>
        <v>4.9134514702301152E-2</v>
      </c>
      <c r="G414" s="326">
        <f t="shared" si="190"/>
        <v>1</v>
      </c>
      <c r="H414" s="327">
        <f t="shared" si="191"/>
        <v>0</v>
      </c>
      <c r="I414" s="325">
        <f t="shared" si="192"/>
        <v>51937.903356817733</v>
      </c>
      <c r="J414" s="328">
        <f t="shared" si="193"/>
        <v>1.5707770730334734</v>
      </c>
      <c r="K414" s="336">
        <f t="shared" si="213"/>
        <v>10.110594067283692</v>
      </c>
      <c r="L414" s="337">
        <f t="shared" si="214"/>
        <v>1.4717281991227127</v>
      </c>
      <c r="M414" s="325">
        <f t="shared" si="194"/>
        <v>1.0284760766933156</v>
      </c>
      <c r="N414" s="337">
        <f t="shared" si="195"/>
        <v>0.23586589711467507</v>
      </c>
      <c r="O414" s="343">
        <f t="shared" si="196"/>
        <v>1.0255274714707561</v>
      </c>
      <c r="P414" s="691">
        <f t="shared" si="197"/>
        <v>0.22358891109355411</v>
      </c>
      <c r="Q414" s="336">
        <f t="shared" si="212"/>
        <v>15.206808129969543</v>
      </c>
      <c r="R414" s="692">
        <f t="shared" si="198"/>
        <v>0.105752910475218</v>
      </c>
      <c r="S414" s="329">
        <f t="shared" si="199"/>
        <v>0.99662087446045033</v>
      </c>
      <c r="T414" s="330">
        <f t="shared" si="200"/>
        <v>0.31683693560714188</v>
      </c>
      <c r="U414" s="331">
        <f t="shared" si="201"/>
        <v>1.0170189631795079E-2</v>
      </c>
      <c r="V414" s="332">
        <f t="shared" si="202"/>
        <v>-116.62173277507732</v>
      </c>
      <c r="W414" s="334">
        <f t="shared" si="203"/>
        <v>63.378267224922681</v>
      </c>
      <c r="Y414" s="307">
        <f t="shared" si="204"/>
        <v>1000000000</v>
      </c>
      <c r="Z414" s="307">
        <f t="shared" si="205"/>
        <v>1531274292.25</v>
      </c>
      <c r="AB414" s="333">
        <f t="shared" si="206"/>
        <v>23.249185723748198</v>
      </c>
      <c r="AC414" s="334">
        <f t="shared" si="207"/>
        <v>-19.189202898274672</v>
      </c>
      <c r="AE414" s="333">
        <f t="shared" si="208"/>
        <v>34.162199907238985</v>
      </c>
      <c r="AF414" s="334">
        <f t="shared" si="209"/>
        <v>-104.18403539464894</v>
      </c>
      <c r="AH414">
        <f t="shared" si="210"/>
        <v>39131.5</v>
      </c>
      <c r="AI414">
        <f t="shared" si="215"/>
        <v>63.378267224922681</v>
      </c>
    </row>
    <row r="415" spans="1:35" x14ac:dyDescent="0.2">
      <c r="A415" s="335">
        <v>39358</v>
      </c>
      <c r="B415" s="352">
        <f t="shared" si="211"/>
        <v>39.357999999999997</v>
      </c>
      <c r="C415" s="325">
        <f t="shared" si="186"/>
        <v>49.932420321461869</v>
      </c>
      <c r="D415" s="326">
        <f t="shared" si="187"/>
        <v>1.5507679193418877</v>
      </c>
      <c r="E415" s="326">
        <f t="shared" si="188"/>
        <v>1.0012223355095824</v>
      </c>
      <c r="F415" s="327">
        <f t="shared" si="189"/>
        <v>4.9418452427273343E-2</v>
      </c>
      <c r="G415" s="326">
        <f t="shared" si="190"/>
        <v>1</v>
      </c>
      <c r="H415" s="327">
        <f t="shared" si="191"/>
        <v>0</v>
      </c>
      <c r="I415" s="325">
        <f t="shared" si="192"/>
        <v>52238.52907027035</v>
      </c>
      <c r="J415" s="328">
        <f t="shared" si="193"/>
        <v>1.5707771838362823</v>
      </c>
      <c r="K415" s="336">
        <f t="shared" si="213"/>
        <v>10.168545107896238</v>
      </c>
      <c r="L415" s="337">
        <f t="shared" si="214"/>
        <v>1.4722946317075705</v>
      </c>
      <c r="M415" s="325">
        <f t="shared" si="194"/>
        <v>1.0288020513319582</v>
      </c>
      <c r="N415" s="337">
        <f t="shared" si="195"/>
        <v>0.23718064003894354</v>
      </c>
      <c r="O415" s="343">
        <f t="shared" si="196"/>
        <v>1.0258201113174887</v>
      </c>
      <c r="P415" s="691">
        <f t="shared" si="197"/>
        <v>0.22484002336756476</v>
      </c>
      <c r="Q415" s="336">
        <f t="shared" si="212"/>
        <v>15.207763482728618</v>
      </c>
      <c r="R415" s="692">
        <f t="shared" si="198"/>
        <v>0.1063606318272534</v>
      </c>
      <c r="S415" s="329">
        <f t="shared" si="199"/>
        <v>0.99659811861783587</v>
      </c>
      <c r="T415" s="330">
        <f t="shared" si="200"/>
        <v>0.31874290471704414</v>
      </c>
      <c r="U415" s="331">
        <f t="shared" si="201"/>
        <v>-4.092775526326202E-2</v>
      </c>
      <c r="V415" s="332">
        <f t="shared" si="202"/>
        <v>-116.72732650638856</v>
      </c>
      <c r="W415" s="334">
        <f t="shared" si="203"/>
        <v>63.272673493611435</v>
      </c>
      <c r="Y415" s="307">
        <f t="shared" si="204"/>
        <v>39358</v>
      </c>
      <c r="Z415" s="307">
        <f t="shared" si="205"/>
        <v>1549052164</v>
      </c>
      <c r="AB415" s="333">
        <f t="shared" si="206"/>
        <v>23.245945568411543</v>
      </c>
      <c r="AC415" s="334">
        <f t="shared" si="207"/>
        <v>-19.232084271071223</v>
      </c>
      <c r="AE415" s="333">
        <f t="shared" si="208"/>
        <v>34.112409570687504</v>
      </c>
      <c r="AF415" s="334">
        <f t="shared" si="209"/>
        <v>-104.28361133761199</v>
      </c>
      <c r="AH415">
        <f t="shared" si="210"/>
        <v>0</v>
      </c>
      <c r="AI415">
        <f t="shared" si="215"/>
        <v>0</v>
      </c>
    </row>
    <row r="416" spans="1:35" x14ac:dyDescent="0.2">
      <c r="A416" s="335">
        <v>39584.5</v>
      </c>
      <c r="B416" s="352">
        <f t="shared" si="211"/>
        <v>39.584499999999998</v>
      </c>
      <c r="C416" s="325">
        <f t="shared" si="186"/>
        <v>50.219659765650022</v>
      </c>
      <c r="D416" s="326">
        <f t="shared" si="187"/>
        <v>1.5508824902375433</v>
      </c>
      <c r="E416" s="326">
        <f t="shared" si="188"/>
        <v>1.0012364360327348</v>
      </c>
      <c r="F416" s="327">
        <f t="shared" si="189"/>
        <v>4.970238217768299E-2</v>
      </c>
      <c r="G416" s="326">
        <f t="shared" si="190"/>
        <v>1</v>
      </c>
      <c r="H416" s="327">
        <f t="shared" si="191"/>
        <v>0</v>
      </c>
      <c r="I416" s="325">
        <f t="shared" si="192"/>
        <v>52539.154783723592</v>
      </c>
      <c r="J416" s="328">
        <f t="shared" si="193"/>
        <v>1.5707772933710782</v>
      </c>
      <c r="K416" s="336">
        <f t="shared" si="213"/>
        <v>10.226499374067943</v>
      </c>
      <c r="L416" s="337">
        <f t="shared" si="214"/>
        <v>1.4728546444465922</v>
      </c>
      <c r="M416" s="325">
        <f t="shared" si="194"/>
        <v>1.0291298031769536</v>
      </c>
      <c r="N416" s="337">
        <f t="shared" si="195"/>
        <v>0.23849454780834534</v>
      </c>
      <c r="O416" s="343">
        <f t="shared" si="196"/>
        <v>1.0261143559445667</v>
      </c>
      <c r="P416" s="691">
        <f t="shared" si="197"/>
        <v>0.22609042006952715</v>
      </c>
      <c r="Q416" s="336">
        <f t="shared" si="212"/>
        <v>15.208724288801156</v>
      </c>
      <c r="R416" s="692">
        <f t="shared" si="198"/>
        <v>0.10696827775344263</v>
      </c>
      <c r="S416" s="329">
        <f t="shared" si="199"/>
        <v>0.9965756139213876</v>
      </c>
      <c r="T416" s="330">
        <f t="shared" si="200"/>
        <v>0.32065007679095475</v>
      </c>
      <c r="U416" s="331">
        <f t="shared" si="201"/>
        <v>-9.1735901568827716E-2</v>
      </c>
      <c r="V416" s="332">
        <f t="shared" si="202"/>
        <v>-116.83327024213696</v>
      </c>
      <c r="W416" s="334">
        <f t="shared" si="203"/>
        <v>63.166729757863038</v>
      </c>
      <c r="Y416" s="307">
        <f t="shared" si="204"/>
        <v>39584.5</v>
      </c>
      <c r="Z416" s="307">
        <f t="shared" si="205"/>
        <v>1566932640.25</v>
      </c>
      <c r="AB416" s="333">
        <f t="shared" si="206"/>
        <v>23.242699578212907</v>
      </c>
      <c r="AC416" s="334">
        <f t="shared" si="207"/>
        <v>-19.275285550438767</v>
      </c>
      <c r="AE416" s="333">
        <f t="shared" si="208"/>
        <v>34.062905070420761</v>
      </c>
      <c r="AF416" s="334">
        <f t="shared" si="209"/>
        <v>-104.38318070076548</v>
      </c>
      <c r="AH416">
        <f t="shared" si="210"/>
        <v>0</v>
      </c>
      <c r="AI416">
        <f t="shared" si="215"/>
        <v>0</v>
      </c>
    </row>
    <row r="417" spans="1:35" x14ac:dyDescent="0.2">
      <c r="A417" s="335">
        <v>39811</v>
      </c>
      <c r="B417" s="352">
        <f t="shared" si="211"/>
        <v>39.811</v>
      </c>
      <c r="C417" s="325">
        <f t="shared" si="186"/>
        <v>50.506899861548028</v>
      </c>
      <c r="D417" s="326">
        <f t="shared" si="187"/>
        <v>1.5509957579719298</v>
      </c>
      <c r="E417" s="326">
        <f t="shared" si="188"/>
        <v>1.0012506172693898</v>
      </c>
      <c r="F417" s="327">
        <f t="shared" si="189"/>
        <v>4.9986303908089384E-2</v>
      </c>
      <c r="G417" s="326">
        <f t="shared" si="190"/>
        <v>1</v>
      </c>
      <c r="H417" s="327">
        <f t="shared" si="191"/>
        <v>0</v>
      </c>
      <c r="I417" s="325">
        <f t="shared" si="192"/>
        <v>52839.780497177453</v>
      </c>
      <c r="J417" s="328">
        <f t="shared" si="193"/>
        <v>1.5707774016595033</v>
      </c>
      <c r="K417" s="336">
        <f t="shared" si="213"/>
        <v>10.284456811269465</v>
      </c>
      <c r="L417" s="337">
        <f t="shared" si="214"/>
        <v>1.4734083455214828</v>
      </c>
      <c r="M417" s="325">
        <f t="shared" si="194"/>
        <v>1.0294593305308595</v>
      </c>
      <c r="N417" s="337">
        <f t="shared" si="195"/>
        <v>0.23980761668618827</v>
      </c>
      <c r="O417" s="343">
        <f t="shared" si="196"/>
        <v>1.0264102039718452</v>
      </c>
      <c r="P417" s="691">
        <f t="shared" si="197"/>
        <v>0.22734009790656579</v>
      </c>
      <c r="Q417" s="336">
        <f t="shared" si="212"/>
        <v>15.209690547154608</v>
      </c>
      <c r="R417" s="692">
        <f t="shared" si="198"/>
        <v>0.10757584783888371</v>
      </c>
      <c r="S417" s="329">
        <f t="shared" si="199"/>
        <v>0.99655336700069319</v>
      </c>
      <c r="T417" s="330">
        <f t="shared" si="200"/>
        <v>0.32255845738665145</v>
      </c>
      <c r="U417" s="331">
        <f t="shared" si="201"/>
        <v>-0.1422577624830349</v>
      </c>
      <c r="V417" s="332">
        <f t="shared" si="202"/>
        <v>-116.93955935288534</v>
      </c>
      <c r="W417" s="334">
        <f t="shared" si="203"/>
        <v>63.06044064711466</v>
      </c>
      <c r="Y417" s="307">
        <f t="shared" si="204"/>
        <v>39811</v>
      </c>
      <c r="Z417" s="307">
        <f t="shared" si="205"/>
        <v>1584915721</v>
      </c>
      <c r="AB417" s="333">
        <f t="shared" si="206"/>
        <v>23.239447594551187</v>
      </c>
      <c r="AC417" s="334">
        <f t="shared" si="207"/>
        <v>-19.318800325165505</v>
      </c>
      <c r="AE417" s="333">
        <f t="shared" si="208"/>
        <v>34.013683073625074</v>
      </c>
      <c r="AF417" s="334">
        <f t="shared" si="209"/>
        <v>-104.48274510098834</v>
      </c>
      <c r="AH417">
        <f t="shared" si="210"/>
        <v>0</v>
      </c>
      <c r="AI417">
        <f t="shared" si="215"/>
        <v>0</v>
      </c>
    </row>
    <row r="418" spans="1:35" x14ac:dyDescent="0.2">
      <c r="A418" s="335">
        <v>40042.75</v>
      </c>
      <c r="B418" s="352">
        <f t="shared" si="211"/>
        <v>40.042749999999998</v>
      </c>
      <c r="C418" s="325">
        <f t="shared" si="186"/>
        <v>50.800798503476742</v>
      </c>
      <c r="D418" s="326">
        <f t="shared" si="187"/>
        <v>1.5511103253508949</v>
      </c>
      <c r="E418" s="326">
        <f t="shared" si="188"/>
        <v>1.0012652107480773</v>
      </c>
      <c r="F418" s="327">
        <f t="shared" si="189"/>
        <v>5.0276798257369901E-2</v>
      </c>
      <c r="G418" s="326">
        <f t="shared" si="190"/>
        <v>1</v>
      </c>
      <c r="H418" s="327">
        <f t="shared" si="191"/>
        <v>0</v>
      </c>
      <c r="I418" s="325">
        <f t="shared" si="192"/>
        <v>53147.374356308035</v>
      </c>
      <c r="J418" s="328">
        <f t="shared" si="193"/>
        <v>1.5707775111899458</v>
      </c>
      <c r="K418" s="336">
        <f t="shared" si="213"/>
        <v>10.343760859312729</v>
      </c>
      <c r="L418" s="337">
        <f t="shared" si="214"/>
        <v>1.4739684582322123</v>
      </c>
      <c r="M418" s="325">
        <f t="shared" si="194"/>
        <v>1.0297983318752968</v>
      </c>
      <c r="N418" s="337">
        <f t="shared" si="195"/>
        <v>0.24115024877135008</v>
      </c>
      <c r="O418" s="343">
        <f t="shared" si="196"/>
        <v>1.0267145675362546</v>
      </c>
      <c r="P418" s="691">
        <f t="shared" si="197"/>
        <v>0.2286179943133177</v>
      </c>
      <c r="Q418" s="336">
        <f t="shared" si="212"/>
        <v>15.210684844453617</v>
      </c>
      <c r="R418" s="692">
        <f t="shared" si="198"/>
        <v>0.10819742174426278</v>
      </c>
      <c r="S418" s="329">
        <f t="shared" si="199"/>
        <v>0.9965308781854062</v>
      </c>
      <c r="T418" s="330">
        <f t="shared" si="200"/>
        <v>0.32451232860336238</v>
      </c>
      <c r="U418" s="331">
        <f t="shared" si="201"/>
        <v>-0.19365794485382168</v>
      </c>
      <c r="V418" s="332">
        <f t="shared" si="202"/>
        <v>-117.04866487838414</v>
      </c>
      <c r="W418" s="334">
        <f t="shared" si="203"/>
        <v>62.951335121615855</v>
      </c>
      <c r="Y418" s="307">
        <f t="shared" si="204"/>
        <v>40042.75</v>
      </c>
      <c r="Z418" s="307">
        <f t="shared" si="205"/>
        <v>1603421827.5625</v>
      </c>
      <c r="AB418" s="333">
        <f t="shared" si="206"/>
        <v>23.236113870480434</v>
      </c>
      <c r="AC418" s="334">
        <f t="shared" si="207"/>
        <v>-19.363641658391021</v>
      </c>
      <c r="AE418" s="333">
        <f t="shared" si="208"/>
        <v>33.963609152901611</v>
      </c>
      <c r="AF418" s="334">
        <f t="shared" si="209"/>
        <v>-104.58461380263277</v>
      </c>
      <c r="AH418">
        <f t="shared" si="210"/>
        <v>0</v>
      </c>
      <c r="AI418">
        <f t="shared" si="215"/>
        <v>0</v>
      </c>
    </row>
    <row r="419" spans="1:35" x14ac:dyDescent="0.2">
      <c r="A419" s="335">
        <v>40274.5</v>
      </c>
      <c r="B419" s="352">
        <f t="shared" si="211"/>
        <v>40.274500000000003</v>
      </c>
      <c r="C419" s="325">
        <f t="shared" si="186"/>
        <v>51.094697804529837</v>
      </c>
      <c r="D419" s="326">
        <f t="shared" si="187"/>
        <v>1.5512235747365481</v>
      </c>
      <c r="E419" s="326">
        <f t="shared" si="188"/>
        <v>1.0012798887180319</v>
      </c>
      <c r="F419" s="327">
        <f t="shared" si="189"/>
        <v>5.0567284114328981E-2</v>
      </c>
      <c r="G419" s="326">
        <f t="shared" si="190"/>
        <v>1</v>
      </c>
      <c r="H419" s="327">
        <f t="shared" si="191"/>
        <v>0</v>
      </c>
      <c r="I419" s="325">
        <f t="shared" si="192"/>
        <v>53454.968215439258</v>
      </c>
      <c r="J419" s="328">
        <f t="shared" si="193"/>
        <v>1.5707776194598548</v>
      </c>
      <c r="K419" s="336">
        <f t="shared" si="213"/>
        <v>10.403068115466358</v>
      </c>
      <c r="L419" s="337">
        <f t="shared" si="214"/>
        <v>1.4745221847782826</v>
      </c>
      <c r="M419" s="325">
        <f t="shared" si="194"/>
        <v>1.0301391883731827</v>
      </c>
      <c r="N419" s="337">
        <f t="shared" si="195"/>
        <v>0.24249199476314637</v>
      </c>
      <c r="O419" s="343">
        <f t="shared" si="196"/>
        <v>1.0270206067499292</v>
      </c>
      <c r="P419" s="691">
        <f t="shared" si="197"/>
        <v>0.22989513121053698</v>
      </c>
      <c r="Q419" s="336">
        <f t="shared" si="212"/>
        <v>15.211684847512634</v>
      </c>
      <c r="R419" s="692">
        <f t="shared" si="198"/>
        <v>0.10881891537460169</v>
      </c>
      <c r="S419" s="329">
        <f t="shared" si="199"/>
        <v>0.9965086733989672</v>
      </c>
      <c r="T419" s="330">
        <f t="shared" si="200"/>
        <v>0.3264674767017402</v>
      </c>
      <c r="U419" s="331">
        <f t="shared" si="201"/>
        <v>-0.24476566513569942</v>
      </c>
      <c r="V419" s="332">
        <f t="shared" si="202"/>
        <v>-117.15812251085245</v>
      </c>
      <c r="W419" s="334">
        <f t="shared" si="203"/>
        <v>62.841877489147549</v>
      </c>
      <c r="Y419" s="307">
        <f t="shared" si="204"/>
        <v>40274.5</v>
      </c>
      <c r="Z419" s="307">
        <f t="shared" si="205"/>
        <v>1622035350.25</v>
      </c>
      <c r="AB419" s="333">
        <f t="shared" si="206"/>
        <v>23.232773552810933</v>
      </c>
      <c r="AC419" s="334">
        <f t="shared" si="207"/>
        <v>-19.408798050265791</v>
      </c>
      <c r="AE419" s="333">
        <f t="shared" si="208"/>
        <v>33.913824100464204</v>
      </c>
      <c r="AF419" s="334">
        <f t="shared" si="209"/>
        <v>-104.68648063532764</v>
      </c>
      <c r="AH419">
        <f t="shared" si="210"/>
        <v>0</v>
      </c>
      <c r="AI419">
        <f t="shared" si="215"/>
        <v>0</v>
      </c>
    </row>
    <row r="420" spans="1:35" x14ac:dyDescent="0.2">
      <c r="A420" s="335">
        <v>40506.25</v>
      </c>
      <c r="B420" s="352">
        <f t="shared" si="211"/>
        <v>40.506250000000001</v>
      </c>
      <c r="C420" s="325">
        <f t="shared" si="186"/>
        <v>51.3885977533984</v>
      </c>
      <c r="D420" s="326">
        <f t="shared" si="187"/>
        <v>1.551335528739429</v>
      </c>
      <c r="E420" s="326">
        <f t="shared" si="188"/>
        <v>1.0012946511755381</v>
      </c>
      <c r="F420" s="327">
        <f t="shared" si="189"/>
        <v>5.0857761430317595E-2</v>
      </c>
      <c r="G420" s="326">
        <f t="shared" si="190"/>
        <v>1</v>
      </c>
      <c r="H420" s="327">
        <f t="shared" si="191"/>
        <v>0</v>
      </c>
      <c r="I420" s="325">
        <f t="shared" si="192"/>
        <v>53762.562074571091</v>
      </c>
      <c r="J420" s="328">
        <f t="shared" si="193"/>
        <v>1.570777726490866</v>
      </c>
      <c r="K420" s="336">
        <f t="shared" si="213"/>
        <v>10.462378525173667</v>
      </c>
      <c r="L420" s="337">
        <f t="shared" si="214"/>
        <v>1.4750696334252249</v>
      </c>
      <c r="M420" s="325">
        <f t="shared" si="194"/>
        <v>1.0304818981836079</v>
      </c>
      <c r="N420" s="337">
        <f t="shared" si="195"/>
        <v>0.24383285071222982</v>
      </c>
      <c r="O420" s="343">
        <f t="shared" si="196"/>
        <v>1.0273283201153505</v>
      </c>
      <c r="P420" s="691">
        <f t="shared" si="197"/>
        <v>0.23117150511264073</v>
      </c>
      <c r="Q420" s="336">
        <f t="shared" si="212"/>
        <v>15.212690555207461</v>
      </c>
      <c r="R420" s="692">
        <f t="shared" si="198"/>
        <v>0.10944032828652764</v>
      </c>
      <c r="S420" s="329">
        <f t="shared" si="199"/>
        <v>0.99648675986732294</v>
      </c>
      <c r="T420" s="330">
        <f t="shared" si="200"/>
        <v>0.32842390754807199</v>
      </c>
      <c r="U420" s="331">
        <f t="shared" si="201"/>
        <v>-0.29558449438476592</v>
      </c>
      <c r="V420" s="332">
        <f t="shared" si="202"/>
        <v>-117.26792763078608</v>
      </c>
      <c r="W420" s="334">
        <f t="shared" si="203"/>
        <v>62.732072369213924</v>
      </c>
      <c r="Y420" s="307">
        <f t="shared" si="204"/>
        <v>40506.25</v>
      </c>
      <c r="Z420" s="307">
        <f t="shared" si="205"/>
        <v>1640756289.0625</v>
      </c>
      <c r="AB420" s="333">
        <f t="shared" si="206"/>
        <v>23.229426488369064</v>
      </c>
      <c r="AC420" s="334">
        <f t="shared" si="207"/>
        <v>-19.454263072590507</v>
      </c>
      <c r="AE420" s="333">
        <f t="shared" si="208"/>
        <v>33.864324522024887</v>
      </c>
      <c r="AF420" s="334">
        <f t="shared" si="209"/>
        <v>-104.78834723346229</v>
      </c>
      <c r="AH420">
        <f t="shared" si="210"/>
        <v>0</v>
      </c>
      <c r="AI420">
        <f t="shared" si="215"/>
        <v>0</v>
      </c>
    </row>
    <row r="421" spans="1:35" x14ac:dyDescent="0.2">
      <c r="A421" s="335">
        <v>40738</v>
      </c>
      <c r="B421" s="352">
        <f t="shared" si="211"/>
        <v>40.738</v>
      </c>
      <c r="C421" s="325">
        <f t="shared" si="186"/>
        <v>51.682498339030758</v>
      </c>
      <c r="D421" s="326">
        <f t="shared" si="187"/>
        <v>1.5514462094558956</v>
      </c>
      <c r="E421" s="326">
        <f t="shared" si="188"/>
        <v>1.0013094981168587</v>
      </c>
      <c r="F421" s="327">
        <f t="shared" si="189"/>
        <v>5.1148230156695361E-2</v>
      </c>
      <c r="G421" s="326">
        <f t="shared" si="190"/>
        <v>1</v>
      </c>
      <c r="H421" s="327">
        <f t="shared" si="191"/>
        <v>0</v>
      </c>
      <c r="I421" s="325">
        <f t="shared" si="192"/>
        <v>54070.155933703536</v>
      </c>
      <c r="J421" s="328">
        <f t="shared" si="193"/>
        <v>1.5707778323041228</v>
      </c>
      <c r="K421" s="336">
        <f t="shared" si="213"/>
        <v>10.521692035105243</v>
      </c>
      <c r="L421" s="337">
        <f t="shared" si="214"/>
        <v>1.4756109100125343</v>
      </c>
      <c r="M421" s="325">
        <f t="shared" si="194"/>
        <v>1.0308264594581091</v>
      </c>
      <c r="N421" s="337">
        <f t="shared" si="195"/>
        <v>0.2451728126872926</v>
      </c>
      <c r="O421" s="343">
        <f t="shared" si="196"/>
        <v>1.0276377061286068</v>
      </c>
      <c r="P421" s="691">
        <f t="shared" si="197"/>
        <v>0.23244711254815356</v>
      </c>
      <c r="Q421" s="336">
        <f t="shared" si="212"/>
        <v>15.213701966407777</v>
      </c>
      <c r="R421" s="692">
        <f t="shared" si="198"/>
        <v>0.1100616600370268</v>
      </c>
      <c r="S421" s="329">
        <f t="shared" si="199"/>
        <v>0.99646514485839588</v>
      </c>
      <c r="T421" s="330">
        <f t="shared" si="200"/>
        <v>0.33038162697879847</v>
      </c>
      <c r="U421" s="331">
        <f t="shared" si="201"/>
        <v>-0.34611794192061224</v>
      </c>
      <c r="V421" s="332">
        <f t="shared" si="202"/>
        <v>-117.37807572672912</v>
      </c>
      <c r="W421" s="334">
        <f t="shared" si="203"/>
        <v>62.621924273270878</v>
      </c>
      <c r="Y421" s="307">
        <f t="shared" si="204"/>
        <v>40738</v>
      </c>
      <c r="Z421" s="307">
        <f t="shared" si="205"/>
        <v>1659584644</v>
      </c>
      <c r="AB421" s="333">
        <f t="shared" si="206"/>
        <v>23.226072529248462</v>
      </c>
      <c r="AC421" s="334">
        <f t="shared" si="207"/>
        <v>-19.500030437172871</v>
      </c>
      <c r="AE421" s="333">
        <f t="shared" si="208"/>
        <v>33.815107079851501</v>
      </c>
      <c r="AF421" s="334">
        <f t="shared" si="209"/>
        <v>-104.8902152002551</v>
      </c>
      <c r="AH421">
        <f t="shared" si="210"/>
        <v>0</v>
      </c>
      <c r="AI421">
        <f t="shared" si="215"/>
        <v>0</v>
      </c>
    </row>
    <row r="422" spans="1:35" x14ac:dyDescent="0.2">
      <c r="A422" s="335">
        <v>40975.25</v>
      </c>
      <c r="B422" s="352">
        <f t="shared" si="211"/>
        <v>40.975250000000003</v>
      </c>
      <c r="C422" s="325">
        <f t="shared" si="186"/>
        <v>51.983374559927654</v>
      </c>
      <c r="D422" s="326">
        <f t="shared" si="187"/>
        <v>1.5515582204724003</v>
      </c>
      <c r="E422" s="326">
        <f t="shared" si="188"/>
        <v>1.001324784923971</v>
      </c>
      <c r="F422" s="327">
        <f t="shared" si="189"/>
        <v>5.1445583474920981E-2</v>
      </c>
      <c r="G422" s="326">
        <f t="shared" si="190"/>
        <v>1</v>
      </c>
      <c r="H422" s="327">
        <f t="shared" si="191"/>
        <v>0</v>
      </c>
      <c r="I422" s="325">
        <f t="shared" si="192"/>
        <v>54385.049754973501</v>
      </c>
      <c r="J422" s="328">
        <f t="shared" si="193"/>
        <v>1.5707779393887149</v>
      </c>
      <c r="K422" s="336">
        <f t="shared" si="213"/>
        <v>10.582416358185935</v>
      </c>
      <c r="L422" s="337">
        <f t="shared" si="214"/>
        <v>1.4761587469427415</v>
      </c>
      <c r="M422" s="325">
        <f t="shared" si="194"/>
        <v>1.0311811139802158</v>
      </c>
      <c r="N422" s="337">
        <f t="shared" si="195"/>
        <v>0.24654364513449303</v>
      </c>
      <c r="O422" s="343">
        <f t="shared" si="196"/>
        <v>1.0279561657223442</v>
      </c>
      <c r="P422" s="691">
        <f t="shared" si="197"/>
        <v>0.23375219572200626</v>
      </c>
      <c r="Q422" s="336">
        <f t="shared" si="212"/>
        <v>15.214743287856949</v>
      </c>
      <c r="R422" s="692">
        <f t="shared" si="198"/>
        <v>0.11069765298917694</v>
      </c>
      <c r="S422" s="329">
        <f t="shared" si="199"/>
        <v>0.99644333373804295</v>
      </c>
      <c r="T422" s="330">
        <f t="shared" si="200"/>
        <v>0.33238714880910952</v>
      </c>
      <c r="U422" s="331">
        <f t="shared" si="201"/>
        <v>-0.39755865239580679</v>
      </c>
      <c r="V422" s="332">
        <f t="shared" si="202"/>
        <v>-117.49118859116271</v>
      </c>
      <c r="W422" s="334">
        <f t="shared" si="203"/>
        <v>62.508811408837289</v>
      </c>
      <c r="Y422" s="307">
        <f t="shared" si="204"/>
        <v>40975.25</v>
      </c>
      <c r="Z422" s="307">
        <f t="shared" si="205"/>
        <v>1678971112.5625</v>
      </c>
      <c r="AB422" s="333">
        <f t="shared" si="206"/>
        <v>23.222631681253894</v>
      </c>
      <c r="AC422" s="334">
        <f t="shared" si="207"/>
        <v>-19.547190742403846</v>
      </c>
      <c r="AE422" s="333">
        <f t="shared" si="208"/>
        <v>33.765010418793587</v>
      </c>
      <c r="AF422" s="334">
        <f t="shared" si="209"/>
        <v>-104.9945038053186</v>
      </c>
      <c r="AH422">
        <f t="shared" si="210"/>
        <v>0</v>
      </c>
      <c r="AI422">
        <f t="shared" si="215"/>
        <v>0</v>
      </c>
    </row>
    <row r="423" spans="1:35" x14ac:dyDescent="0.2">
      <c r="A423" s="335">
        <v>41212.5</v>
      </c>
      <c r="B423" s="352">
        <f t="shared" si="211"/>
        <v>41.212499999999999</v>
      </c>
      <c r="C423" s="325">
        <f t="shared" si="186"/>
        <v>52.284251425525873</v>
      </c>
      <c r="D423" s="326">
        <f t="shared" si="187"/>
        <v>1.5516689423248962</v>
      </c>
      <c r="E423" s="326">
        <f t="shared" si="188"/>
        <v>1.0013401602645076</v>
      </c>
      <c r="F423" s="327">
        <f t="shared" si="189"/>
        <v>5.1742927687857536E-2</v>
      </c>
      <c r="G423" s="326">
        <f t="shared" si="190"/>
        <v>1</v>
      </c>
      <c r="H423" s="327">
        <f t="shared" si="191"/>
        <v>0</v>
      </c>
      <c r="I423" s="325">
        <f t="shared" si="192"/>
        <v>54699.943576244092</v>
      </c>
      <c r="J423" s="328">
        <f t="shared" si="193"/>
        <v>1.570778045240389</v>
      </c>
      <c r="K423" s="336">
        <f t="shared" si="213"/>
        <v>10.643143821075141</v>
      </c>
      <c r="L423" s="337">
        <f t="shared" si="214"/>
        <v>1.4767003323573011</v>
      </c>
      <c r="M423" s="325">
        <f t="shared" si="194"/>
        <v>1.0315377049443133</v>
      </c>
      <c r="N423" s="337">
        <f t="shared" si="195"/>
        <v>0.24791353239181244</v>
      </c>
      <c r="O423" s="343">
        <f t="shared" si="196"/>
        <v>1.0282763750880617</v>
      </c>
      <c r="P423" s="691">
        <f t="shared" si="197"/>
        <v>0.23505646829998642</v>
      </c>
      <c r="Q423" s="336">
        <f t="shared" si="212"/>
        <v>15.215790584323631</v>
      </c>
      <c r="R423" s="692">
        <f t="shared" si="198"/>
        <v>0.11133355994342503</v>
      </c>
      <c r="S423" s="329">
        <f t="shared" si="199"/>
        <v>0.99642185102735226</v>
      </c>
      <c r="T423" s="330">
        <f t="shared" si="200"/>
        <v>0.33439403339386992</v>
      </c>
      <c r="U423" s="331">
        <f t="shared" si="201"/>
        <v>-0.44870752585009438</v>
      </c>
      <c r="V423" s="332">
        <f t="shared" si="202"/>
        <v>-117.60465166954873</v>
      </c>
      <c r="W423" s="334">
        <f t="shared" si="203"/>
        <v>62.39534833045127</v>
      </c>
      <c r="Y423" s="307">
        <f t="shared" si="204"/>
        <v>41212.5</v>
      </c>
      <c r="Z423" s="307">
        <f t="shared" si="205"/>
        <v>1698470156.25</v>
      </c>
      <c r="AB423" s="333">
        <f t="shared" si="206"/>
        <v>23.219183309912776</v>
      </c>
      <c r="AC423" s="334">
        <f t="shared" si="207"/>
        <v>-19.594655007065302</v>
      </c>
      <c r="AE423" s="333">
        <f t="shared" si="208"/>
        <v>33.715202541466091</v>
      </c>
      <c r="AF423" s="334">
        <f t="shared" si="209"/>
        <v>-105.09879714849839</v>
      </c>
      <c r="AH423">
        <f t="shared" si="210"/>
        <v>0</v>
      </c>
      <c r="AI423">
        <f t="shared" si="215"/>
        <v>0</v>
      </c>
    </row>
    <row r="424" spans="1:35" x14ac:dyDescent="0.2">
      <c r="A424" s="335">
        <v>41449.75</v>
      </c>
      <c r="B424" s="352">
        <f t="shared" si="211"/>
        <v>41.449750000000002</v>
      </c>
      <c r="C424" s="325">
        <f t="shared" si="186"/>
        <v>52.585128924759005</v>
      </c>
      <c r="D424" s="326">
        <f t="shared" si="187"/>
        <v>1.5517783971393593</v>
      </c>
      <c r="E424" s="326">
        <f t="shared" si="188"/>
        <v>1.0013556241343899</v>
      </c>
      <c r="F424" s="327">
        <f t="shared" si="189"/>
        <v>5.2040262743347131E-2</v>
      </c>
      <c r="G424" s="326">
        <f t="shared" si="190"/>
        <v>1</v>
      </c>
      <c r="H424" s="327">
        <f t="shared" si="191"/>
        <v>0</v>
      </c>
      <c r="I424" s="325">
        <f t="shared" si="192"/>
        <v>55014.837397515279</v>
      </c>
      <c r="J424" s="328">
        <f t="shared" si="193"/>
        <v>1.5707781498803157</v>
      </c>
      <c r="K424" s="336">
        <f t="shared" si="213"/>
        <v>10.703874370332608</v>
      </c>
      <c r="L424" s="337">
        <f t="shared" si="214"/>
        <v>1.4772357723434015</v>
      </c>
      <c r="M424" s="325">
        <f t="shared" si="194"/>
        <v>1.0318962303428807</v>
      </c>
      <c r="N424" s="337">
        <f t="shared" si="195"/>
        <v>0.2492824703003737</v>
      </c>
      <c r="O424" s="343">
        <f t="shared" si="196"/>
        <v>1.028598332591613</v>
      </c>
      <c r="P424" s="691">
        <f t="shared" si="197"/>
        <v>0.2363599266037392</v>
      </c>
      <c r="Q424" s="336">
        <f t="shared" si="212"/>
        <v>15.216843854575227</v>
      </c>
      <c r="R424" s="692">
        <f t="shared" si="198"/>
        <v>0.11196938042564239</v>
      </c>
      <c r="S424" s="329">
        <f t="shared" si="199"/>
        <v>0.99640070466067732</v>
      </c>
      <c r="T424" s="330">
        <f t="shared" si="200"/>
        <v>0.33640228689604884</v>
      </c>
      <c r="U424" s="331">
        <f t="shared" si="201"/>
        <v>-0.49956813579124071</v>
      </c>
      <c r="V424" s="332">
        <f t="shared" si="202"/>
        <v>-117.7184604538801</v>
      </c>
      <c r="W424" s="334">
        <f t="shared" si="203"/>
        <v>62.281539546119902</v>
      </c>
      <c r="Y424" s="307">
        <f t="shared" si="204"/>
        <v>41449.75</v>
      </c>
      <c r="Z424" s="307">
        <f t="shared" si="205"/>
        <v>1718081775.0625</v>
      </c>
      <c r="AB424" s="333">
        <f t="shared" si="206"/>
        <v>23.215727272577812</v>
      </c>
      <c r="AC424" s="334">
        <f t="shared" si="207"/>
        <v>-19.642416915735978</v>
      </c>
      <c r="AE424" s="333">
        <f t="shared" si="208"/>
        <v>33.665680042693126</v>
      </c>
      <c r="AF424" s="334">
        <f t="shared" si="209"/>
        <v>-105.20309685362007</v>
      </c>
      <c r="AH424">
        <f t="shared" si="210"/>
        <v>0</v>
      </c>
      <c r="AI424">
        <f t="shared" si="215"/>
        <v>0</v>
      </c>
    </row>
    <row r="425" spans="1:35" x14ac:dyDescent="0.2">
      <c r="A425" s="335">
        <v>41687</v>
      </c>
      <c r="B425" s="352">
        <f t="shared" si="211"/>
        <v>41.686999999999998</v>
      </c>
      <c r="C425" s="325">
        <f t="shared" si="186"/>
        <v>52.886007046812502</v>
      </c>
      <c r="D425" s="326">
        <f t="shared" si="187"/>
        <v>1.551886606538375</v>
      </c>
      <c r="E425" s="326">
        <f t="shared" si="188"/>
        <v>1.0013711765295172</v>
      </c>
      <c r="F425" s="327">
        <f t="shared" si="189"/>
        <v>5.2337588589241556E-2</v>
      </c>
      <c r="G425" s="326">
        <f t="shared" si="190"/>
        <v>1</v>
      </c>
      <c r="H425" s="327">
        <f t="shared" si="191"/>
        <v>0</v>
      </c>
      <c r="I425" s="325">
        <f t="shared" si="192"/>
        <v>55329.73121878707</v>
      </c>
      <c r="J425" s="328">
        <f t="shared" si="193"/>
        <v>1.5707782533291843</v>
      </c>
      <c r="K425" s="336">
        <f t="shared" si="213"/>
        <v>10.764607953721361</v>
      </c>
      <c r="L425" s="337">
        <f t="shared" si="214"/>
        <v>1.4777651706083461</v>
      </c>
      <c r="M425" s="325">
        <f t="shared" si="194"/>
        <v>1.0322566881603037</v>
      </c>
      <c r="N425" s="337">
        <f t="shared" si="195"/>
        <v>0.25065045472129427</v>
      </c>
      <c r="O425" s="343">
        <f t="shared" si="196"/>
        <v>1.0289220365919816</v>
      </c>
      <c r="P425" s="691">
        <f t="shared" si="197"/>
        <v>0.23766256697056873</v>
      </c>
      <c r="Q425" s="336">
        <f t="shared" si="212"/>
        <v>15.217903097372464</v>
      </c>
      <c r="R425" s="692">
        <f t="shared" si="198"/>
        <v>0.11260511396210271</v>
      </c>
      <c r="S425" s="329">
        <f t="shared" si="199"/>
        <v>0.99637990261839637</v>
      </c>
      <c r="T425" s="330">
        <f t="shared" si="200"/>
        <v>0.33841191544465049</v>
      </c>
      <c r="U425" s="331">
        <f t="shared" si="201"/>
        <v>-0.55014399413271831</v>
      </c>
      <c r="V425" s="332">
        <f t="shared" si="202"/>
        <v>-117.8326105419622</v>
      </c>
      <c r="W425" s="334">
        <f t="shared" si="203"/>
        <v>62.167389458037803</v>
      </c>
      <c r="Y425" s="307">
        <f t="shared" si="204"/>
        <v>41687</v>
      </c>
      <c r="Z425" s="307">
        <f t="shared" si="205"/>
        <v>1737805969</v>
      </c>
      <c r="AB425" s="333">
        <f t="shared" si="206"/>
        <v>23.212263431658648</v>
      </c>
      <c r="AC425" s="334">
        <f t="shared" si="207"/>
        <v>-19.690470290469971</v>
      </c>
      <c r="AE425" s="333">
        <f t="shared" si="208"/>
        <v>33.616439573927998</v>
      </c>
      <c r="AF425" s="334">
        <f t="shared" si="209"/>
        <v>-105.30740451372047</v>
      </c>
      <c r="AH425">
        <f t="shared" si="210"/>
        <v>0</v>
      </c>
      <c r="AI425">
        <f t="shared" si="215"/>
        <v>0</v>
      </c>
    </row>
    <row r="426" spans="1:35" x14ac:dyDescent="0.2">
      <c r="A426" s="335">
        <v>41929.75</v>
      </c>
      <c r="B426" s="352">
        <f t="shared" si="211"/>
        <v>41.929749999999999</v>
      </c>
      <c r="C426" s="325">
        <f t="shared" si="186"/>
        <v>53.193860848520806</v>
      </c>
      <c r="D426" s="326">
        <f t="shared" si="187"/>
        <v>1.5519960574624718</v>
      </c>
      <c r="E426" s="326">
        <f t="shared" si="188"/>
        <v>1.0013871810879476</v>
      </c>
      <c r="F426" s="327">
        <f t="shared" si="189"/>
        <v>5.2641797544545635E-2</v>
      </c>
      <c r="G426" s="326">
        <f t="shared" si="190"/>
        <v>1</v>
      </c>
      <c r="H426" s="327">
        <f t="shared" si="191"/>
        <v>0</v>
      </c>
      <c r="I426" s="325">
        <f t="shared" si="192"/>
        <v>55651.925002196433</v>
      </c>
      <c r="J426" s="328">
        <f t="shared" si="193"/>
        <v>1.570778357964528</v>
      </c>
      <c r="K426" s="336">
        <f t="shared" si="213"/>
        <v>10.826752568282968</v>
      </c>
      <c r="L426" s="337">
        <f t="shared" si="214"/>
        <v>1.4783006938490288</v>
      </c>
      <c r="M426" s="325">
        <f t="shared" si="194"/>
        <v>1.0326275002421348</v>
      </c>
      <c r="N426" s="337">
        <f t="shared" si="195"/>
        <v>0.25204916096766183</v>
      </c>
      <c r="O426" s="343">
        <f t="shared" si="196"/>
        <v>1.0292550507736928</v>
      </c>
      <c r="P426" s="691">
        <f t="shared" si="197"/>
        <v>0.2389945551304021</v>
      </c>
      <c r="Q426" s="336">
        <f t="shared" si="212"/>
        <v>15.218993076387868</v>
      </c>
      <c r="R426" s="692">
        <f t="shared" si="198"/>
        <v>0.11325549477610135</v>
      </c>
      <c r="S426" s="329">
        <f t="shared" si="199"/>
        <v>0.99635898309936899</v>
      </c>
      <c r="T426" s="330">
        <f t="shared" si="200"/>
        <v>0.34046956138729684</v>
      </c>
      <c r="U426" s="331">
        <f t="shared" si="201"/>
        <v>-0.60160118712799238</v>
      </c>
      <c r="V426" s="332">
        <f t="shared" si="202"/>
        <v>-117.94975567126278</v>
      </c>
      <c r="W426" s="334">
        <f t="shared" si="203"/>
        <v>62.050244328737222</v>
      </c>
      <c r="Y426" s="307">
        <f t="shared" si="204"/>
        <v>41929.75</v>
      </c>
      <c r="Z426" s="307">
        <f t="shared" si="205"/>
        <v>1758103935.0625</v>
      </c>
      <c r="AB426" s="333">
        <f t="shared" si="206"/>
        <v>23.20871107552852</v>
      </c>
      <c r="AC426" s="334">
        <f t="shared" si="207"/>
        <v>-19.739933028863234</v>
      </c>
      <c r="AE426" s="333">
        <f t="shared" si="208"/>
        <v>33.56634607630901</v>
      </c>
      <c r="AF426" s="334">
        <f t="shared" si="209"/>
        <v>-105.41414012887384</v>
      </c>
      <c r="AH426">
        <f t="shared" si="210"/>
        <v>0</v>
      </c>
      <c r="AI426">
        <f t="shared" si="215"/>
        <v>0</v>
      </c>
    </row>
    <row r="427" spans="1:35" x14ac:dyDescent="0.2">
      <c r="A427" s="335">
        <v>42172.5</v>
      </c>
      <c r="B427" s="352">
        <f t="shared" si="211"/>
        <v>42.172499999999999</v>
      </c>
      <c r="C427" s="325">
        <f t="shared" si="186"/>
        <v>53.501715280131791</v>
      </c>
      <c r="D427" s="326">
        <f t="shared" si="187"/>
        <v>1.5521042488038612</v>
      </c>
      <c r="E427" s="326">
        <f t="shared" si="188"/>
        <v>1.001403278314873</v>
      </c>
      <c r="F427" s="327">
        <f t="shared" si="189"/>
        <v>5.2945996747883563E-2</v>
      </c>
      <c r="G427" s="326">
        <f t="shared" si="190"/>
        <v>1</v>
      </c>
      <c r="H427" s="327">
        <f t="shared" si="191"/>
        <v>0</v>
      </c>
      <c r="I427" s="325">
        <f t="shared" si="192"/>
        <v>55974.118785606392</v>
      </c>
      <c r="J427" s="328">
        <f t="shared" si="193"/>
        <v>1.5707784613952842</v>
      </c>
      <c r="K427" s="336">
        <f t="shared" si="213"/>
        <v>10.88890025235496</v>
      </c>
      <c r="L427" s="337">
        <f t="shared" si="214"/>
        <v>1.4788301043125471</v>
      </c>
      <c r="M427" s="325">
        <f t="shared" si="194"/>
        <v>1.033000331082212</v>
      </c>
      <c r="N427" s="337">
        <f t="shared" si="195"/>
        <v>0.25344686030372526</v>
      </c>
      <c r="O427" s="343">
        <f t="shared" si="196"/>
        <v>1.029589889868785</v>
      </c>
      <c r="P427" s="691">
        <f t="shared" si="197"/>
        <v>0.24032567928293358</v>
      </c>
      <c r="Q427" s="336">
        <f t="shared" si="212"/>
        <v>15.220089305427035</v>
      </c>
      <c r="R427" s="692">
        <f t="shared" si="198"/>
        <v>0.11390578356432325</v>
      </c>
      <c r="S427" s="329">
        <f t="shared" si="199"/>
        <v>0.9963384411047167</v>
      </c>
      <c r="T427" s="330">
        <f t="shared" si="200"/>
        <v>0.34252865974030383</v>
      </c>
      <c r="U427" s="331">
        <f t="shared" si="201"/>
        <v>-0.65276752036578789</v>
      </c>
      <c r="V427" s="332">
        <f t="shared" si="202"/>
        <v>-118.06724911440826</v>
      </c>
      <c r="W427" s="334">
        <f t="shared" si="203"/>
        <v>61.932750885591744</v>
      </c>
      <c r="Y427" s="307">
        <f t="shared" si="204"/>
        <v>42172.5</v>
      </c>
      <c r="Z427" s="307">
        <f t="shared" si="205"/>
        <v>1778519756.25</v>
      </c>
      <c r="AB427" s="333">
        <f t="shared" si="206"/>
        <v>23.205150273884144</v>
      </c>
      <c r="AC427" s="334">
        <f t="shared" si="207"/>
        <v>-19.789688242860894</v>
      </c>
      <c r="AE427" s="333">
        <f t="shared" si="208"/>
        <v>33.516540920021029</v>
      </c>
      <c r="AF427" s="334">
        <f t="shared" si="209"/>
        <v>-105.52088735098442</v>
      </c>
      <c r="AH427">
        <f t="shared" si="210"/>
        <v>0</v>
      </c>
      <c r="AI427">
        <f t="shared" si="215"/>
        <v>0</v>
      </c>
    </row>
    <row r="428" spans="1:35" x14ac:dyDescent="0.2">
      <c r="A428" s="335">
        <v>42415.25</v>
      </c>
      <c r="B428" s="352">
        <f t="shared" si="211"/>
        <v>42.41525</v>
      </c>
      <c r="C428" s="325">
        <f t="shared" si="186"/>
        <v>53.809570330834084</v>
      </c>
      <c r="D428" s="326">
        <f t="shared" si="187"/>
        <v>1.552211202178944</v>
      </c>
      <c r="E428" s="326">
        <f t="shared" si="188"/>
        <v>1.0014194682058251</v>
      </c>
      <c r="F428" s="327">
        <f t="shared" si="189"/>
        <v>5.3250186143427497E-2</v>
      </c>
      <c r="G428" s="326">
        <f t="shared" si="190"/>
        <v>1</v>
      </c>
      <c r="H428" s="327">
        <f t="shared" si="191"/>
        <v>0</v>
      </c>
      <c r="I428" s="325">
        <f t="shared" si="192"/>
        <v>56296.31256901694</v>
      </c>
      <c r="J428" s="328">
        <f t="shared" si="193"/>
        <v>1.5707785636421354</v>
      </c>
      <c r="K428" s="336">
        <f t="shared" si="213"/>
        <v>10.951050953678523</v>
      </c>
      <c r="L428" s="337">
        <f t="shared" si="214"/>
        <v>1.4793535057754545</v>
      </c>
      <c r="M428" s="325">
        <f t="shared" si="194"/>
        <v>1.0333751784954959</v>
      </c>
      <c r="N428" s="337">
        <f t="shared" si="195"/>
        <v>0.25484354836131035</v>
      </c>
      <c r="O428" s="343">
        <f t="shared" si="196"/>
        <v>1.0299265520973668</v>
      </c>
      <c r="P428" s="691">
        <f t="shared" si="197"/>
        <v>0.24165593555594878</v>
      </c>
      <c r="Q428" s="336">
        <f t="shared" si="212"/>
        <v>15.221191783140792</v>
      </c>
      <c r="R428" s="692">
        <f t="shared" si="198"/>
        <v>0.11455597982064747</v>
      </c>
      <c r="S428" s="329">
        <f t="shared" si="199"/>
        <v>0.99631828533225786</v>
      </c>
      <c r="T428" s="330">
        <f t="shared" si="200"/>
        <v>0.34458921695647954</v>
      </c>
      <c r="U428" s="331">
        <f t="shared" si="201"/>
        <v>-0.70364656486046795</v>
      </c>
      <c r="V428" s="332">
        <f t="shared" si="202"/>
        <v>-118.18508648065604</v>
      </c>
      <c r="W428" s="334">
        <f t="shared" si="203"/>
        <v>61.814913519343961</v>
      </c>
      <c r="Y428" s="307">
        <f t="shared" si="204"/>
        <v>42415.25</v>
      </c>
      <c r="Z428" s="307">
        <f t="shared" si="205"/>
        <v>1799053432.5625</v>
      </c>
      <c r="AB428" s="333">
        <f t="shared" si="206"/>
        <v>23.201580894715093</v>
      </c>
      <c r="AC428" s="334">
        <f t="shared" si="207"/>
        <v>-19.839729737411499</v>
      </c>
      <c r="AE428" s="333">
        <f t="shared" si="208"/>
        <v>33.467020693964287</v>
      </c>
      <c r="AF428" s="334">
        <f t="shared" si="209"/>
        <v>-105.62764779149812</v>
      </c>
      <c r="AH428">
        <f t="shared" si="210"/>
        <v>0</v>
      </c>
      <c r="AI428">
        <f t="shared" si="215"/>
        <v>0</v>
      </c>
    </row>
    <row r="429" spans="1:35" x14ac:dyDescent="0.2">
      <c r="A429" s="335">
        <v>42658</v>
      </c>
      <c r="B429" s="352">
        <f t="shared" si="211"/>
        <v>42.658000000000001</v>
      </c>
      <c r="C429" s="325">
        <f t="shared" si="186"/>
        <v>54.117425990062308</v>
      </c>
      <c r="D429" s="326">
        <f t="shared" si="187"/>
        <v>1.5523169387123616</v>
      </c>
      <c r="E429" s="326">
        <f t="shared" si="188"/>
        <v>1.0014357507563096</v>
      </c>
      <c r="F429" s="327">
        <f t="shared" si="189"/>
        <v>5.3554365675360482E-2</v>
      </c>
      <c r="G429" s="326">
        <f t="shared" si="190"/>
        <v>1</v>
      </c>
      <c r="H429" s="327">
        <f t="shared" si="191"/>
        <v>0</v>
      </c>
      <c r="I429" s="325">
        <f t="shared" si="192"/>
        <v>56618.506352428078</v>
      </c>
      <c r="J429" s="328">
        <f t="shared" si="193"/>
        <v>1.570778664725293</v>
      </c>
      <c r="K429" s="336">
        <f t="shared" si="213"/>
        <v>11.013204621171989</v>
      </c>
      <c r="L429" s="337">
        <f t="shared" si="214"/>
        <v>1.479870999684969</v>
      </c>
      <c r="M429" s="325">
        <f t="shared" si="194"/>
        <v>1.0337520402883056</v>
      </c>
      <c r="N429" s="337">
        <f t="shared" si="195"/>
        <v>0.25623922079434336</v>
      </c>
      <c r="O429" s="343">
        <f t="shared" si="196"/>
        <v>1.0302650356721896</v>
      </c>
      <c r="P429" s="691">
        <f t="shared" si="197"/>
        <v>0.24298532009456719</v>
      </c>
      <c r="Q429" s="336">
        <f t="shared" si="212"/>
        <v>15.222300508172664</v>
      </c>
      <c r="R429" s="692">
        <f t="shared" si="198"/>
        <v>0.11520608303940313</v>
      </c>
      <c r="S429" s="329">
        <f t="shared" si="199"/>
        <v>0.99629852453014822</v>
      </c>
      <c r="T429" s="330">
        <f t="shared" si="200"/>
        <v>0.34665123945005394</v>
      </c>
      <c r="U429" s="331">
        <f t="shared" si="201"/>
        <v>-0.75424183030172665</v>
      </c>
      <c r="V429" s="332">
        <f t="shared" si="202"/>
        <v>-118.30326348260985</v>
      </c>
      <c r="W429" s="334">
        <f t="shared" si="203"/>
        <v>61.69673651739015</v>
      </c>
      <c r="Y429" s="307">
        <f t="shared" si="204"/>
        <v>42658</v>
      </c>
      <c r="Z429" s="307">
        <f t="shared" si="205"/>
        <v>1819704964</v>
      </c>
      <c r="AB429" s="333">
        <f t="shared" si="206"/>
        <v>23.198002810855854</v>
      </c>
      <c r="AC429" s="334">
        <f t="shared" si="207"/>
        <v>-19.890051452163956</v>
      </c>
      <c r="AE429" s="333">
        <f t="shared" si="208"/>
        <v>33.417782043615709</v>
      </c>
      <c r="AF429" s="334">
        <f t="shared" si="209"/>
        <v>-105.73442303147414</v>
      </c>
      <c r="AH429">
        <f t="shared" si="210"/>
        <v>0</v>
      </c>
      <c r="AI429">
        <f t="shared" si="215"/>
        <v>0</v>
      </c>
    </row>
    <row r="430" spans="1:35" x14ac:dyDescent="0.2">
      <c r="A430" s="335">
        <v>42906.5</v>
      </c>
      <c r="B430" s="352">
        <f t="shared" si="211"/>
        <v>42.906500000000001</v>
      </c>
      <c r="C430" s="325">
        <f t="shared" si="186"/>
        <v>54.432574421416447</v>
      </c>
      <c r="D430" s="326">
        <f t="shared" si="187"/>
        <v>1.552423940952919</v>
      </c>
      <c r="E430" s="326">
        <f t="shared" si="188"/>
        <v>1.0014525149633127</v>
      </c>
      <c r="F430" s="327">
        <f t="shared" si="189"/>
        <v>5.3865740008648279E-2</v>
      </c>
      <c r="G430" s="326">
        <f t="shared" si="190"/>
        <v>1</v>
      </c>
      <c r="H430" s="327">
        <f t="shared" si="191"/>
        <v>0</v>
      </c>
      <c r="I430" s="325">
        <f t="shared" si="192"/>
        <v>56948.3319144376</v>
      </c>
      <c r="J430" s="328">
        <f t="shared" si="193"/>
        <v>1.5707787670180526</v>
      </c>
      <c r="K430" s="336">
        <f t="shared" si="213"/>
        <v>11.076833537922548</v>
      </c>
      <c r="L430" s="337">
        <f t="shared" si="214"/>
        <v>1.4803947358553706</v>
      </c>
      <c r="M430" s="325">
        <f t="shared" si="194"/>
        <v>1.0341399129936271</v>
      </c>
      <c r="N430" s="337">
        <f t="shared" si="195"/>
        <v>0.25766689590062519</v>
      </c>
      <c r="O430" s="343">
        <f t="shared" si="196"/>
        <v>1.0306134215773746</v>
      </c>
      <c r="P430" s="691">
        <f t="shared" si="197"/>
        <v>0.24434528670112102</v>
      </c>
      <c r="Q430" s="336">
        <f t="shared" si="212"/>
        <v>15.223441965102943</v>
      </c>
      <c r="R430" s="692">
        <f t="shared" si="198"/>
        <v>0.11587148830477925</v>
      </c>
      <c r="S430" s="329">
        <f t="shared" si="199"/>
        <v>0.99627871395589929</v>
      </c>
      <c r="T430" s="330">
        <f t="shared" si="200"/>
        <v>0.34876362931274879</v>
      </c>
      <c r="U430" s="331">
        <f t="shared" si="201"/>
        <v>-0.80574520154915186</v>
      </c>
      <c r="V430" s="332">
        <f t="shared" si="202"/>
        <v>-118.42458716164784</v>
      </c>
      <c r="W430" s="334">
        <f t="shared" si="203"/>
        <v>61.575412838352165</v>
      </c>
      <c r="Y430" s="307">
        <f t="shared" si="204"/>
        <v>42906.5</v>
      </c>
      <c r="Z430" s="307">
        <f t="shared" si="205"/>
        <v>1840967742.25</v>
      </c>
      <c r="AB430" s="333">
        <f t="shared" si="206"/>
        <v>23.194330828954971</v>
      </c>
      <c r="AC430" s="334">
        <f t="shared" si="207"/>
        <v>-19.941849199130029</v>
      </c>
      <c r="AE430" s="333">
        <f t="shared" si="208"/>
        <v>33.367665296419709</v>
      </c>
      <c r="AF430" s="334">
        <f t="shared" si="209"/>
        <v>-105.84374439705398</v>
      </c>
      <c r="AH430">
        <f t="shared" si="210"/>
        <v>0</v>
      </c>
      <c r="AI430">
        <f t="shared" si="215"/>
        <v>0</v>
      </c>
    </row>
    <row r="431" spans="1:35" x14ac:dyDescent="0.2">
      <c r="A431" s="335">
        <v>43155</v>
      </c>
      <c r="B431" s="352">
        <f t="shared" si="211"/>
        <v>43.155000000000001</v>
      </c>
      <c r="C431" s="325">
        <f t="shared" si="186"/>
        <v>54.747723468820205</v>
      </c>
      <c r="D431" s="326">
        <f t="shared" si="187"/>
        <v>1.5525297113022043</v>
      </c>
      <c r="E431" s="326">
        <f t="shared" si="188"/>
        <v>1.0014693762618621</v>
      </c>
      <c r="F431" s="327">
        <f t="shared" si="189"/>
        <v>5.4177103887178342E-2</v>
      </c>
      <c r="G431" s="326">
        <f t="shared" si="190"/>
        <v>1</v>
      </c>
      <c r="H431" s="327">
        <f t="shared" si="191"/>
        <v>0</v>
      </c>
      <c r="I431" s="325">
        <f t="shared" si="192"/>
        <v>57278.157476447705</v>
      </c>
      <c r="J431" s="328">
        <f t="shared" si="193"/>
        <v>1.570778868132745</v>
      </c>
      <c r="K431" s="336">
        <f t="shared" si="213"/>
        <v>11.140465458335978</v>
      </c>
      <c r="L431" s="337">
        <f t="shared" si="214"/>
        <v>1.4809124892318095</v>
      </c>
      <c r="M431" s="325">
        <f t="shared" si="194"/>
        <v>1.0345298919579704</v>
      </c>
      <c r="N431" s="337">
        <f t="shared" si="195"/>
        <v>0.25909349755293776</v>
      </c>
      <c r="O431" s="343">
        <f t="shared" si="196"/>
        <v>1.030963712321231</v>
      </c>
      <c r="P431" s="691">
        <f t="shared" si="197"/>
        <v>0.24570433166757699</v>
      </c>
      <c r="Q431" s="336">
        <f t="shared" si="212"/>
        <v>15.224589965915927</v>
      </c>
      <c r="R431" s="692">
        <f t="shared" si="198"/>
        <v>0.11653679500192107</v>
      </c>
      <c r="S431" s="329">
        <f t="shared" si="199"/>
        <v>0.99625933599848848</v>
      </c>
      <c r="T431" s="330">
        <f t="shared" si="200"/>
        <v>0.35087756816804766</v>
      </c>
      <c r="U431" s="331">
        <f t="shared" si="201"/>
        <v>-0.8569584431250814</v>
      </c>
      <c r="V431" s="332">
        <f t="shared" si="202"/>
        <v>-118.54625798377535</v>
      </c>
      <c r="W431" s="334">
        <f t="shared" si="203"/>
        <v>61.453742016224652</v>
      </c>
      <c r="Y431" s="307">
        <f t="shared" si="204"/>
        <v>43155</v>
      </c>
      <c r="Z431" s="307">
        <f t="shared" si="205"/>
        <v>1862354025</v>
      </c>
      <c r="AB431" s="333">
        <f t="shared" si="206"/>
        <v>23.190649470298471</v>
      </c>
      <c r="AC431" s="334">
        <f t="shared" si="207"/>
        <v>-19.993928163059962</v>
      </c>
      <c r="AE431" s="333">
        <f t="shared" si="208"/>
        <v>33.317836684428897</v>
      </c>
      <c r="AF431" s="334">
        <f t="shared" si="209"/>
        <v>-105.95308453021534</v>
      </c>
      <c r="AH431">
        <f t="shared" si="210"/>
        <v>0</v>
      </c>
      <c r="AI431">
        <f t="shared" si="215"/>
        <v>0</v>
      </c>
    </row>
    <row r="432" spans="1:35" x14ac:dyDescent="0.2">
      <c r="A432" s="335">
        <v>43403.5</v>
      </c>
      <c r="B432" s="352">
        <f t="shared" si="211"/>
        <v>43.403500000000001</v>
      </c>
      <c r="C432" s="325">
        <f t="shared" si="186"/>
        <v>55.062873121695809</v>
      </c>
      <c r="D432" s="326">
        <f t="shared" si="187"/>
        <v>1.5526342709098384</v>
      </c>
      <c r="E432" s="326">
        <f t="shared" si="188"/>
        <v>1.0014863346470542</v>
      </c>
      <c r="F432" s="327">
        <f t="shared" si="189"/>
        <v>5.4488457251108374E-2</v>
      </c>
      <c r="G432" s="326">
        <f t="shared" si="190"/>
        <v>1</v>
      </c>
      <c r="H432" s="327">
        <f t="shared" si="191"/>
        <v>0</v>
      </c>
      <c r="I432" s="325">
        <f t="shared" si="192"/>
        <v>57607.983038458391</v>
      </c>
      <c r="J432" s="328">
        <f t="shared" si="193"/>
        <v>1.5707789680896043</v>
      </c>
      <c r="K432" s="336">
        <f t="shared" si="213"/>
        <v>11.204100331235793</v>
      </c>
      <c r="L432" s="337">
        <f t="shared" si="214"/>
        <v>1.4814243614740397</v>
      </c>
      <c r="M432" s="325">
        <f t="shared" si="194"/>
        <v>1.034921974800296</v>
      </c>
      <c r="N432" s="337">
        <f t="shared" si="195"/>
        <v>0.26051902116125397</v>
      </c>
      <c r="O432" s="343">
        <f t="shared" si="196"/>
        <v>1.0313159059627992</v>
      </c>
      <c r="P432" s="691">
        <f t="shared" si="197"/>
        <v>0.24706245091529866</v>
      </c>
      <c r="Q432" s="336">
        <f t="shared" si="212"/>
        <v>15.225744509132733</v>
      </c>
      <c r="R432" s="692">
        <f t="shared" si="198"/>
        <v>0.11720200258984666</v>
      </c>
      <c r="S432" s="329">
        <f t="shared" si="199"/>
        <v>0.9962404002062859</v>
      </c>
      <c r="T432" s="330">
        <f t="shared" si="200"/>
        <v>0.35299306276895265</v>
      </c>
      <c r="U432" s="331">
        <f t="shared" si="201"/>
        <v>-0.90788512972731272</v>
      </c>
      <c r="V432" s="332">
        <f t="shared" si="202"/>
        <v>-118.66827166731144</v>
      </c>
      <c r="W432" s="334">
        <f t="shared" si="203"/>
        <v>61.331728332688556</v>
      </c>
      <c r="Y432" s="307">
        <f t="shared" si="204"/>
        <v>43403.5</v>
      </c>
      <c r="Z432" s="307">
        <f t="shared" si="205"/>
        <v>1883863812.25</v>
      </c>
      <c r="AB432" s="333">
        <f t="shared" si="206"/>
        <v>23.186958613222576</v>
      </c>
      <c r="AC432" s="334">
        <f t="shared" si="207"/>
        <v>-20.04628225744905</v>
      </c>
      <c r="AE432" s="333">
        <f t="shared" si="208"/>
        <v>33.268292784957453</v>
      </c>
      <c r="AF432" s="334">
        <f t="shared" si="209"/>
        <v>-106.06244503308945</v>
      </c>
      <c r="AH432">
        <f t="shared" si="210"/>
        <v>0</v>
      </c>
      <c r="AI432">
        <f t="shared" si="215"/>
        <v>0</v>
      </c>
    </row>
    <row r="433" spans="1:35" x14ac:dyDescent="0.2">
      <c r="A433" s="335">
        <v>43652</v>
      </c>
      <c r="B433" s="352">
        <f t="shared" si="211"/>
        <v>43.652000000000001</v>
      </c>
      <c r="C433" s="325">
        <f t="shared" si="186"/>
        <v>55.378023369706241</v>
      </c>
      <c r="D433" s="326">
        <f t="shared" si="187"/>
        <v>1.5527376404441084</v>
      </c>
      <c r="E433" s="326">
        <f t="shared" si="188"/>
        <v>1.0015033901139565</v>
      </c>
      <c r="F433" s="327">
        <f t="shared" si="189"/>
        <v>5.479980004060829E-2</v>
      </c>
      <c r="G433" s="326">
        <f t="shared" si="190"/>
        <v>1</v>
      </c>
      <c r="H433" s="327">
        <f t="shared" si="191"/>
        <v>0</v>
      </c>
      <c r="I433" s="325">
        <f t="shared" si="192"/>
        <v>57937.808600469645</v>
      </c>
      <c r="J433" s="328">
        <f t="shared" si="193"/>
        <v>1.5707790669084045</v>
      </c>
      <c r="K433" s="336">
        <f t="shared" si="213"/>
        <v>11.267738106599236</v>
      </c>
      <c r="L433" s="337">
        <f t="shared" si="214"/>
        <v>1.4819304519576935</v>
      </c>
      <c r="M433" s="325">
        <f t="shared" si="194"/>
        <v>1.0353161591303355</v>
      </c>
      <c r="N433" s="337">
        <f t="shared" si="195"/>
        <v>0.2619434621600068</v>
      </c>
      <c r="O433" s="343">
        <f t="shared" si="196"/>
        <v>1.0316700005532342</v>
      </c>
      <c r="P433" s="691">
        <f t="shared" si="197"/>
        <v>0.2484196403848635</v>
      </c>
      <c r="Q433" s="336">
        <f t="shared" si="212"/>
        <v>15.226905593266507</v>
      </c>
      <c r="R433" s="692">
        <f t="shared" si="198"/>
        <v>0.11786711052807809</v>
      </c>
      <c r="S433" s="329">
        <f t="shared" si="199"/>
        <v>0.99622191618280387</v>
      </c>
      <c r="T433" s="330">
        <f t="shared" si="200"/>
        <v>0.35511011982455126</v>
      </c>
      <c r="U433" s="331">
        <f t="shared" si="201"/>
        <v>-0.95852877487306876</v>
      </c>
      <c r="V433" s="332">
        <f t="shared" si="202"/>
        <v>-118.79062403165385</v>
      </c>
      <c r="W433" s="334">
        <f t="shared" si="203"/>
        <v>61.209375968346151</v>
      </c>
      <c r="Y433" s="307">
        <f t="shared" si="204"/>
        <v>43652</v>
      </c>
      <c r="Z433" s="307">
        <f t="shared" si="205"/>
        <v>1905497104</v>
      </c>
      <c r="AB433" s="333">
        <f t="shared" si="206"/>
        <v>23.183258140714802</v>
      </c>
      <c r="AC433" s="334">
        <f t="shared" si="207"/>
        <v>-20.098905528038205</v>
      </c>
      <c r="AE433" s="333">
        <f t="shared" si="208"/>
        <v>33.219030231951251</v>
      </c>
      <c r="AF433" s="334">
        <f t="shared" si="209"/>
        <v>-106.17182747771237</v>
      </c>
      <c r="AH433">
        <f t="shared" si="210"/>
        <v>0</v>
      </c>
      <c r="AI433">
        <f t="shared" si="215"/>
        <v>0</v>
      </c>
    </row>
    <row r="434" spans="1:35" x14ac:dyDescent="0.2">
      <c r="A434" s="335">
        <v>43906</v>
      </c>
      <c r="B434" s="352">
        <f t="shared" si="211"/>
        <v>43.905999999999999</v>
      </c>
      <c r="C434" s="325">
        <f t="shared" si="186"/>
        <v>55.700149378633242</v>
      </c>
      <c r="D434" s="326">
        <f t="shared" si="187"/>
        <v>1.5528420889884882</v>
      </c>
      <c r="E434" s="326">
        <f t="shared" si="188"/>
        <v>1.0015209233894016</v>
      </c>
      <c r="F434" s="327">
        <f t="shared" si="189"/>
        <v>5.5118022726440272E-2</v>
      </c>
      <c r="G434" s="326">
        <f t="shared" si="190"/>
        <v>1</v>
      </c>
      <c r="H434" s="327">
        <f t="shared" si="191"/>
        <v>0</v>
      </c>
      <c r="I434" s="325">
        <f t="shared" si="192"/>
        <v>58274.93412461855</v>
      </c>
      <c r="J434" s="328">
        <f t="shared" si="193"/>
        <v>1.5707791667583377</v>
      </c>
      <c r="K434" s="336">
        <f t="shared" si="213"/>
        <v>11.332787312543092</v>
      </c>
      <c r="L434" s="337">
        <f t="shared" si="214"/>
        <v>1.4824418696473776</v>
      </c>
      <c r="M434" s="325">
        <f t="shared" si="194"/>
        <v>1.0357212371341542</v>
      </c>
      <c r="N434" s="337">
        <f t="shared" si="195"/>
        <v>0.26339830647800255</v>
      </c>
      <c r="O434" s="343">
        <f t="shared" si="196"/>
        <v>1.0320338947346341</v>
      </c>
      <c r="P434" s="691">
        <f t="shared" si="197"/>
        <v>0.2498059031733996</v>
      </c>
      <c r="Q434" s="336">
        <f t="shared" si="212"/>
        <v>15.228099133555409</v>
      </c>
      <c r="R434" s="692">
        <f t="shared" si="198"/>
        <v>0.11854683562060858</v>
      </c>
      <c r="S434" s="329">
        <f t="shared" si="199"/>
        <v>0.99620349998951474</v>
      </c>
      <c r="T434" s="330">
        <f t="shared" si="200"/>
        <v>0.3572756549215908</v>
      </c>
      <c r="U434" s="331">
        <f t="shared" si="201"/>
        <v>-1.0100043932815519</v>
      </c>
      <c r="V434" s="332">
        <f t="shared" si="202"/>
        <v>-118.91603015418494</v>
      </c>
      <c r="W434" s="334">
        <f t="shared" si="203"/>
        <v>61.083969845815062</v>
      </c>
      <c r="Y434" s="307">
        <f t="shared" si="204"/>
        <v>43906</v>
      </c>
      <c r="Z434" s="307">
        <f t="shared" si="205"/>
        <v>1927736836</v>
      </c>
      <c r="AB434" s="333">
        <f t="shared" si="206"/>
        <v>23.179465712279395</v>
      </c>
      <c r="AC434" s="334">
        <f t="shared" si="207"/>
        <v>-20.152965613162255</v>
      </c>
      <c r="AE434" s="333">
        <f t="shared" si="208"/>
        <v>33.168964670352572</v>
      </c>
      <c r="AF434" s="334">
        <f t="shared" si="209"/>
        <v>-106.28365514321372</v>
      </c>
      <c r="AH434">
        <f t="shared" si="210"/>
        <v>0</v>
      </c>
      <c r="AI434">
        <f t="shared" si="215"/>
        <v>0</v>
      </c>
    </row>
    <row r="435" spans="1:35" x14ac:dyDescent="0.2">
      <c r="A435" s="335">
        <v>44160</v>
      </c>
      <c r="B435" s="352">
        <f t="shared" si="211"/>
        <v>44.16</v>
      </c>
      <c r="C435" s="325">
        <f t="shared" si="186"/>
        <v>56.022275988232863</v>
      </c>
      <c r="D435" s="326">
        <f t="shared" si="187"/>
        <v>1.5529453363812318</v>
      </c>
      <c r="E435" s="326">
        <f t="shared" si="188"/>
        <v>1.0015385580809848</v>
      </c>
      <c r="F435" s="327">
        <f t="shared" si="189"/>
        <v>5.5436234238218883E-2</v>
      </c>
      <c r="G435" s="326">
        <f t="shared" si="190"/>
        <v>1</v>
      </c>
      <c r="H435" s="327">
        <f t="shared" si="191"/>
        <v>0</v>
      </c>
      <c r="I435" s="325">
        <f t="shared" si="192"/>
        <v>58612.05964876803</v>
      </c>
      <c r="J435" s="328">
        <f t="shared" si="193"/>
        <v>1.5707792654596349</v>
      </c>
      <c r="K435" s="336">
        <f t="shared" si="213"/>
        <v>11.397839448722179</v>
      </c>
      <c r="L435" s="337">
        <f t="shared" si="214"/>
        <v>1.4829474497277664</v>
      </c>
      <c r="M435" s="325">
        <f t="shared" si="194"/>
        <v>1.0361285055997476</v>
      </c>
      <c r="N435" s="337">
        <f t="shared" si="195"/>
        <v>0.26485201016675031</v>
      </c>
      <c r="O435" s="343">
        <f t="shared" si="196"/>
        <v>1.0323997708005386</v>
      </c>
      <c r="P435" s="691">
        <f t="shared" si="197"/>
        <v>0.2511911860566568</v>
      </c>
      <c r="Q435" s="336">
        <f t="shared" si="212"/>
        <v>15.229299504336348</v>
      </c>
      <c r="R435" s="692">
        <f t="shared" si="198"/>
        <v>0.11922645546336777</v>
      </c>
      <c r="S435" s="329">
        <f t="shared" si="199"/>
        <v>0.99618557624885218</v>
      </c>
      <c r="T435" s="330">
        <f t="shared" si="200"/>
        <v>0.35944283643347807</v>
      </c>
      <c r="U435" s="331">
        <f t="shared" si="201"/>
        <v>-1.0611915359748385</v>
      </c>
      <c r="V435" s="332">
        <f t="shared" si="202"/>
        <v>-119.04178159403567</v>
      </c>
      <c r="W435" s="334">
        <f t="shared" si="203"/>
        <v>60.958218405964331</v>
      </c>
      <c r="Y435" s="307">
        <f t="shared" si="204"/>
        <v>44160</v>
      </c>
      <c r="Z435" s="307">
        <f t="shared" si="205"/>
        <v>1950105600</v>
      </c>
      <c r="AB435" s="333">
        <f t="shared" si="206"/>
        <v>23.175663005079834</v>
      </c>
      <c r="AC435" s="334">
        <f t="shared" si="207"/>
        <v>-20.207294749607769</v>
      </c>
      <c r="AE435" s="333">
        <f t="shared" si="208"/>
        <v>33.119186111260838</v>
      </c>
      <c r="AF435" s="334">
        <f t="shared" si="209"/>
        <v>-106.39550896064401</v>
      </c>
      <c r="AH435">
        <f t="shared" si="210"/>
        <v>0</v>
      </c>
      <c r="AI435">
        <f t="shared" si="215"/>
        <v>0</v>
      </c>
    </row>
    <row r="436" spans="1:35" x14ac:dyDescent="0.2">
      <c r="A436" s="335">
        <v>44414</v>
      </c>
      <c r="B436" s="352">
        <f t="shared" si="211"/>
        <v>44.414000000000001</v>
      </c>
      <c r="C436" s="325">
        <f t="shared" si="186"/>
        <v>56.344403188202811</v>
      </c>
      <c r="D436" s="326">
        <f t="shared" si="187"/>
        <v>1.5530474032214701</v>
      </c>
      <c r="E436" s="326">
        <f t="shared" si="188"/>
        <v>1.0015562941833491</v>
      </c>
      <c r="F436" s="327">
        <f t="shared" si="189"/>
        <v>5.5754434512092783E-2</v>
      </c>
      <c r="G436" s="326">
        <f t="shared" si="190"/>
        <v>1</v>
      </c>
      <c r="H436" s="327">
        <f t="shared" si="191"/>
        <v>0</v>
      </c>
      <c r="I436" s="325">
        <f t="shared" si="192"/>
        <v>58949.185172918071</v>
      </c>
      <c r="J436" s="328">
        <f t="shared" si="193"/>
        <v>1.5707793630320031</v>
      </c>
      <c r="K436" s="336">
        <f t="shared" si="213"/>
        <v>11.462894465249079</v>
      </c>
      <c r="L436" s="337">
        <f t="shared" si="214"/>
        <v>1.4834472913281898</v>
      </c>
      <c r="M436" s="325">
        <f t="shared" si="194"/>
        <v>1.0365379619451378</v>
      </c>
      <c r="N436" s="337">
        <f t="shared" si="195"/>
        <v>0.26630456843029482</v>
      </c>
      <c r="O436" s="343">
        <f t="shared" si="196"/>
        <v>1.0327676266445951</v>
      </c>
      <c r="P436" s="691">
        <f t="shared" si="197"/>
        <v>0.25257548476217734</v>
      </c>
      <c r="Q436" s="336">
        <f t="shared" si="212"/>
        <v>15.230506703995758</v>
      </c>
      <c r="R436" s="692">
        <f t="shared" si="198"/>
        <v>0.11990596948084026</v>
      </c>
      <c r="S436" s="329">
        <f t="shared" si="199"/>
        <v>0.99616815539456027</v>
      </c>
      <c r="T436" s="330">
        <f t="shared" si="200"/>
        <v>0.36161167137986305</v>
      </c>
      <c r="U436" s="331">
        <f t="shared" si="201"/>
        <v>-1.1120937660632979</v>
      </c>
      <c r="V436" s="332">
        <f t="shared" si="202"/>
        <v>-119.16787419577203</v>
      </c>
      <c r="W436" s="334">
        <f t="shared" si="203"/>
        <v>60.832125804227971</v>
      </c>
      <c r="Y436" s="307">
        <f t="shared" si="204"/>
        <v>44414</v>
      </c>
      <c r="Z436" s="307">
        <f t="shared" si="205"/>
        <v>1972603396</v>
      </c>
      <c r="AB436" s="333">
        <f t="shared" si="206"/>
        <v>23.171849908250813</v>
      </c>
      <c r="AC436" s="334">
        <f t="shared" si="207"/>
        <v>-20.261886984023672</v>
      </c>
      <c r="AE436" s="333">
        <f t="shared" si="208"/>
        <v>33.069691135273416</v>
      </c>
      <c r="AF436" s="334">
        <f t="shared" si="209"/>
        <v>-106.50739051610118</v>
      </c>
      <c r="AH436">
        <f t="shared" si="210"/>
        <v>0</v>
      </c>
      <c r="AI436">
        <f t="shared" si="215"/>
        <v>0</v>
      </c>
    </row>
    <row r="437" spans="1:35" x14ac:dyDescent="0.2">
      <c r="A437" s="335">
        <v>44668</v>
      </c>
      <c r="B437" s="352">
        <f t="shared" si="211"/>
        <v>44.667999999999999</v>
      </c>
      <c r="C437" s="325">
        <f t="shared" si="186"/>
        <v>56.666530968475001</v>
      </c>
      <c r="D437" s="326">
        <f t="shared" si="187"/>
        <v>1.5531483096400409</v>
      </c>
      <c r="E437" s="326">
        <f t="shared" si="188"/>
        <v>1.0015741316911073</v>
      </c>
      <c r="F437" s="327">
        <f t="shared" si="189"/>
        <v>5.6072623484224246E-2</v>
      </c>
      <c r="G437" s="326">
        <f t="shared" si="190"/>
        <v>1</v>
      </c>
      <c r="H437" s="327">
        <f t="shared" si="191"/>
        <v>0</v>
      </c>
      <c r="I437" s="325">
        <f t="shared" si="192"/>
        <v>59286.310697068671</v>
      </c>
      <c r="J437" s="328">
        <f t="shared" si="193"/>
        <v>1.5707794594947004</v>
      </c>
      <c r="K437" s="336">
        <f t="shared" si="213"/>
        <v>11.527952313360302</v>
      </c>
      <c r="L437" s="337">
        <f t="shared" si="214"/>
        <v>1.4839414913518565</v>
      </c>
      <c r="M437" s="325">
        <f t="shared" si="194"/>
        <v>1.0369496035785657</v>
      </c>
      <c r="N437" s="337">
        <f t="shared" si="195"/>
        <v>0.2677559764995695</v>
      </c>
      <c r="O437" s="343">
        <f t="shared" si="196"/>
        <v>1.033137460152062</v>
      </c>
      <c r="P437" s="691">
        <f t="shared" si="197"/>
        <v>0.2539587950386597</v>
      </c>
      <c r="Q437" s="336">
        <f t="shared" si="212"/>
        <v>15.231720730911409</v>
      </c>
      <c r="R437" s="692">
        <f t="shared" si="198"/>
        <v>0.12058537709807199</v>
      </c>
      <c r="S437" s="329">
        <f t="shared" si="199"/>
        <v>0.99615124792039533</v>
      </c>
      <c r="T437" s="330">
        <f t="shared" si="200"/>
        <v>0.36378216673070085</v>
      </c>
      <c r="U437" s="331">
        <f t="shared" si="201"/>
        <v>-1.1627145859838819</v>
      </c>
      <c r="V437" s="332">
        <f t="shared" si="202"/>
        <v>-119.29430390216304</v>
      </c>
      <c r="W437" s="334">
        <f t="shared" si="203"/>
        <v>60.705696097836963</v>
      </c>
      <c r="Y437" s="307">
        <f t="shared" si="204"/>
        <v>44668</v>
      </c>
      <c r="Z437" s="307">
        <f t="shared" si="205"/>
        <v>1995230224</v>
      </c>
      <c r="AB437" s="333">
        <f t="shared" si="206"/>
        <v>23.168026315365964</v>
      </c>
      <c r="AC437" s="334">
        <f t="shared" si="207"/>
        <v>-20.316736492121088</v>
      </c>
      <c r="AE437" s="333">
        <f t="shared" si="208"/>
        <v>33.020476379329303</v>
      </c>
      <c r="AF437" s="334">
        <f t="shared" si="209"/>
        <v>-106.619301366004</v>
      </c>
      <c r="AH437">
        <f t="shared" si="210"/>
        <v>0</v>
      </c>
      <c r="AI437">
        <f t="shared" si="215"/>
        <v>0</v>
      </c>
    </row>
    <row r="438" spans="1:35" x14ac:dyDescent="0.2">
      <c r="A438" s="335">
        <v>44928.25</v>
      </c>
      <c r="B438" s="352">
        <f t="shared" si="211"/>
        <v>44.928249999999998</v>
      </c>
      <c r="C438" s="325">
        <f t="shared" si="186"/>
        <v>56.996585712900888</v>
      </c>
      <c r="D438" s="326">
        <f t="shared" si="187"/>
        <v>1.5532505159611285</v>
      </c>
      <c r="E438" s="326">
        <f t="shared" si="188"/>
        <v>1.001592513287163</v>
      </c>
      <c r="F438" s="327">
        <f t="shared" si="189"/>
        <v>5.6398630120363231E-2</v>
      </c>
      <c r="G438" s="326">
        <f t="shared" si="190"/>
        <v>1</v>
      </c>
      <c r="H438" s="327">
        <f t="shared" si="191"/>
        <v>0</v>
      </c>
      <c r="I438" s="325">
        <f t="shared" si="192"/>
        <v>59631.731632739291</v>
      </c>
      <c r="J438" s="328">
        <f t="shared" si="193"/>
        <v>1.5707795571997052</v>
      </c>
      <c r="K438" s="336">
        <f t="shared" si="213"/>
        <v>11.594613881458427</v>
      </c>
      <c r="L438" s="337">
        <f t="shared" si="214"/>
        <v>1.484442099353912</v>
      </c>
      <c r="M438" s="325">
        <f t="shared" si="194"/>
        <v>1.0373736380761049</v>
      </c>
      <c r="N438" s="337">
        <f t="shared" si="195"/>
        <v>0.26924190039579826</v>
      </c>
      <c r="O438" s="343">
        <f t="shared" si="196"/>
        <v>1.0335184429298623</v>
      </c>
      <c r="P438" s="691">
        <f t="shared" si="197"/>
        <v>0.255375113827705</v>
      </c>
      <c r="Q438" s="336">
        <f t="shared" si="212"/>
        <v>15.232971710144453</v>
      </c>
      <c r="R438" s="692">
        <f t="shared" si="198"/>
        <v>0.12128139146214753</v>
      </c>
      <c r="S438" s="329">
        <f t="shared" si="199"/>
        <v>0.99613446793660176</v>
      </c>
      <c r="T438" s="330">
        <f t="shared" si="200"/>
        <v>0.3660077993671641</v>
      </c>
      <c r="U438" s="331">
        <f t="shared" si="201"/>
        <v>-1.2142927151337026</v>
      </c>
      <c r="V438" s="332">
        <f t="shared" si="202"/>
        <v>-119.42419008241359</v>
      </c>
      <c r="W438" s="334">
        <f t="shared" si="203"/>
        <v>60.575809917586412</v>
      </c>
      <c r="Y438" s="307">
        <f t="shared" si="204"/>
        <v>44928.25</v>
      </c>
      <c r="Z438" s="307">
        <f t="shared" si="205"/>
        <v>2018547648.0625</v>
      </c>
      <c r="AB438" s="333">
        <f t="shared" si="206"/>
        <v>23.164097644597472</v>
      </c>
      <c r="AC438" s="334">
        <f t="shared" si="207"/>
        <v>-20.373196532493299</v>
      </c>
      <c r="AE438" s="333">
        <f t="shared" si="208"/>
        <v>32.970337819118775</v>
      </c>
      <c r="AF438" s="334">
        <f t="shared" si="209"/>
        <v>-106.73399790944482</v>
      </c>
      <c r="AH438">
        <f t="shared" si="210"/>
        <v>0</v>
      </c>
      <c r="AI438">
        <f t="shared" si="215"/>
        <v>0</v>
      </c>
    </row>
    <row r="439" spans="1:35" x14ac:dyDescent="0.2">
      <c r="A439" s="335">
        <v>45188.5</v>
      </c>
      <c r="B439" s="352">
        <f t="shared" si="211"/>
        <v>45.188499999999998</v>
      </c>
      <c r="C439" s="325">
        <f t="shared" si="186"/>
        <v>57.32664104586474</v>
      </c>
      <c r="D439" s="326">
        <f t="shared" si="187"/>
        <v>1.5533515453874682</v>
      </c>
      <c r="E439" s="326">
        <f t="shared" si="188"/>
        <v>1.0016110013288841</v>
      </c>
      <c r="F439" s="327">
        <f t="shared" si="189"/>
        <v>5.6724624756087874E-2</v>
      </c>
      <c r="G439" s="326">
        <f t="shared" si="190"/>
        <v>1</v>
      </c>
      <c r="H439" s="327">
        <f t="shared" si="191"/>
        <v>0</v>
      </c>
      <c r="I439" s="325">
        <f t="shared" si="192"/>
        <v>59977.152568410464</v>
      </c>
      <c r="J439" s="328">
        <f t="shared" si="193"/>
        <v>1.5707796537793028</v>
      </c>
      <c r="K439" s="336">
        <f t="shared" si="213"/>
        <v>11.661278322042547</v>
      </c>
      <c r="L439" s="337">
        <f t="shared" si="214"/>
        <v>1.4849369837920094</v>
      </c>
      <c r="M439" s="325">
        <f t="shared" si="194"/>
        <v>1.0377999611886444</v>
      </c>
      <c r="N439" s="337">
        <f t="shared" si="195"/>
        <v>0.27072660674753946</v>
      </c>
      <c r="O439" s="343">
        <f t="shared" si="196"/>
        <v>1.033901497372864</v>
      </c>
      <c r="P439" s="691">
        <f t="shared" si="197"/>
        <v>0.25679038597836473</v>
      </c>
      <c r="Q439" s="336">
        <f t="shared" si="212"/>
        <v>15.234229853278611</v>
      </c>
      <c r="R439" s="692">
        <f t="shared" si="198"/>
        <v>0.12197729290510018</v>
      </c>
      <c r="S439" s="329">
        <f t="shared" si="199"/>
        <v>0.99611824940563987</v>
      </c>
      <c r="T439" s="330">
        <f t="shared" si="200"/>
        <v>0.36823518977873654</v>
      </c>
      <c r="U439" s="331">
        <f t="shared" si="201"/>
        <v>-1.2655826699793162</v>
      </c>
      <c r="V439" s="332">
        <f t="shared" si="202"/>
        <v>-119.55442184170612</v>
      </c>
      <c r="W439" s="334">
        <f t="shared" si="203"/>
        <v>60.445578158293884</v>
      </c>
      <c r="Y439" s="307">
        <f t="shared" si="204"/>
        <v>45188.5</v>
      </c>
      <c r="Z439" s="307">
        <f t="shared" si="205"/>
        <v>2042000532.25</v>
      </c>
      <c r="AB439" s="333">
        <f t="shared" si="206"/>
        <v>23.16015774233637</v>
      </c>
      <c r="AC439" s="334">
        <f t="shared" si="207"/>
        <v>-20.429914684282792</v>
      </c>
      <c r="AE439" s="333">
        <f t="shared" si="208"/>
        <v>32.920486466714905</v>
      </c>
      <c r="AF439" s="334">
        <f t="shared" si="209"/>
        <v>-106.8487284224519</v>
      </c>
      <c r="AH439">
        <f t="shared" si="210"/>
        <v>0</v>
      </c>
      <c r="AI439">
        <f t="shared" si="215"/>
        <v>0</v>
      </c>
    </row>
    <row r="440" spans="1:35" x14ac:dyDescent="0.2">
      <c r="A440" s="335">
        <v>45448.75</v>
      </c>
      <c r="B440" s="352">
        <f t="shared" si="211"/>
        <v>45.448749999999997</v>
      </c>
      <c r="C440" s="325">
        <f t="shared" si="186"/>
        <v>57.656696957259314</v>
      </c>
      <c r="D440" s="326">
        <f t="shared" si="187"/>
        <v>1.5534514181283912</v>
      </c>
      <c r="E440" s="326">
        <f t="shared" si="188"/>
        <v>1.0016295958103771</v>
      </c>
      <c r="F440" s="327">
        <f t="shared" si="189"/>
        <v>5.7050607322776101E-2</v>
      </c>
      <c r="G440" s="326">
        <f t="shared" si="190"/>
        <v>1</v>
      </c>
      <c r="H440" s="327">
        <f t="shared" si="191"/>
        <v>0</v>
      </c>
      <c r="I440" s="325">
        <f t="shared" si="192"/>
        <v>60322.573504082196</v>
      </c>
      <c r="J440" s="328">
        <f t="shared" si="193"/>
        <v>1.5707797492528264</v>
      </c>
      <c r="K440" s="336">
        <f t="shared" si="213"/>
        <v>11.727945586128977</v>
      </c>
      <c r="L440" s="337">
        <f t="shared" si="214"/>
        <v>1.4854262420280959</v>
      </c>
      <c r="M440" s="325">
        <f t="shared" si="194"/>
        <v>1.0382285700968932</v>
      </c>
      <c r="N440" s="337">
        <f t="shared" si="195"/>
        <v>0.27221009051307016</v>
      </c>
      <c r="O440" s="343">
        <f t="shared" si="196"/>
        <v>1.0342866211793047</v>
      </c>
      <c r="P440" s="691">
        <f t="shared" si="197"/>
        <v>0.25820460698712044</v>
      </c>
      <c r="Q440" s="336">
        <f t="shared" si="212"/>
        <v>15.235495158540699</v>
      </c>
      <c r="R440" s="692">
        <f t="shared" si="198"/>
        <v>0.12267308081033255</v>
      </c>
      <c r="S440" s="329">
        <f t="shared" si="199"/>
        <v>0.99610260381083471</v>
      </c>
      <c r="T440" s="330">
        <f t="shared" si="200"/>
        <v>0.37046434529733346</v>
      </c>
      <c r="U440" s="331">
        <f t="shared" si="201"/>
        <v>-1.3165880289823531</v>
      </c>
      <c r="V440" s="332">
        <f t="shared" si="202"/>
        <v>-119.68499511848326</v>
      </c>
      <c r="W440" s="334">
        <f t="shared" si="203"/>
        <v>60.315004881516742</v>
      </c>
      <c r="Y440" s="307">
        <f t="shared" si="204"/>
        <v>45448.75</v>
      </c>
      <c r="Z440" s="307">
        <f t="shared" si="205"/>
        <v>2065588876.5625</v>
      </c>
      <c r="AB440" s="333">
        <f t="shared" si="206"/>
        <v>23.156206507666717</v>
      </c>
      <c r="AC440" s="334">
        <f t="shared" si="207"/>
        <v>-20.486885081299167</v>
      </c>
      <c r="AE440" s="333">
        <f t="shared" si="208"/>
        <v>32.870918880356548</v>
      </c>
      <c r="AF440" s="334">
        <f t="shared" si="209"/>
        <v>-106.96349448695416</v>
      </c>
      <c r="AH440">
        <f t="shared" si="210"/>
        <v>0</v>
      </c>
      <c r="AI440">
        <f t="shared" si="215"/>
        <v>0</v>
      </c>
    </row>
    <row r="441" spans="1:35" x14ac:dyDescent="0.2">
      <c r="A441" s="335">
        <v>45709</v>
      </c>
      <c r="B441" s="352">
        <f t="shared" si="211"/>
        <v>45.709000000000003</v>
      </c>
      <c r="C441" s="325">
        <f t="shared" si="186"/>
        <v>57.986753437207476</v>
      </c>
      <c r="D441" s="326">
        <f t="shared" si="187"/>
        <v>1.5535501539332011</v>
      </c>
      <c r="E441" s="326">
        <f t="shared" si="188"/>
        <v>1.0016482967257139</v>
      </c>
      <c r="F441" s="327">
        <f t="shared" si="189"/>
        <v>5.7376577751821145E-2</v>
      </c>
      <c r="G441" s="326">
        <f t="shared" si="190"/>
        <v>1</v>
      </c>
      <c r="H441" s="327">
        <f t="shared" si="191"/>
        <v>0</v>
      </c>
      <c r="I441" s="325">
        <f t="shared" si="192"/>
        <v>60667.994439754475</v>
      </c>
      <c r="J441" s="328">
        <f t="shared" si="193"/>
        <v>1.5707798436391689</v>
      </c>
      <c r="K441" s="336">
        <f t="shared" si="213"/>
        <v>11.794615625839469</v>
      </c>
      <c r="L441" s="337">
        <f t="shared" si="214"/>
        <v>1.485909969233647</v>
      </c>
      <c r="M441" s="325">
        <f t="shared" si="194"/>
        <v>1.0386594619711105</v>
      </c>
      <c r="N441" s="337">
        <f t="shared" si="195"/>
        <v>0.27369234668049186</v>
      </c>
      <c r="O441" s="343">
        <f t="shared" si="196"/>
        <v>1.0346738120384245</v>
      </c>
      <c r="P441" s="691">
        <f t="shared" si="197"/>
        <v>0.25961777237395928</v>
      </c>
      <c r="Q441" s="336">
        <f t="shared" si="212"/>
        <v>15.236767624148015</v>
      </c>
      <c r="R441" s="692">
        <f t="shared" si="198"/>
        <v>0.1233687545618784</v>
      </c>
      <c r="S441" s="329">
        <f t="shared" si="199"/>
        <v>0.99608754270142574</v>
      </c>
      <c r="T441" s="330">
        <f t="shared" si="200"/>
        <v>0.37269527319807705</v>
      </c>
      <c r="U441" s="331">
        <f t="shared" si="201"/>
        <v>-1.3673123098462294</v>
      </c>
      <c r="V441" s="332">
        <f t="shared" si="202"/>
        <v>-119.81590594745316</v>
      </c>
      <c r="W441" s="334">
        <f t="shared" si="203"/>
        <v>60.18409405254684</v>
      </c>
      <c r="Y441" s="307">
        <f t="shared" si="204"/>
        <v>45709</v>
      </c>
      <c r="Z441" s="307">
        <f t="shared" si="205"/>
        <v>2089312681</v>
      </c>
      <c r="AB441" s="333">
        <f t="shared" si="206"/>
        <v>23.15224384395027</v>
      </c>
      <c r="AC441" s="334">
        <f t="shared" si="207"/>
        <v>-20.544101984540379</v>
      </c>
      <c r="AE441" s="333">
        <f t="shared" si="208"/>
        <v>32.821631674876002</v>
      </c>
      <c r="AF441" s="334">
        <f t="shared" si="209"/>
        <v>-107.078297655268</v>
      </c>
      <c r="AH441">
        <f t="shared" si="210"/>
        <v>0</v>
      </c>
      <c r="AI441">
        <f t="shared" si="215"/>
        <v>0</v>
      </c>
    </row>
    <row r="442" spans="1:35" x14ac:dyDescent="0.2">
      <c r="A442" s="335">
        <v>45975.25</v>
      </c>
      <c r="B442" s="352">
        <f t="shared" si="211"/>
        <v>45.975250000000003</v>
      </c>
      <c r="C442" s="325">
        <f t="shared" si="186"/>
        <v>58.324419866752329</v>
      </c>
      <c r="D442" s="326">
        <f t="shared" si="187"/>
        <v>1.5536500096376791</v>
      </c>
      <c r="E442" s="326">
        <f t="shared" si="188"/>
        <v>1.0016675389226952</v>
      </c>
      <c r="F442" s="327">
        <f t="shared" si="189"/>
        <v>5.7710050717117704E-2</v>
      </c>
      <c r="G442" s="326">
        <f t="shared" si="190"/>
        <v>1</v>
      </c>
      <c r="H442" s="327">
        <f t="shared" si="191"/>
        <v>0</v>
      </c>
      <c r="I442" s="325">
        <f t="shared" si="192"/>
        <v>61021.378970486032</v>
      </c>
      <c r="J442" s="328">
        <f t="shared" si="193"/>
        <v>1.5707799390957506</v>
      </c>
      <c r="K442" s="336">
        <f t="shared" si="213"/>
        <v>11.862825550532248</v>
      </c>
      <c r="L442" s="337">
        <f t="shared" si="214"/>
        <v>1.4863992218879942</v>
      </c>
      <c r="M442" s="325">
        <f t="shared" si="194"/>
        <v>1.0391026475127334</v>
      </c>
      <c r="N442" s="337">
        <f t="shared" si="195"/>
        <v>0.27520750032836311</v>
      </c>
      <c r="O442" s="343">
        <f t="shared" si="196"/>
        <v>1.0350720661540325</v>
      </c>
      <c r="P442" s="691">
        <f t="shared" si="197"/>
        <v>0.26106242088745041</v>
      </c>
      <c r="Q442" s="336">
        <f t="shared" si="212"/>
        <v>15.238076834137443</v>
      </c>
      <c r="R442" s="692">
        <f t="shared" si="198"/>
        <v>0.12408034812798918</v>
      </c>
      <c r="S442" s="329">
        <f t="shared" si="199"/>
        <v>0.99607275132792994</v>
      </c>
      <c r="T442" s="330">
        <f t="shared" si="200"/>
        <v>0.37497947626741285</v>
      </c>
      <c r="U442" s="331">
        <f t="shared" si="201"/>
        <v>-1.4189187595109074</v>
      </c>
      <c r="V442" s="332">
        <f t="shared" si="202"/>
        <v>-119.95018017171442</v>
      </c>
      <c r="W442" s="334">
        <f t="shared" si="203"/>
        <v>60.049819828285578</v>
      </c>
      <c r="Y442" s="307">
        <f t="shared" si="204"/>
        <v>45975.25</v>
      </c>
      <c r="Z442" s="307">
        <f t="shared" si="205"/>
        <v>2113723612.5625</v>
      </c>
      <c r="AB442" s="333">
        <f t="shared" si="206"/>
        <v>23.148177898231236</v>
      </c>
      <c r="AC442" s="334">
        <f t="shared" si="207"/>
        <v>-20.602887250994019</v>
      </c>
      <c r="AE442" s="333">
        <f t="shared" si="208"/>
        <v>32.771494844443346</v>
      </c>
      <c r="AF442" s="334">
        <f t="shared" si="209"/>
        <v>-107.19578756775971</v>
      </c>
      <c r="AH442">
        <f t="shared" si="210"/>
        <v>0</v>
      </c>
      <c r="AI442">
        <f t="shared" si="215"/>
        <v>0</v>
      </c>
    </row>
    <row r="443" spans="1:35" x14ac:dyDescent="0.2">
      <c r="A443" s="335">
        <v>46241.5</v>
      </c>
      <c r="B443" s="352">
        <f t="shared" si="211"/>
        <v>46.241500000000002</v>
      </c>
      <c r="C443" s="325">
        <f t="shared" si="186"/>
        <v>58.662086871164313</v>
      </c>
      <c r="D443" s="326">
        <f t="shared" si="187"/>
        <v>1.5537487157769163</v>
      </c>
      <c r="E443" s="326">
        <f t="shared" si="188"/>
        <v>1.0016868925050457</v>
      </c>
      <c r="F443" s="327">
        <f t="shared" si="189"/>
        <v>5.804351083343965E-2</v>
      </c>
      <c r="G443" s="326">
        <f t="shared" si="190"/>
        <v>1</v>
      </c>
      <c r="H443" s="327">
        <f t="shared" si="191"/>
        <v>0</v>
      </c>
      <c r="I443" s="325">
        <f t="shared" si="192"/>
        <v>61374.763501218134</v>
      </c>
      <c r="J443" s="328">
        <f t="shared" si="193"/>
        <v>1.5707800334530897</v>
      </c>
      <c r="K443" s="336">
        <f t="shared" si="213"/>
        <v>11.931038282339479</v>
      </c>
      <c r="L443" s="337">
        <f t="shared" si="214"/>
        <v>1.4868828802972756</v>
      </c>
      <c r="M443" s="325">
        <f t="shared" si="194"/>
        <v>1.0395482164753582</v>
      </c>
      <c r="N443" s="337">
        <f t="shared" si="195"/>
        <v>0.27672135860519059</v>
      </c>
      <c r="O443" s="343">
        <f t="shared" si="196"/>
        <v>1.0354724788103911</v>
      </c>
      <c r="P443" s="691">
        <f t="shared" si="197"/>
        <v>0.26250595513321323</v>
      </c>
      <c r="Q443" s="336">
        <f t="shared" si="212"/>
        <v>15.239393534632896</v>
      </c>
      <c r="R443" s="692">
        <f t="shared" si="198"/>
        <v>0.12479182091394883</v>
      </c>
      <c r="S443" s="329">
        <f t="shared" si="199"/>
        <v>0.99605859636629202</v>
      </c>
      <c r="T443" s="330">
        <f t="shared" si="200"/>
        <v>0.37726554960482828</v>
      </c>
      <c r="U443" s="331">
        <f t="shared" si="201"/>
        <v>-1.4702382811133352</v>
      </c>
      <c r="V443" s="332">
        <f t="shared" si="202"/>
        <v>-120.08479959240039</v>
      </c>
      <c r="W443" s="334">
        <f t="shared" si="203"/>
        <v>59.915200407599613</v>
      </c>
      <c r="Y443" s="307">
        <f t="shared" si="204"/>
        <v>46241.5</v>
      </c>
      <c r="Z443" s="307">
        <f t="shared" si="205"/>
        <v>2138276322.25</v>
      </c>
      <c r="AB443" s="333">
        <f t="shared" si="206"/>
        <v>23.144099798887957</v>
      </c>
      <c r="AC443" s="334">
        <f t="shared" si="207"/>
        <v>-20.661918761804099</v>
      </c>
      <c r="AE443" s="333">
        <f t="shared" si="208"/>
        <v>32.721644480171278</v>
      </c>
      <c r="AF443" s="334">
        <f t="shared" si="209"/>
        <v>-107.31331950967444</v>
      </c>
      <c r="AH443">
        <f t="shared" si="210"/>
        <v>0</v>
      </c>
      <c r="AI443">
        <f t="shared" si="215"/>
        <v>0</v>
      </c>
    </row>
    <row r="444" spans="1:35" x14ac:dyDescent="0.2">
      <c r="A444" s="335">
        <v>46507.75</v>
      </c>
      <c r="B444" s="352">
        <f t="shared" si="211"/>
        <v>46.507750000000001</v>
      </c>
      <c r="C444" s="325">
        <f t="shared" si="186"/>
        <v>58.999754440573192</v>
      </c>
      <c r="D444" s="326">
        <f t="shared" si="187"/>
        <v>1.5538462920865581</v>
      </c>
      <c r="E444" s="326">
        <f t="shared" si="188"/>
        <v>1.0017063574663094</v>
      </c>
      <c r="F444" s="327">
        <f t="shared" si="189"/>
        <v>5.8376958027375241E-2</v>
      </c>
      <c r="G444" s="326">
        <f t="shared" si="190"/>
        <v>1</v>
      </c>
      <c r="H444" s="327">
        <f t="shared" si="191"/>
        <v>0</v>
      </c>
      <c r="I444" s="325">
        <f t="shared" si="192"/>
        <v>61728.148031950783</v>
      </c>
      <c r="J444" s="328">
        <f t="shared" si="193"/>
        <v>1.5707801267300652</v>
      </c>
      <c r="K444" s="336">
        <f t="shared" si="213"/>
        <v>11.999253773387951</v>
      </c>
      <c r="L444" s="337">
        <f t="shared" si="214"/>
        <v>1.4873610396427357</v>
      </c>
      <c r="M444" s="325">
        <f t="shared" si="194"/>
        <v>1.0399961657955739</v>
      </c>
      <c r="N444" s="337">
        <f t="shared" si="195"/>
        <v>0.27823391624156907</v>
      </c>
      <c r="O444" s="343">
        <f t="shared" si="196"/>
        <v>1.035875047504379</v>
      </c>
      <c r="P444" s="691">
        <f t="shared" si="197"/>
        <v>0.26394837039084623</v>
      </c>
      <c r="Q444" s="336">
        <f t="shared" si="212"/>
        <v>15.240717723694718</v>
      </c>
      <c r="R444" s="692">
        <f t="shared" si="198"/>
        <v>0.12550317226226917</v>
      </c>
      <c r="S444" s="329">
        <f t="shared" si="199"/>
        <v>0.99604509039686684</v>
      </c>
      <c r="T444" s="330">
        <f t="shared" si="200"/>
        <v>0.37955350081236566</v>
      </c>
      <c r="U444" s="331">
        <f t="shared" si="201"/>
        <v>-1.5212744531121694</v>
      </c>
      <c r="V444" s="332">
        <f t="shared" si="202"/>
        <v>-120.21976025852257</v>
      </c>
      <c r="W444" s="334">
        <f t="shared" si="203"/>
        <v>59.78023974147743</v>
      </c>
      <c r="Y444" s="307">
        <f t="shared" si="204"/>
        <v>46507.75</v>
      </c>
      <c r="Z444" s="307">
        <f t="shared" si="205"/>
        <v>2162970810.0625</v>
      </c>
      <c r="AB444" s="333">
        <f t="shared" si="206"/>
        <v>23.140009455442577</v>
      </c>
      <c r="AC444" s="334">
        <f t="shared" si="207"/>
        <v>-20.721190762654008</v>
      </c>
      <c r="AE444" s="333">
        <f t="shared" si="208"/>
        <v>32.672077132875124</v>
      </c>
      <c r="AF444" s="334">
        <f t="shared" si="209"/>
        <v>-107.4308950515525</v>
      </c>
      <c r="AH444">
        <f t="shared" si="210"/>
        <v>0</v>
      </c>
      <c r="AI444">
        <f t="shared" si="215"/>
        <v>0</v>
      </c>
    </row>
    <row r="445" spans="1:35" x14ac:dyDescent="0.2">
      <c r="A445" s="335">
        <v>46774</v>
      </c>
      <c r="B445" s="352">
        <f t="shared" si="211"/>
        <v>46.774000000000001</v>
      </c>
      <c r="C445" s="325">
        <f t="shared" si="186"/>
        <v>59.337422565333405</v>
      </c>
      <c r="D445" s="326">
        <f t="shared" si="187"/>
        <v>1.5539427578531031</v>
      </c>
      <c r="E445" s="326">
        <f t="shared" si="188"/>
        <v>1.0017259337999933</v>
      </c>
      <c r="F445" s="327">
        <f t="shared" si="189"/>
        <v>5.871039222552997E-2</v>
      </c>
      <c r="G445" s="326">
        <f t="shared" si="190"/>
        <v>1</v>
      </c>
      <c r="H445" s="327">
        <f t="shared" si="191"/>
        <v>0</v>
      </c>
      <c r="I445" s="325">
        <f t="shared" si="192"/>
        <v>62081.532562683962</v>
      </c>
      <c r="J445" s="328">
        <f t="shared" si="193"/>
        <v>1.5707802189451261</v>
      </c>
      <c r="K445" s="336">
        <f t="shared" si="213"/>
        <v>12.067471976885013</v>
      </c>
      <c r="L445" s="337">
        <f t="shared" si="214"/>
        <v>1.4878337929635459</v>
      </c>
      <c r="M445" s="325">
        <f t="shared" si="194"/>
        <v>1.0404464923988941</v>
      </c>
      <c r="N445" s="337">
        <f t="shared" si="195"/>
        <v>0.27974516800094917</v>
      </c>
      <c r="O445" s="343">
        <f t="shared" si="196"/>
        <v>1.0362797697232966</v>
      </c>
      <c r="P445" s="691">
        <f t="shared" si="197"/>
        <v>0.2653896619658882</v>
      </c>
      <c r="Q445" s="336">
        <f t="shared" si="212"/>
        <v>15.242049399372899</v>
      </c>
      <c r="R445" s="692">
        <f t="shared" si="198"/>
        <v>0.12621440151616717</v>
      </c>
      <c r="S445" s="329">
        <f t="shared" si="199"/>
        <v>0.99603224607192831</v>
      </c>
      <c r="T445" s="330">
        <f t="shared" si="200"/>
        <v>0.38184333742754262</v>
      </c>
      <c r="U445" s="331">
        <f t="shared" si="201"/>
        <v>-1.572030793490315</v>
      </c>
      <c r="V445" s="332">
        <f t="shared" si="202"/>
        <v>-120.35505831280398</v>
      </c>
      <c r="W445" s="334">
        <f t="shared" si="203"/>
        <v>59.644941687196024</v>
      </c>
      <c r="Y445" s="307">
        <f t="shared" si="204"/>
        <v>46774</v>
      </c>
      <c r="Z445" s="307">
        <f t="shared" si="205"/>
        <v>2187807076</v>
      </c>
      <c r="AB445" s="333">
        <f t="shared" si="206"/>
        <v>23.135906781514546</v>
      </c>
      <c r="AC445" s="334">
        <f t="shared" si="207"/>
        <v>-20.780697623816792</v>
      </c>
      <c r="AE445" s="333">
        <f t="shared" si="208"/>
        <v>32.622789409866421</v>
      </c>
      <c r="AF445" s="334">
        <f t="shared" si="209"/>
        <v>-107.548515734502</v>
      </c>
      <c r="AH445">
        <f t="shared" si="210"/>
        <v>0</v>
      </c>
      <c r="AI445">
        <f t="shared" si="215"/>
        <v>0</v>
      </c>
    </row>
    <row r="446" spans="1:35" x14ac:dyDescent="0.2">
      <c r="A446" s="335">
        <v>47046.25</v>
      </c>
      <c r="B446" s="352">
        <f t="shared" si="211"/>
        <v>47.046250000000001</v>
      </c>
      <c r="C446" s="325">
        <f t="shared" si="186"/>
        <v>59.682700677067885</v>
      </c>
      <c r="D446" s="326">
        <f t="shared" si="187"/>
        <v>1.5540402687674513</v>
      </c>
      <c r="E446" s="326">
        <f t="shared" si="188"/>
        <v>1.0017460664490911</v>
      </c>
      <c r="F446" s="327">
        <f t="shared" si="189"/>
        <v>5.9051326918963122E-2</v>
      </c>
      <c r="G446" s="326">
        <f t="shared" si="190"/>
        <v>1</v>
      </c>
      <c r="H446" s="327">
        <f t="shared" si="191"/>
        <v>0</v>
      </c>
      <c r="I446" s="325">
        <f t="shared" si="192"/>
        <v>62442.880688476449</v>
      </c>
      <c r="J446" s="328">
        <f t="shared" si="193"/>
        <v>1.5707803121589763</v>
      </c>
      <c r="K446" s="336">
        <f t="shared" si="213"/>
        <v>12.137230249186448</v>
      </c>
      <c r="L446" s="337">
        <f t="shared" si="214"/>
        <v>1.4883117044932617</v>
      </c>
      <c r="M446" s="325">
        <f t="shared" si="194"/>
        <v>1.0409094222383843</v>
      </c>
      <c r="N446" s="337">
        <f t="shared" si="195"/>
        <v>0.28128912036600273</v>
      </c>
      <c r="O446" s="343">
        <f t="shared" si="196"/>
        <v>1.0366958366821273</v>
      </c>
      <c r="P446" s="691">
        <f t="shared" si="197"/>
        <v>0.26686226653594181</v>
      </c>
      <c r="Q446" s="336">
        <f t="shared" si="212"/>
        <v>15.243418824187492</v>
      </c>
      <c r="R446" s="692">
        <f t="shared" si="198"/>
        <v>0.12694153153549134</v>
      </c>
      <c r="S446" s="329">
        <f t="shared" si="199"/>
        <v>0.9960198097320635</v>
      </c>
      <c r="T446" s="330">
        <f t="shared" si="200"/>
        <v>0.38418673339762416</v>
      </c>
      <c r="U446" s="331">
        <f t="shared" si="201"/>
        <v>-1.6236451802116765</v>
      </c>
      <c r="V446" s="332">
        <f t="shared" si="202"/>
        <v>-120.49375029252381</v>
      </c>
      <c r="W446" s="334">
        <f t="shared" si="203"/>
        <v>59.506249707476186</v>
      </c>
      <c r="Y446" s="307">
        <f t="shared" si="204"/>
        <v>47046.25</v>
      </c>
      <c r="Z446" s="307">
        <f t="shared" si="205"/>
        <v>2213349639.0625</v>
      </c>
      <c r="AB446" s="333">
        <f t="shared" si="206"/>
        <v>23.131698816701686</v>
      </c>
      <c r="AC446" s="334">
        <f t="shared" si="207"/>
        <v>-20.841782605300256</v>
      </c>
      <c r="AE446" s="333">
        <f t="shared" si="208"/>
        <v>32.572676648228679</v>
      </c>
      <c r="AF446" s="334">
        <f t="shared" si="209"/>
        <v>-107.66883527827841</v>
      </c>
      <c r="AH446">
        <f t="shared" si="210"/>
        <v>0</v>
      </c>
      <c r="AI446">
        <f t="shared" si="215"/>
        <v>0</v>
      </c>
    </row>
    <row r="447" spans="1:35" x14ac:dyDescent="0.2">
      <c r="A447" s="335">
        <v>47318.5</v>
      </c>
      <c r="B447" s="352">
        <f t="shared" si="211"/>
        <v>47.3185</v>
      </c>
      <c r="C447" s="325">
        <f t="shared" si="186"/>
        <v>60.027979349759768</v>
      </c>
      <c r="D447" s="326">
        <f t="shared" si="187"/>
        <v>1.5541366579245053</v>
      </c>
      <c r="E447" s="326">
        <f t="shared" si="188"/>
        <v>1.0017663155329228</v>
      </c>
      <c r="F447" s="327">
        <f t="shared" si="189"/>
        <v>5.9392247869136931E-2</v>
      </c>
      <c r="G447" s="326">
        <f t="shared" si="190"/>
        <v>1</v>
      </c>
      <c r="H447" s="327">
        <f t="shared" si="191"/>
        <v>0</v>
      </c>
      <c r="I447" s="325">
        <f t="shared" si="192"/>
        <v>62804.228814269482</v>
      </c>
      <c r="J447" s="328">
        <f t="shared" si="193"/>
        <v>1.5707804043002029</v>
      </c>
      <c r="K447" s="336">
        <f t="shared" si="213"/>
        <v>12.206991261940594</v>
      </c>
      <c r="L447" s="337">
        <f t="shared" si="214"/>
        <v>1.4887841537531596</v>
      </c>
      <c r="M447" s="325">
        <f t="shared" si="194"/>
        <v>1.0413748311766906</v>
      </c>
      <c r="N447" s="337">
        <f t="shared" si="195"/>
        <v>0.28283169636594169</v>
      </c>
      <c r="O447" s="343">
        <f t="shared" si="196"/>
        <v>1.0371141499758056</v>
      </c>
      <c r="P447" s="691">
        <f t="shared" si="197"/>
        <v>0.26833368636364074</v>
      </c>
      <c r="Q447" s="336">
        <f t="shared" si="212"/>
        <v>15.244796072688578</v>
      </c>
      <c r="R447" s="692">
        <f t="shared" si="198"/>
        <v>0.12766853250890103</v>
      </c>
      <c r="S447" s="329">
        <f t="shared" si="199"/>
        <v>0.99600809217908248</v>
      </c>
      <c r="T447" s="330">
        <f t="shared" si="200"/>
        <v>0.38653211643966168</v>
      </c>
      <c r="U447" s="331">
        <f t="shared" si="201"/>
        <v>-1.6749742331900885</v>
      </c>
      <c r="V447" s="332">
        <f t="shared" si="202"/>
        <v>-120.63278716914157</v>
      </c>
      <c r="W447" s="334">
        <f t="shared" si="203"/>
        <v>59.367212830858435</v>
      </c>
      <c r="Y447" s="307">
        <f t="shared" si="204"/>
        <v>47318.5</v>
      </c>
      <c r="Z447" s="307">
        <f t="shared" si="205"/>
        <v>2239040442.25</v>
      </c>
      <c r="AB447" s="333">
        <f t="shared" si="206"/>
        <v>23.127477789271019</v>
      </c>
      <c r="AC447" s="334">
        <f t="shared" si="207"/>
        <v>-20.90310163042216</v>
      </c>
      <c r="AE447" s="333">
        <f t="shared" si="208"/>
        <v>32.522849256346603</v>
      </c>
      <c r="AF447" s="334">
        <f t="shared" si="209"/>
        <v>-107.78920518836374</v>
      </c>
      <c r="AH447">
        <f t="shared" si="210"/>
        <v>0</v>
      </c>
      <c r="AI447">
        <f t="shared" si="215"/>
        <v>0</v>
      </c>
    </row>
    <row r="448" spans="1:35" x14ac:dyDescent="0.2">
      <c r="A448" s="335">
        <v>47590.75</v>
      </c>
      <c r="B448" s="352">
        <f t="shared" si="211"/>
        <v>47.59075</v>
      </c>
      <c r="C448" s="325">
        <f t="shared" si="186"/>
        <v>60.373258573784597</v>
      </c>
      <c r="D448" s="326">
        <f t="shared" si="187"/>
        <v>1.5542319445687032</v>
      </c>
      <c r="E448" s="326">
        <f t="shared" si="188"/>
        <v>1.0017866810444276</v>
      </c>
      <c r="F448" s="327">
        <f t="shared" si="189"/>
        <v>5.9733154997638697E-2</v>
      </c>
      <c r="G448" s="326">
        <f t="shared" si="190"/>
        <v>1</v>
      </c>
      <c r="H448" s="327">
        <f t="shared" si="191"/>
        <v>0</v>
      </c>
      <c r="I448" s="325">
        <f t="shared" si="192"/>
        <v>63165.576940063038</v>
      </c>
      <c r="J448" s="328">
        <f t="shared" si="193"/>
        <v>1.570780495387214</v>
      </c>
      <c r="K448" s="336">
        <f t="shared" si="213"/>
        <v>12.276754968430692</v>
      </c>
      <c r="L448" s="337">
        <f t="shared" si="214"/>
        <v>1.4892512336499537</v>
      </c>
      <c r="M448" s="325">
        <f t="shared" si="194"/>
        <v>1.0418427158914458</v>
      </c>
      <c r="N448" s="337">
        <f t="shared" si="195"/>
        <v>0.28437289050899517</v>
      </c>
      <c r="O448" s="343">
        <f t="shared" si="196"/>
        <v>1.0375347068872993</v>
      </c>
      <c r="P448" s="691">
        <f t="shared" si="197"/>
        <v>0.26980391651437341</v>
      </c>
      <c r="Q448" s="336">
        <f t="shared" si="212"/>
        <v>15.246181142757827</v>
      </c>
      <c r="R448" s="692">
        <f t="shared" si="198"/>
        <v>0.1283954037365119</v>
      </c>
      <c r="S448" s="329">
        <f t="shared" si="199"/>
        <v>0.99599710717279344</v>
      </c>
      <c r="T448" s="330">
        <f t="shared" si="200"/>
        <v>0.38887949439915476</v>
      </c>
      <c r="U448" s="331">
        <f t="shared" si="201"/>
        <v>-1.7260215266469454</v>
      </c>
      <c r="V448" s="332">
        <f t="shared" si="202"/>
        <v>-120.77216510515782</v>
      </c>
      <c r="W448" s="334">
        <f t="shared" si="203"/>
        <v>59.227834894842175</v>
      </c>
      <c r="Y448" s="307">
        <f t="shared" si="204"/>
        <v>47590.75</v>
      </c>
      <c r="Z448" s="307">
        <f t="shared" si="205"/>
        <v>2264879485.5625</v>
      </c>
      <c r="AB448" s="333">
        <f t="shared" si="206"/>
        <v>23.123243619299508</v>
      </c>
      <c r="AC448" s="334">
        <f t="shared" si="207"/>
        <v>-20.96464906241934</v>
      </c>
      <c r="AE448" s="333">
        <f t="shared" si="208"/>
        <v>32.473303781898714</v>
      </c>
      <c r="AF448" s="334">
        <f t="shared" si="209"/>
        <v>-107.90962702138974</v>
      </c>
      <c r="AH448">
        <f t="shared" si="210"/>
        <v>0</v>
      </c>
      <c r="AI448">
        <f t="shared" si="215"/>
        <v>0</v>
      </c>
    </row>
    <row r="449" spans="1:35" x14ac:dyDescent="0.2">
      <c r="A449" s="335">
        <v>47863</v>
      </c>
      <c r="B449" s="352">
        <f t="shared" si="211"/>
        <v>47.863</v>
      </c>
      <c r="C449" s="325">
        <f t="shared" si="186"/>
        <v>60.718538339736803</v>
      </c>
      <c r="D449" s="326">
        <f t="shared" si="187"/>
        <v>1.5543261475068242</v>
      </c>
      <c r="E449" s="326">
        <f t="shared" si="188"/>
        <v>1.0018071629765051</v>
      </c>
      <c r="F449" s="327">
        <f t="shared" si="189"/>
        <v>6.0074048226074907E-2</v>
      </c>
      <c r="G449" s="326">
        <f t="shared" si="190"/>
        <v>1</v>
      </c>
      <c r="H449" s="327">
        <f t="shared" si="191"/>
        <v>0</v>
      </c>
      <c r="I449" s="325">
        <f t="shared" si="192"/>
        <v>63526.925065857111</v>
      </c>
      <c r="J449" s="328">
        <f t="shared" si="193"/>
        <v>1.5707805854379995</v>
      </c>
      <c r="K449" s="336">
        <f t="shared" si="213"/>
        <v>12.346521322994077</v>
      </c>
      <c r="L449" s="337">
        <f t="shared" si="214"/>
        <v>1.4897130349999026</v>
      </c>
      <c r="M449" s="325">
        <f t="shared" si="194"/>
        <v>1.0423130730485901</v>
      </c>
      <c r="N449" s="337">
        <f t="shared" si="195"/>
        <v>0.28591269733948543</v>
      </c>
      <c r="O449" s="343">
        <f t="shared" si="196"/>
        <v>1.0379575046894187</v>
      </c>
      <c r="P449" s="691">
        <f t="shared" si="197"/>
        <v>0.27127295208207691</v>
      </c>
      <c r="Q449" s="336">
        <f t="shared" si="212"/>
        <v>15.247574032265652</v>
      </c>
      <c r="R449" s="692">
        <f t="shared" si="198"/>
        <v>0.12912214451922538</v>
      </c>
      <c r="S449" s="329">
        <f t="shared" si="199"/>
        <v>0.9959868685512665</v>
      </c>
      <c r="T449" s="330">
        <f t="shared" si="200"/>
        <v>0.39122887504843507</v>
      </c>
      <c r="U449" s="331">
        <f t="shared" si="201"/>
        <v>-1.7767905747254606</v>
      </c>
      <c r="V449" s="332">
        <f t="shared" si="202"/>
        <v>-120.91188035403145</v>
      </c>
      <c r="W449" s="334">
        <f t="shared" si="203"/>
        <v>59.088119645968547</v>
      </c>
      <c r="Y449" s="307">
        <f t="shared" si="204"/>
        <v>47863</v>
      </c>
      <c r="Z449" s="307">
        <f t="shared" si="205"/>
        <v>2290866769</v>
      </c>
      <c r="AB449" s="333">
        <f t="shared" si="206"/>
        <v>23.118996230781107</v>
      </c>
      <c r="AC449" s="334">
        <f t="shared" si="207"/>
        <v>-21.026419386346859</v>
      </c>
      <c r="AE449" s="333">
        <f t="shared" si="208"/>
        <v>32.424036828846987</v>
      </c>
      <c r="AF449" s="334">
        <f t="shared" si="209"/>
        <v>-108.03010230471895</v>
      </c>
      <c r="AH449">
        <f t="shared" si="210"/>
        <v>0</v>
      </c>
      <c r="AI449">
        <f t="shared" si="215"/>
        <v>0</v>
      </c>
    </row>
    <row r="450" spans="1:35" x14ac:dyDescent="0.2">
      <c r="A450" s="335">
        <v>48141.75</v>
      </c>
      <c r="B450" s="352">
        <f t="shared" si="211"/>
        <v>48.141750000000002</v>
      </c>
      <c r="C450" s="325">
        <f t="shared" si="186"/>
        <v>61.072062251624324</v>
      </c>
      <c r="D450" s="326">
        <f t="shared" si="187"/>
        <v>1.5544214959195488</v>
      </c>
      <c r="E450" s="326">
        <f t="shared" si="188"/>
        <v>1.0018282545326902</v>
      </c>
      <c r="F450" s="327">
        <f t="shared" si="189"/>
        <v>6.0423065835794036E-2</v>
      </c>
      <c r="G450" s="326">
        <f t="shared" si="190"/>
        <v>1</v>
      </c>
      <c r="H450" s="327">
        <f t="shared" si="191"/>
        <v>0</v>
      </c>
      <c r="I450" s="325">
        <f t="shared" si="192"/>
        <v>63896.900419632097</v>
      </c>
      <c r="J450" s="328">
        <f t="shared" si="193"/>
        <v>1.5707806765834862</v>
      </c>
      <c r="K450" s="336">
        <f t="shared" si="213"/>
        <v>12.417956054332107</v>
      </c>
      <c r="L450" s="337">
        <f t="shared" si="214"/>
        <v>1.4901804855286789</v>
      </c>
      <c r="M450" s="325">
        <f t="shared" si="194"/>
        <v>1.0427972182346057</v>
      </c>
      <c r="N450" s="337">
        <f t="shared" si="195"/>
        <v>0.28748782418382585</v>
      </c>
      <c r="O450" s="343">
        <f t="shared" si="196"/>
        <v>1.0383927157604695</v>
      </c>
      <c r="P450" s="691">
        <f t="shared" si="197"/>
        <v>0.27277581824429858</v>
      </c>
      <c r="Q450" s="336">
        <f t="shared" si="212"/>
        <v>15.249008276636708</v>
      </c>
      <c r="R450" s="692">
        <f t="shared" si="198"/>
        <v>0.12986610043861946</v>
      </c>
      <c r="S450" s="329">
        <f t="shared" si="199"/>
        <v>0.99597717334281</v>
      </c>
      <c r="T450" s="330">
        <f t="shared" si="200"/>
        <v>0.39363643045204233</v>
      </c>
      <c r="U450" s="331">
        <f t="shared" si="201"/>
        <v>-1.82848705861237</v>
      </c>
      <c r="V450" s="332">
        <f t="shared" si="202"/>
        <v>-121.05527698964254</v>
      </c>
      <c r="W450" s="334">
        <f t="shared" si="203"/>
        <v>58.944723010357464</v>
      </c>
      <c r="Y450" s="307">
        <f t="shared" si="204"/>
        <v>48141.75</v>
      </c>
      <c r="Z450" s="307">
        <f t="shared" si="205"/>
        <v>2317628093.0625</v>
      </c>
      <c r="AB450" s="333">
        <f t="shared" si="206"/>
        <v>23.11463366427126</v>
      </c>
      <c r="AC450" s="334">
        <f t="shared" si="207"/>
        <v>-21.089889786619526</v>
      </c>
      <c r="AE450" s="333">
        <f t="shared" si="208"/>
        <v>32.373878708149327</v>
      </c>
      <c r="AF450" s="334">
        <f t="shared" si="209"/>
        <v>-108.15351089405033</v>
      </c>
      <c r="AH450">
        <f t="shared" si="210"/>
        <v>0</v>
      </c>
      <c r="AI450">
        <f t="shared" si="215"/>
        <v>0</v>
      </c>
    </row>
    <row r="451" spans="1:35" x14ac:dyDescent="0.2">
      <c r="A451" s="335">
        <v>48420.5</v>
      </c>
      <c r="B451" s="352">
        <f t="shared" si="211"/>
        <v>48.420499999999997</v>
      </c>
      <c r="C451" s="325">
        <f t="shared" si="186"/>
        <v>61.42558671234648</v>
      </c>
      <c r="D451" s="326">
        <f t="shared" si="187"/>
        <v>1.554515746810152</v>
      </c>
      <c r="E451" s="326">
        <f t="shared" si="188"/>
        <v>1.0018494681197256</v>
      </c>
      <c r="F451" s="327">
        <f t="shared" si="189"/>
        <v>6.0772068707530026E-2</v>
      </c>
      <c r="G451" s="326">
        <f t="shared" si="190"/>
        <v>1</v>
      </c>
      <c r="H451" s="327">
        <f t="shared" si="191"/>
        <v>0</v>
      </c>
      <c r="I451" s="325">
        <f t="shared" si="192"/>
        <v>64266.875773407621</v>
      </c>
      <c r="J451" s="328">
        <f t="shared" si="193"/>
        <v>1.5707807666795495</v>
      </c>
      <c r="K451" s="336">
        <f t="shared" si="213"/>
        <v>12.489393468077493</v>
      </c>
      <c r="L451" s="337">
        <f t="shared" si="214"/>
        <v>1.4906425886669097</v>
      </c>
      <c r="M451" s="325">
        <f t="shared" si="194"/>
        <v>1.0432839482211738</v>
      </c>
      <c r="N451" s="337">
        <f t="shared" si="195"/>
        <v>0.2890614852212664</v>
      </c>
      <c r="O451" s="343">
        <f t="shared" si="196"/>
        <v>1.0388302701840653</v>
      </c>
      <c r="P451" s="691">
        <f t="shared" si="197"/>
        <v>0.27427742178378645</v>
      </c>
      <c r="Q451" s="336">
        <f t="shared" si="212"/>
        <v>15.250450713729196</v>
      </c>
      <c r="R451" s="692">
        <f t="shared" si="198"/>
        <v>0.13060991812927084</v>
      </c>
      <c r="S451" s="329">
        <f t="shared" si="199"/>
        <v>0.99596829019537481</v>
      </c>
      <c r="T451" s="330">
        <f t="shared" si="200"/>
        <v>0.39604610156830838</v>
      </c>
      <c r="U451" s="331">
        <f t="shared" si="201"/>
        <v>-1.8798991211742033</v>
      </c>
      <c r="V451" s="332">
        <f t="shared" si="202"/>
        <v>-121.19901956896221</v>
      </c>
      <c r="W451" s="334">
        <f t="shared" si="203"/>
        <v>58.800980431037786</v>
      </c>
      <c r="Y451" s="307">
        <f t="shared" si="204"/>
        <v>48420.5</v>
      </c>
      <c r="Z451" s="307">
        <f t="shared" si="205"/>
        <v>2344544820.25</v>
      </c>
      <c r="AB451" s="333">
        <f t="shared" si="206"/>
        <v>23.110257091262604</v>
      </c>
      <c r="AC451" s="334">
        <f t="shared" si="207"/>
        <v>-21.153582525125618</v>
      </c>
      <c r="AE451" s="333">
        <f t="shared" si="208"/>
        <v>32.324005537066206</v>
      </c>
      <c r="AF451" s="334">
        <f t="shared" si="209"/>
        <v>-108.27697866582653</v>
      </c>
      <c r="AH451">
        <f t="shared" si="210"/>
        <v>0</v>
      </c>
      <c r="AI451">
        <f t="shared" si="215"/>
        <v>0</v>
      </c>
    </row>
    <row r="452" spans="1:35" x14ac:dyDescent="0.2">
      <c r="A452" s="335">
        <v>48699.25</v>
      </c>
      <c r="B452" s="352">
        <f t="shared" si="211"/>
        <v>48.699249999999999</v>
      </c>
      <c r="C452" s="325">
        <f t="shared" si="186"/>
        <v>61.779111712481331</v>
      </c>
      <c r="D452" s="326">
        <f t="shared" si="187"/>
        <v>1.5546089190183376</v>
      </c>
      <c r="E452" s="326">
        <f t="shared" si="188"/>
        <v>1.0018708037298603</v>
      </c>
      <c r="F452" s="327">
        <f t="shared" si="189"/>
        <v>6.1121056757202585E-2</v>
      </c>
      <c r="G452" s="326">
        <f t="shared" si="190"/>
        <v>1</v>
      </c>
      <c r="H452" s="327">
        <f t="shared" si="191"/>
        <v>0</v>
      </c>
      <c r="I452" s="325">
        <f t="shared" si="192"/>
        <v>64636.851127183654</v>
      </c>
      <c r="J452" s="328">
        <f t="shared" si="193"/>
        <v>1.5707808557442096</v>
      </c>
      <c r="K452" s="336">
        <f t="shared" si="213"/>
        <v>12.560833518463143</v>
      </c>
      <c r="L452" s="337">
        <f t="shared" si="214"/>
        <v>1.4910994354557845</v>
      </c>
      <c r="M452" s="325">
        <f t="shared" si="194"/>
        <v>1.0437732593922786</v>
      </c>
      <c r="N452" s="337">
        <f t="shared" si="195"/>
        <v>0.29063367471381635</v>
      </c>
      <c r="O452" s="343">
        <f t="shared" si="196"/>
        <v>1.0392701650004048</v>
      </c>
      <c r="P452" s="691">
        <f t="shared" si="197"/>
        <v>0.27577775752793304</v>
      </c>
      <c r="Q452" s="336">
        <f t="shared" si="212"/>
        <v>15.251901341220735</v>
      </c>
      <c r="R452" s="692">
        <f t="shared" si="198"/>
        <v>0.13135359684338851</v>
      </c>
      <c r="S452" s="329">
        <f t="shared" si="199"/>
        <v>0.99596023421639324</v>
      </c>
      <c r="T452" s="330">
        <f t="shared" si="200"/>
        <v>0.39845789649681213</v>
      </c>
      <c r="U452" s="331">
        <f t="shared" si="201"/>
        <v>-1.9310303476850676</v>
      </c>
      <c r="V452" s="332">
        <f t="shared" si="202"/>
        <v>-121.3431043498322</v>
      </c>
      <c r="W452" s="334">
        <f t="shared" si="203"/>
        <v>58.656895650167797</v>
      </c>
      <c r="Y452" s="307">
        <f t="shared" si="204"/>
        <v>48699.25</v>
      </c>
      <c r="Z452" s="307">
        <f t="shared" si="205"/>
        <v>2371616950.5625</v>
      </c>
      <c r="AB452" s="333">
        <f t="shared" si="206"/>
        <v>23.105866442111783</v>
      </c>
      <c r="AC452" s="334">
        <f t="shared" si="207"/>
        <v>-21.217492057859072</v>
      </c>
      <c r="AE452" s="333">
        <f t="shared" si="208"/>
        <v>32.274413845541424</v>
      </c>
      <c r="AF452" s="334">
        <f t="shared" si="209"/>
        <v>-108.40050716837222</v>
      </c>
      <c r="AH452">
        <f t="shared" si="210"/>
        <v>0</v>
      </c>
      <c r="AI452">
        <f t="shared" si="215"/>
        <v>0</v>
      </c>
    </row>
    <row r="453" spans="1:35" x14ac:dyDescent="0.2">
      <c r="A453" s="335">
        <v>48978</v>
      </c>
      <c r="B453" s="352">
        <f t="shared" si="211"/>
        <v>48.978000000000002</v>
      </c>
      <c r="C453" s="325">
        <f t="shared" si="186"/>
        <v>62.13263724282136</v>
      </c>
      <c r="D453" s="326">
        <f t="shared" si="187"/>
        <v>1.5547010309551048</v>
      </c>
      <c r="E453" s="326">
        <f t="shared" si="188"/>
        <v>1.0018922613552983</v>
      </c>
      <c r="F453" s="327">
        <f t="shared" si="189"/>
        <v>6.1470029900752995E-2</v>
      </c>
      <c r="G453" s="326">
        <f t="shared" si="190"/>
        <v>1</v>
      </c>
      <c r="H453" s="327">
        <f t="shared" si="191"/>
        <v>0</v>
      </c>
      <c r="I453" s="325">
        <f t="shared" si="192"/>
        <v>65006.826480960197</v>
      </c>
      <c r="J453" s="328">
        <f t="shared" si="193"/>
        <v>1.5707809437950768</v>
      </c>
      <c r="K453" s="336">
        <f t="shared" si="213"/>
        <v>12.632276160755625</v>
      </c>
      <c r="L453" s="337">
        <f t="shared" si="214"/>
        <v>1.4915511148858263</v>
      </c>
      <c r="M453" s="325">
        <f t="shared" si="194"/>
        <v>1.0442651481195251</v>
      </c>
      <c r="N453" s="337">
        <f t="shared" si="195"/>
        <v>0.29220438696330947</v>
      </c>
      <c r="O453" s="343">
        <f t="shared" si="196"/>
        <v>1.0397123972388784</v>
      </c>
      <c r="P453" s="691">
        <f t="shared" si="197"/>
        <v>0.27727682033569218</v>
      </c>
      <c r="Q453" s="336">
        <f t="shared" si="212"/>
        <v>15.253360156776663</v>
      </c>
      <c r="R453" s="692">
        <f t="shared" si="198"/>
        <v>0.13209713583406188</v>
      </c>
      <c r="S453" s="329">
        <f t="shared" si="199"/>
        <v>0.99595302059884838</v>
      </c>
      <c r="T453" s="330">
        <f t="shared" si="200"/>
        <v>0.40087182325371939</v>
      </c>
      <c r="U453" s="331">
        <f t="shared" si="201"/>
        <v>-1.9818842634194445</v>
      </c>
      <c r="V453" s="332">
        <f t="shared" si="202"/>
        <v>-121.48752767874603</v>
      </c>
      <c r="W453" s="334">
        <f t="shared" si="203"/>
        <v>58.512472321253966</v>
      </c>
      <c r="Y453" s="307">
        <f t="shared" si="204"/>
        <v>48978</v>
      </c>
      <c r="Z453" s="307">
        <f t="shared" si="205"/>
        <v>2398844484</v>
      </c>
      <c r="AB453" s="333">
        <f t="shared" si="206"/>
        <v>23.101461650939662</v>
      </c>
      <c r="AC453" s="334">
        <f t="shared" si="207"/>
        <v>-21.281612960566612</v>
      </c>
      <c r="AE453" s="333">
        <f t="shared" si="208"/>
        <v>32.225100219881199</v>
      </c>
      <c r="AF453" s="334">
        <f t="shared" si="209"/>
        <v>-108.52409792066861</v>
      </c>
      <c r="AH453">
        <f t="shared" si="210"/>
        <v>0</v>
      </c>
      <c r="AI453">
        <f t="shared" si="215"/>
        <v>0</v>
      </c>
    </row>
    <row r="454" spans="1:35" x14ac:dyDescent="0.2">
      <c r="A454" s="335">
        <v>49263.25</v>
      </c>
      <c r="B454" s="352">
        <f t="shared" si="211"/>
        <v>49.263249999999999</v>
      </c>
      <c r="C454" s="325">
        <f t="shared" si="186"/>
        <v>62.494406957322127</v>
      </c>
      <c r="D454" s="326">
        <f t="shared" si="187"/>
        <v>1.5547942119191653</v>
      </c>
      <c r="E454" s="326">
        <f t="shared" si="188"/>
        <v>1.0019143456460182</v>
      </c>
      <c r="F454" s="327">
        <f t="shared" si="189"/>
        <v>6.1827125015416137E-2</v>
      </c>
      <c r="G454" s="326">
        <f t="shared" si="190"/>
        <v>1</v>
      </c>
      <c r="H454" s="327">
        <f t="shared" si="191"/>
        <v>0</v>
      </c>
      <c r="I454" s="325">
        <f t="shared" si="192"/>
        <v>65385.429062717689</v>
      </c>
      <c r="J454" s="328">
        <f t="shared" si="193"/>
        <v>1.570781032867574</v>
      </c>
      <c r="K454" s="336">
        <f t="shared" si="213"/>
        <v>12.705387367787003</v>
      </c>
      <c r="L454" s="337">
        <f t="shared" si="214"/>
        <v>1.4920080679975563</v>
      </c>
      <c r="M454" s="325">
        <f t="shared" si="194"/>
        <v>1.0447711715130346</v>
      </c>
      <c r="N454" s="337">
        <f t="shared" si="195"/>
        <v>0.29381019046866919</v>
      </c>
      <c r="O454" s="343">
        <f t="shared" si="196"/>
        <v>1.0401673583237452</v>
      </c>
      <c r="P454" s="691">
        <f t="shared" si="197"/>
        <v>0.27880951573094936</v>
      </c>
      <c r="Q454" s="336">
        <f t="shared" si="212"/>
        <v>15.254861463796841</v>
      </c>
      <c r="R454" s="692">
        <f t="shared" si="198"/>
        <v>0.13285786752672593</v>
      </c>
      <c r="S454" s="329">
        <f t="shared" si="199"/>
        <v>0.99594652676602879</v>
      </c>
      <c r="T454" s="330">
        <f t="shared" si="200"/>
        <v>0.40334425413475722</v>
      </c>
      <c r="U454" s="331">
        <f t="shared" si="201"/>
        <v>-2.0336405409774452</v>
      </c>
      <c r="V454" s="332">
        <f t="shared" si="202"/>
        <v>-121.6356654867825</v>
      </c>
      <c r="W454" s="334">
        <f t="shared" si="203"/>
        <v>58.3643345132175</v>
      </c>
      <c r="Y454" s="307">
        <f t="shared" si="204"/>
        <v>49263.25</v>
      </c>
      <c r="Z454" s="307">
        <f t="shared" si="205"/>
        <v>2426867800.5625</v>
      </c>
      <c r="AB454" s="333">
        <f t="shared" si="206"/>
        <v>23.096939441716593</v>
      </c>
      <c r="AC454" s="334">
        <f t="shared" si="207"/>
        <v>-21.347442342966914</v>
      </c>
      <c r="AE454" s="333">
        <f t="shared" si="208"/>
        <v>32.174921043903282</v>
      </c>
      <c r="AF454" s="334">
        <f t="shared" si="209"/>
        <v>-108.65063660845117</v>
      </c>
      <c r="AH454">
        <f t="shared" si="210"/>
        <v>0</v>
      </c>
      <c r="AI454">
        <f t="shared" si="215"/>
        <v>0</v>
      </c>
    </row>
    <row r="455" spans="1:35" x14ac:dyDescent="0.2">
      <c r="A455" s="335">
        <v>49548.5</v>
      </c>
      <c r="B455" s="352">
        <f t="shared" si="211"/>
        <v>49.548499999999997</v>
      </c>
      <c r="C455" s="325">
        <f t="shared" si="186"/>
        <v>62.85617720819647</v>
      </c>
      <c r="D455" s="326">
        <f t="shared" si="187"/>
        <v>1.5548863202734253</v>
      </c>
      <c r="E455" s="326">
        <f t="shared" si="188"/>
        <v>1.0019365576921289</v>
      </c>
      <c r="F455" s="327">
        <f t="shared" si="189"/>
        <v>6.2184204342646397E-2</v>
      </c>
      <c r="G455" s="326">
        <f t="shared" si="190"/>
        <v>1</v>
      </c>
      <c r="H455" s="327">
        <f t="shared" si="191"/>
        <v>0</v>
      </c>
      <c r="I455" s="325">
        <f t="shared" si="192"/>
        <v>65764.03164447569</v>
      </c>
      <c r="J455" s="328">
        <f t="shared" si="193"/>
        <v>1.5707811209144931</v>
      </c>
      <c r="K455" s="336">
        <f t="shared" si="213"/>
        <v>12.778501197423587</v>
      </c>
      <c r="L455" s="337">
        <f t="shared" si="214"/>
        <v>1.4924597921713179</v>
      </c>
      <c r="M455" s="325">
        <f t="shared" si="194"/>
        <v>1.045279886346155</v>
      </c>
      <c r="N455" s="337">
        <f t="shared" si="195"/>
        <v>0.29541443508858467</v>
      </c>
      <c r="O455" s="343">
        <f t="shared" si="196"/>
        <v>1.0406247607831884</v>
      </c>
      <c r="P455" s="691">
        <f t="shared" si="197"/>
        <v>0.28034086734067554</v>
      </c>
      <c r="Q455" s="336">
        <f t="shared" si="212"/>
        <v>15.2563713402125</v>
      </c>
      <c r="R455" s="692">
        <f t="shared" si="198"/>
        <v>0.13361845132402406</v>
      </c>
      <c r="S455" s="329">
        <f t="shared" si="199"/>
        <v>0.99594094750209849</v>
      </c>
      <c r="T455" s="330">
        <f t="shared" si="200"/>
        <v>0.40581893413864328</v>
      </c>
      <c r="U455" s="331">
        <f t="shared" si="201"/>
        <v>-2.085113707000791</v>
      </c>
      <c r="V455" s="332">
        <f t="shared" si="202"/>
        <v>-121.78415034782293</v>
      </c>
      <c r="W455" s="334">
        <f t="shared" si="203"/>
        <v>58.21584965217707</v>
      </c>
      <c r="Y455" s="307">
        <f t="shared" si="204"/>
        <v>49548.5</v>
      </c>
      <c r="Z455" s="307">
        <f t="shared" si="205"/>
        <v>2455053852.25</v>
      </c>
      <c r="AB455" s="333">
        <f t="shared" si="206"/>
        <v>23.092402295204558</v>
      </c>
      <c r="AC455" s="334">
        <f t="shared" si="207"/>
        <v>-21.413481945126385</v>
      </c>
      <c r="AE455" s="333">
        <f t="shared" si="208"/>
        <v>32.125025995444133</v>
      </c>
      <c r="AF455" s="334">
        <f t="shared" si="209"/>
        <v>-108.77724361001926</v>
      </c>
      <c r="AH455">
        <f t="shared" si="210"/>
        <v>0</v>
      </c>
      <c r="AI455">
        <f t="shared" si="215"/>
        <v>0</v>
      </c>
    </row>
    <row r="456" spans="1:35" x14ac:dyDescent="0.2">
      <c r="A456" s="335">
        <v>49833.75</v>
      </c>
      <c r="B456" s="352">
        <f t="shared" si="211"/>
        <v>49.833750000000002</v>
      </c>
      <c r="C456" s="325">
        <f t="shared" si="186"/>
        <v>63.217947986236048</v>
      </c>
      <c r="D456" s="326">
        <f t="shared" si="187"/>
        <v>1.5549773744306459</v>
      </c>
      <c r="E456" s="326">
        <f t="shared" si="188"/>
        <v>1.0019588974851337</v>
      </c>
      <c r="F456" s="327">
        <f t="shared" si="189"/>
        <v>6.2541267792437516E-2</v>
      </c>
      <c r="G456" s="326">
        <f t="shared" si="190"/>
        <v>1</v>
      </c>
      <c r="H456" s="327">
        <f t="shared" si="191"/>
        <v>0</v>
      </c>
      <c r="I456" s="325">
        <f t="shared" si="192"/>
        <v>66142.634226234208</v>
      </c>
      <c r="J456" s="328">
        <f t="shared" si="193"/>
        <v>1.5707812079534453</v>
      </c>
      <c r="K456" s="336">
        <f t="shared" si="213"/>
        <v>12.851617604904774</v>
      </c>
      <c r="L456" s="337">
        <f t="shared" si="214"/>
        <v>1.4929063764677901</v>
      </c>
      <c r="M456" s="325">
        <f t="shared" si="194"/>
        <v>1.0457912886912142</v>
      </c>
      <c r="N456" s="337">
        <f t="shared" si="195"/>
        <v>0.29701711484664461</v>
      </c>
      <c r="O456" s="343">
        <f t="shared" si="196"/>
        <v>1.0410846013993411</v>
      </c>
      <c r="P456" s="691">
        <f t="shared" si="197"/>
        <v>0.28187086975865022</v>
      </c>
      <c r="Q456" s="336">
        <f t="shared" si="212"/>
        <v>15.257889783481925</v>
      </c>
      <c r="R456" s="692">
        <f t="shared" si="198"/>
        <v>0.13437888642845863</v>
      </c>
      <c r="S456" s="329">
        <f t="shared" si="199"/>
        <v>0.99593629936524819</v>
      </c>
      <c r="T456" s="330">
        <f t="shared" si="200"/>
        <v>0.40829587157915914</v>
      </c>
      <c r="U456" s="331">
        <f t="shared" si="201"/>
        <v>-2.1363073531406824</v>
      </c>
      <c r="V456" s="332">
        <f t="shared" si="202"/>
        <v>-121.93297861818768</v>
      </c>
      <c r="W456" s="334">
        <f t="shared" si="203"/>
        <v>58.067021381812324</v>
      </c>
      <c r="Y456" s="307">
        <f t="shared" si="204"/>
        <v>49833.75</v>
      </c>
      <c r="Z456" s="307">
        <f t="shared" si="205"/>
        <v>2483402639.0625</v>
      </c>
      <c r="AB456" s="333">
        <f t="shared" si="206"/>
        <v>23.087850152257335</v>
      </c>
      <c r="AC456" s="334">
        <f t="shared" si="207"/>
        <v>-21.479726322829901</v>
      </c>
      <c r="AE456" s="333">
        <f t="shared" si="208"/>
        <v>32.075411591373424</v>
      </c>
      <c r="AF456" s="334">
        <f t="shared" si="209"/>
        <v>-108.90392046184795</v>
      </c>
      <c r="AH456">
        <f t="shared" si="210"/>
        <v>0</v>
      </c>
      <c r="AI456">
        <f t="shared" si="215"/>
        <v>0</v>
      </c>
    </row>
    <row r="457" spans="1:35" x14ac:dyDescent="0.2">
      <c r="A457" s="335">
        <v>50119</v>
      </c>
      <c r="B457" s="352">
        <f t="shared" si="211"/>
        <v>50.119</v>
      </c>
      <c r="C457" s="325">
        <f t="shared" si="186"/>
        <v>63.579719282442106</v>
      </c>
      <c r="D457" s="326">
        <f t="shared" si="187"/>
        <v>1.5550673923845817</v>
      </c>
      <c r="E457" s="326">
        <f t="shared" si="188"/>
        <v>1.0019813650164882</v>
      </c>
      <c r="F457" s="327">
        <f t="shared" si="189"/>
        <v>6.2898315274807451E-2</v>
      </c>
      <c r="G457" s="326">
        <f t="shared" si="190"/>
        <v>1</v>
      </c>
      <c r="H457" s="327">
        <f t="shared" si="191"/>
        <v>0</v>
      </c>
      <c r="I457" s="325">
        <f t="shared" si="192"/>
        <v>66521.23680799322</v>
      </c>
      <c r="J457" s="328">
        <f t="shared" si="193"/>
        <v>1.570781294001641</v>
      </c>
      <c r="K457" s="336">
        <f t="shared" si="213"/>
        <v>12.92473654648127</v>
      </c>
      <c r="L457" s="337">
        <f t="shared" si="214"/>
        <v>1.4933479079405927</v>
      </c>
      <c r="M457" s="325">
        <f t="shared" si="194"/>
        <v>1.0463053746074888</v>
      </c>
      <c r="N457" s="337">
        <f t="shared" si="195"/>
        <v>0.29861822381024666</v>
      </c>
      <c r="O457" s="343">
        <f t="shared" si="196"/>
        <v>1.0415468769428811</v>
      </c>
      <c r="P457" s="691">
        <f t="shared" si="197"/>
        <v>0.28339951761344145</v>
      </c>
      <c r="Q457" s="336">
        <f t="shared" si="212"/>
        <v>15.259416791049993</v>
      </c>
      <c r="R457" s="692">
        <f t="shared" si="198"/>
        <v>0.13513917204351622</v>
      </c>
      <c r="S457" s="329">
        <f t="shared" si="199"/>
        <v>0.99593259900690889</v>
      </c>
      <c r="T457" s="330">
        <f t="shared" si="200"/>
        <v>0.41077507467519242</v>
      </c>
      <c r="U457" s="331">
        <f t="shared" si="201"/>
        <v>-2.1872250112566878</v>
      </c>
      <c r="V457" s="332">
        <f t="shared" si="202"/>
        <v>-122.08214674029765</v>
      </c>
      <c r="W457" s="334">
        <f t="shared" si="203"/>
        <v>57.917853259702355</v>
      </c>
      <c r="Y457" s="307">
        <f t="shared" si="204"/>
        <v>50119</v>
      </c>
      <c r="Z457" s="307">
        <f t="shared" si="205"/>
        <v>2511914161</v>
      </c>
      <c r="AB457" s="333">
        <f t="shared" si="206"/>
        <v>23.083282957337961</v>
      </c>
      <c r="AC457" s="334">
        <f t="shared" si="207"/>
        <v>-21.546170149345453</v>
      </c>
      <c r="AE457" s="333">
        <f t="shared" si="208"/>
        <v>32.026074404874223</v>
      </c>
      <c r="AF457" s="334">
        <f t="shared" si="209"/>
        <v>-109.03066867096661</v>
      </c>
      <c r="AH457">
        <f t="shared" si="210"/>
        <v>0</v>
      </c>
      <c r="AI457">
        <f t="shared" si="215"/>
        <v>0</v>
      </c>
    </row>
    <row r="458" spans="1:35" x14ac:dyDescent="0.2">
      <c r="A458" s="335">
        <v>50410.75</v>
      </c>
      <c r="B458" s="352">
        <f t="shared" si="211"/>
        <v>50.41075</v>
      </c>
      <c r="C458" s="325">
        <f t="shared" si="186"/>
        <v>63.949734798484229</v>
      </c>
      <c r="D458" s="326">
        <f t="shared" si="187"/>
        <v>1.5551584080180414</v>
      </c>
      <c r="E458" s="326">
        <f t="shared" si="188"/>
        <v>1.002004476644853</v>
      </c>
      <c r="F458" s="327">
        <f t="shared" si="189"/>
        <v>6.3263482197380219E-2</v>
      </c>
      <c r="G458" s="326">
        <f t="shared" si="190"/>
        <v>1</v>
      </c>
      <c r="H458" s="327">
        <f t="shared" si="191"/>
        <v>0</v>
      </c>
      <c r="I458" s="325">
        <f t="shared" si="192"/>
        <v>66908.466617733211</v>
      </c>
      <c r="J458" s="328">
        <f t="shared" si="193"/>
        <v>1.5707813810032714</v>
      </c>
      <c r="K458" s="336">
        <f t="shared" si="213"/>
        <v>12.99952422829462</v>
      </c>
      <c r="L458" s="337">
        <f t="shared" si="214"/>
        <v>1.4937943624510417</v>
      </c>
      <c r="M458" s="325">
        <f t="shared" si="194"/>
        <v>1.0468339468873187</v>
      </c>
      <c r="N458" s="337">
        <f t="shared" si="195"/>
        <v>0.30025418625964323</v>
      </c>
      <c r="O458" s="343">
        <f t="shared" si="196"/>
        <v>1.0420222017814806</v>
      </c>
      <c r="P458" s="691">
        <f t="shared" si="197"/>
        <v>0.28496159203442389</v>
      </c>
      <c r="Q458" s="336">
        <f t="shared" si="212"/>
        <v>15.260987451160974</v>
      </c>
      <c r="R458" s="692">
        <f t="shared" si="198"/>
        <v>0.1359166268418896</v>
      </c>
      <c r="S458" s="329">
        <f t="shared" si="199"/>
        <v>0.99592981220187771</v>
      </c>
      <c r="T458" s="330">
        <f t="shared" si="200"/>
        <v>0.41331312359508654</v>
      </c>
      <c r="U458" s="331">
        <f t="shared" si="201"/>
        <v>-2.2390210584790422</v>
      </c>
      <c r="V458" s="332">
        <f t="shared" si="202"/>
        <v>-122.23506189649235</v>
      </c>
      <c r="W458" s="334">
        <f t="shared" si="203"/>
        <v>57.764938103507646</v>
      </c>
      <c r="Y458" s="307">
        <f t="shared" si="204"/>
        <v>50410.75</v>
      </c>
      <c r="Z458" s="307">
        <f t="shared" si="205"/>
        <v>2541243715.5625</v>
      </c>
      <c r="AB458" s="333">
        <f t="shared" si="206"/>
        <v>23.078596065023458</v>
      </c>
      <c r="AC458" s="334">
        <f t="shared" si="207"/>
        <v>-21.614328918848575</v>
      </c>
      <c r="AE458" s="333">
        <f t="shared" si="208"/>
        <v>31.975896221377226</v>
      </c>
      <c r="AF458" s="334">
        <f t="shared" si="209"/>
        <v>-109.16038045060823</v>
      </c>
      <c r="AH458">
        <f t="shared" si="210"/>
        <v>0</v>
      </c>
      <c r="AI458">
        <f t="shared" si="215"/>
        <v>0</v>
      </c>
    </row>
    <row r="459" spans="1:35" x14ac:dyDescent="0.2">
      <c r="A459" s="335">
        <v>50702.5</v>
      </c>
      <c r="B459" s="352">
        <f t="shared" si="211"/>
        <v>50.702500000000001</v>
      </c>
      <c r="C459" s="325">
        <f t="shared" si="186"/>
        <v>64.319750838181037</v>
      </c>
      <c r="D459" s="326">
        <f t="shared" si="187"/>
        <v>1.5552483764701901</v>
      </c>
      <c r="E459" s="326">
        <f t="shared" si="188"/>
        <v>1.0020277218812161</v>
      </c>
      <c r="F459" s="327">
        <f t="shared" si="189"/>
        <v>6.3628632226214413E-2</v>
      </c>
      <c r="G459" s="326">
        <f t="shared" si="190"/>
        <v>1</v>
      </c>
      <c r="H459" s="327">
        <f t="shared" si="191"/>
        <v>0</v>
      </c>
      <c r="I459" s="325">
        <f t="shared" si="192"/>
        <v>67295.696427473711</v>
      </c>
      <c r="J459" s="328">
        <f t="shared" si="193"/>
        <v>1.5707814670036599</v>
      </c>
      <c r="K459" s="336">
        <f t="shared" si="213"/>
        <v>13.074314471550968</v>
      </c>
      <c r="L459" s="337">
        <f t="shared" si="214"/>
        <v>1.4942357092563168</v>
      </c>
      <c r="M459" s="325">
        <f t="shared" si="194"/>
        <v>1.0473653180531524</v>
      </c>
      <c r="N459" s="337">
        <f t="shared" si="195"/>
        <v>0.3018884930983467</v>
      </c>
      <c r="O459" s="343">
        <f t="shared" si="196"/>
        <v>1.0425000669117521</v>
      </c>
      <c r="P459" s="691">
        <f t="shared" si="197"/>
        <v>0.28652223820141831</v>
      </c>
      <c r="Q459" s="336">
        <f t="shared" si="212"/>
        <v>15.262567064877897</v>
      </c>
      <c r="R459" s="692">
        <f t="shared" si="198"/>
        <v>0.13669392357815632</v>
      </c>
      <c r="S459" s="329">
        <f t="shared" si="199"/>
        <v>0.99592805239433002</v>
      </c>
      <c r="T459" s="330">
        <f t="shared" si="200"/>
        <v>0.41585355968578863</v>
      </c>
      <c r="U459" s="331">
        <f t="shared" si="201"/>
        <v>-2.2905356845275184</v>
      </c>
      <c r="V459" s="332">
        <f t="shared" si="202"/>
        <v>-122.38832530608146</v>
      </c>
      <c r="W459" s="334">
        <f t="shared" si="203"/>
        <v>57.611674693918545</v>
      </c>
      <c r="Y459" s="307">
        <f t="shared" si="204"/>
        <v>50702.5</v>
      </c>
      <c r="Z459" s="307">
        <f t="shared" si="205"/>
        <v>2570743506.25</v>
      </c>
      <c r="AB459" s="333">
        <f t="shared" si="206"/>
        <v>23.073893320475413</v>
      </c>
      <c r="AC459" s="334">
        <f t="shared" si="207"/>
        <v>-21.682685421429216</v>
      </c>
      <c r="AE459" s="333">
        <f t="shared" si="208"/>
        <v>31.926000956907824</v>
      </c>
      <c r="AF459" s="334">
        <f t="shared" si="209"/>
        <v>-109.29016997393265</v>
      </c>
      <c r="AH459">
        <f t="shared" si="210"/>
        <v>0</v>
      </c>
      <c r="AI459">
        <f t="shared" si="215"/>
        <v>0</v>
      </c>
    </row>
    <row r="460" spans="1:35" x14ac:dyDescent="0.2">
      <c r="A460" s="335">
        <v>50994.25</v>
      </c>
      <c r="B460" s="352">
        <f t="shared" si="211"/>
        <v>50.994250000000001</v>
      </c>
      <c r="C460" s="325">
        <f t="shared" si="186"/>
        <v>64.689767392546827</v>
      </c>
      <c r="D460" s="326">
        <f t="shared" si="187"/>
        <v>1.5553373157087571</v>
      </c>
      <c r="E460" s="326">
        <f t="shared" si="188"/>
        <v>1.0020511007162789</v>
      </c>
      <c r="F460" s="327">
        <f t="shared" si="189"/>
        <v>6.3993765265114896E-2</v>
      </c>
      <c r="G460" s="326">
        <f t="shared" si="190"/>
        <v>1</v>
      </c>
      <c r="H460" s="327">
        <f t="shared" si="191"/>
        <v>0</v>
      </c>
      <c r="I460" s="325">
        <f t="shared" si="192"/>
        <v>67682.926237214691</v>
      </c>
      <c r="J460" s="328">
        <f t="shared" si="193"/>
        <v>1.5707815520199921</v>
      </c>
      <c r="K460" s="336">
        <f t="shared" si="213"/>
        <v>13.149107232542947</v>
      </c>
      <c r="L460" s="337">
        <f t="shared" si="214"/>
        <v>1.4946720353416223</v>
      </c>
      <c r="M460" s="325">
        <f t="shared" si="194"/>
        <v>1.047899483847194</v>
      </c>
      <c r="N460" s="337">
        <f t="shared" si="195"/>
        <v>0.30352113812127934</v>
      </c>
      <c r="O460" s="343">
        <f t="shared" si="196"/>
        <v>1.0429804688420188</v>
      </c>
      <c r="P460" s="691">
        <f t="shared" si="197"/>
        <v>0.28808145048055755</v>
      </c>
      <c r="Q460" s="336">
        <f t="shared" si="212"/>
        <v>15.264155629423575</v>
      </c>
      <c r="R460" s="692">
        <f t="shared" si="198"/>
        <v>0.13747106140332765</v>
      </c>
      <c r="S460" s="329">
        <f t="shared" si="199"/>
        <v>0.99592733770180031</v>
      </c>
      <c r="T460" s="330">
        <f t="shared" si="200"/>
        <v>0.41839639142713742</v>
      </c>
      <c r="U460" s="331">
        <f t="shared" si="201"/>
        <v>-2.3417724831945477</v>
      </c>
      <c r="V460" s="332">
        <f t="shared" si="202"/>
        <v>-122.54193342563867</v>
      </c>
      <c r="W460" s="334">
        <f t="shared" si="203"/>
        <v>57.458066574361325</v>
      </c>
      <c r="Y460" s="307">
        <f t="shared" si="204"/>
        <v>50994.25</v>
      </c>
      <c r="Z460" s="307">
        <f t="shared" si="205"/>
        <v>2600413533.0625</v>
      </c>
      <c r="AB460" s="333">
        <f t="shared" si="206"/>
        <v>23.069174675231046</v>
      </c>
      <c r="AC460" s="334">
        <f t="shared" si="207"/>
        <v>-21.751234318662167</v>
      </c>
      <c r="AE460" s="333">
        <f t="shared" si="208"/>
        <v>31.876385119515874</v>
      </c>
      <c r="AF460" s="334">
        <f t="shared" si="209"/>
        <v>-109.42003876178546</v>
      </c>
      <c r="AH460">
        <f t="shared" si="210"/>
        <v>0</v>
      </c>
      <c r="AI460">
        <f t="shared" si="215"/>
        <v>0</v>
      </c>
    </row>
    <row r="461" spans="1:35" x14ac:dyDescent="0.2">
      <c r="A461" s="335">
        <v>51286</v>
      </c>
      <c r="B461" s="352">
        <f t="shared" si="211"/>
        <v>51.286000000000001</v>
      </c>
      <c r="C461" s="325">
        <f t="shared" ref="C461:C524" si="216">SQRT(1+(A461/pole1)^2)</f>
        <v>65.059784452800372</v>
      </c>
      <c r="D461" s="326">
        <f t="shared" ref="D461:D524" si="217">ATAN(A461/pole1)</f>
        <v>1.5554252432927833</v>
      </c>
      <c r="E461" s="326">
        <f t="shared" ref="E461:E524" si="218">SQRT(1+(A461/Zero1)^2)</f>
        <v>1.0020746131406908</v>
      </c>
      <c r="F461" s="327">
        <f t="shared" ref="F461:F524" si="219">ATAN(A461/Zero1)</f>
        <v>6.4358881217913597E-2</v>
      </c>
      <c r="G461" s="326">
        <f t="shared" ref="G461:G524" si="220">IF(VIN_nom&gt;Vout, 1, SQRT(1+(A461/z_RHP)^2))</f>
        <v>1</v>
      </c>
      <c r="H461" s="327">
        <f t="shared" ref="H461:H524" si="221">IF(VIN_nom&gt;Vout, 0, -ATAN(A461/z_RHP))</f>
        <v>0</v>
      </c>
      <c r="I461" s="325">
        <f t="shared" ref="I461:I524" si="222">SQRT(1+(A461/Pole2)^2)</f>
        <v>68070.156046956166</v>
      </c>
      <c r="J461" s="328">
        <f t="shared" ref="J461:J524" si="223">ATAN(A461/Pole2)</f>
        <v>1.5707816360690616</v>
      </c>
      <c r="K461" s="336">
        <f t="shared" si="213"/>
        <v>13.223902468550556</v>
      </c>
      <c r="L461" s="337">
        <f t="shared" si="214"/>
        <v>1.4951034257319342</v>
      </c>
      <c r="M461" s="325">
        <f t="shared" ref="M461:M524" si="224">SQRT(1+(A461/pole4)^2)</f>
        <v>1.0484364399979549</v>
      </c>
      <c r="N461" s="337">
        <f t="shared" ref="N461:N524" si="225">ATAN(A461/pole4)</f>
        <v>0.30515211517141283</v>
      </c>
      <c r="O461" s="343">
        <f t="shared" ref="O461:O524" si="226">IF(VOUT_setting=1,1,SQRT(1+(A461*zterm1)^2))</f>
        <v>1.0434634040685153</v>
      </c>
      <c r="P461" s="691">
        <f t="shared" ref="P461:P524" si="227">IF(VOUT_setting=1,0,ATAN(((A461*zterm1))))</f>
        <v>0.28963922327620983</v>
      </c>
      <c r="Q461" s="336">
        <f t="shared" si="212"/>
        <v>15.26575314200624</v>
      </c>
      <c r="R461" s="692">
        <f t="shared" ref="R461:R524" si="228">IF(VOUT_setting=1,0,ATAN(A461*$Q$4/(1+Afbr-$Q$5*(A461)^2)))</f>
        <v>0.13824803946951239</v>
      </c>
      <c r="S461" s="329">
        <f t="shared" ref="S461:S524" si="229">SQRT((1-(Z461/pterm2))^2+(A461/pterm1)^2)</f>
        <v>0.99592768634314344</v>
      </c>
      <c r="T461" s="330">
        <f t="shared" ref="T461:T524" si="230">IF((ATAN((A461/pterm1)/(1-A461^2/pterm2))&gt;0),ATAN((A461/pterm1)/(1-A461^2/pterm2)),PI()+ATAN((A461/pterm1)/(1-A461^2/pterm2)))</f>
        <v>0.42094162719123857</v>
      </c>
      <c r="U461" s="331">
        <f t="shared" ref="U461:U524" si="231">20*LOG10(((E461*K461*G461*O461)/(C461*I461*S461*M461*Q461))*Adc)</f>
        <v>-2.3927349888084666</v>
      </c>
      <c r="V461" s="332">
        <f t="shared" ref="V461:V524" si="232">((F461+L461+H461+P461)-(D461+J461+T461+N461+R461))*radconv</f>
        <v>-122.69588279506293</v>
      </c>
      <c r="W461" s="334">
        <f t="shared" ref="W461:W524" si="233">IF(V461&gt;0,V461,V461+180)</f>
        <v>57.304117204937072</v>
      </c>
      <c r="Y461" s="307">
        <f t="shared" ref="Y461:Y524" si="234">IF(U461&lt;0,A461,1000000000)</f>
        <v>51286</v>
      </c>
      <c r="Z461" s="307">
        <f t="shared" ref="Z461:Z524" si="235">A461^2</f>
        <v>2630253796</v>
      </c>
      <c r="AB461" s="333">
        <f t="shared" ref="AB461:AB524" si="236">20*LOG10((K461/(I461*M461))*AEA)</f>
        <v>23.064440084280751</v>
      </c>
      <c r="AC461" s="334">
        <f t="shared" ref="AC461:AC524" si="237">(L461-(J461+N461))*radconv</f>
        <v>-21.819970387165647</v>
      </c>
      <c r="AE461" s="333">
        <f t="shared" ref="AE461:AE524" si="238">20*LOG10((E461*G461/(C461*S461))*Acs*Am)</f>
        <v>31.827045273396411</v>
      </c>
      <c r="AF461" s="334">
        <f t="shared" ref="AF461:AF524" si="239">(F461+H461-(D461+T461))*radconv</f>
        <v>-109.54998830542191</v>
      </c>
      <c r="AH461">
        <f t="shared" ref="AH461:AH524" si="240">SUM((U462&lt;0)*(U461&gt;0))*A461</f>
        <v>0</v>
      </c>
      <c r="AI461">
        <f t="shared" si="215"/>
        <v>0</v>
      </c>
    </row>
    <row r="462" spans="1:35" x14ac:dyDescent="0.2">
      <c r="A462" s="335">
        <v>51584.75</v>
      </c>
      <c r="B462" s="352">
        <f t="shared" ref="B462:B525" si="241">A462/1000</f>
        <v>51.58475</v>
      </c>
      <c r="C462" s="325">
        <f t="shared" si="216"/>
        <v>65.438679901241031</v>
      </c>
      <c r="D462" s="326">
        <f t="shared" si="217"/>
        <v>1.5555142501054759</v>
      </c>
      <c r="E462" s="326">
        <f t="shared" si="218"/>
        <v>1.0020988281279277</v>
      </c>
      <c r="F462" s="327">
        <f t="shared" si="219"/>
        <v>6.4732739644273368E-2</v>
      </c>
      <c r="G462" s="326">
        <f t="shared" si="220"/>
        <v>1</v>
      </c>
      <c r="H462" s="327">
        <f t="shared" si="221"/>
        <v>0</v>
      </c>
      <c r="I462" s="325">
        <f t="shared" si="222"/>
        <v>68466.676717600247</v>
      </c>
      <c r="J462" s="328">
        <f t="shared" si="223"/>
        <v>1.5707817211495232</v>
      </c>
      <c r="K462" s="336">
        <f t="shared" si="213"/>
        <v>13.300494798674837</v>
      </c>
      <c r="L462" s="337">
        <f t="shared" si="214"/>
        <v>1.4955401385965599</v>
      </c>
      <c r="M462" s="325">
        <f t="shared" si="224"/>
        <v>1.0489891665233515</v>
      </c>
      <c r="N462" s="337">
        <f t="shared" si="225"/>
        <v>0.30682048962642522</v>
      </c>
      <c r="O462" s="343">
        <f t="shared" si="226"/>
        <v>1.0439605479553593</v>
      </c>
      <c r="P462" s="691">
        <f t="shared" si="227"/>
        <v>0.2912328744309276</v>
      </c>
      <c r="Q462" s="336">
        <f t="shared" si="212"/>
        <v>15.267398253658044</v>
      </c>
      <c r="R462" s="692">
        <f t="shared" si="228"/>
        <v>0.13904349324378715</v>
      </c>
      <c r="S462" s="329">
        <f t="shared" si="229"/>
        <v>0.99592916439556411</v>
      </c>
      <c r="T462" s="330">
        <f t="shared" si="230"/>
        <v>0.42355043103138784</v>
      </c>
      <c r="U462" s="331">
        <f t="shared" si="231"/>
        <v>-2.4446396322943511</v>
      </c>
      <c r="V462" s="332">
        <f t="shared" si="232"/>
        <v>-122.85387599416204</v>
      </c>
      <c r="W462" s="334">
        <f t="shared" si="233"/>
        <v>57.146124005837962</v>
      </c>
      <c r="Y462" s="307">
        <f t="shared" si="234"/>
        <v>51584.75</v>
      </c>
      <c r="Z462" s="307">
        <f t="shared" si="235"/>
        <v>2660986432.5625</v>
      </c>
      <c r="AB462" s="333">
        <f t="shared" si="236"/>
        <v>23.059575327920069</v>
      </c>
      <c r="AC462" s="334">
        <f t="shared" si="237"/>
        <v>-21.890544272915186</v>
      </c>
      <c r="AE462" s="333">
        <f t="shared" si="238"/>
        <v>31.776804081480034</v>
      </c>
      <c r="AF462" s="334">
        <f t="shared" si="239"/>
        <v>-109.68314095994153</v>
      </c>
      <c r="AH462">
        <f t="shared" si="240"/>
        <v>0</v>
      </c>
      <c r="AI462">
        <f t="shared" si="215"/>
        <v>0</v>
      </c>
    </row>
    <row r="463" spans="1:35" x14ac:dyDescent="0.2">
      <c r="A463" s="335">
        <v>51883.5</v>
      </c>
      <c r="B463" s="352">
        <f t="shared" si="241"/>
        <v>51.883499999999998</v>
      </c>
      <c r="C463" s="325">
        <f t="shared" si="216"/>
        <v>65.817575862132003</v>
      </c>
      <c r="D463" s="326">
        <f t="shared" si="217"/>
        <v>1.5556022321372143</v>
      </c>
      <c r="E463" s="326">
        <f t="shared" si="218"/>
        <v>1.0021231831718609</v>
      </c>
      <c r="F463" s="327">
        <f t="shared" si="219"/>
        <v>6.510657995078864E-2</v>
      </c>
      <c r="G463" s="326">
        <f t="shared" si="220"/>
        <v>1</v>
      </c>
      <c r="H463" s="327">
        <f t="shared" si="221"/>
        <v>0</v>
      </c>
      <c r="I463" s="325">
        <f t="shared" si="222"/>
        <v>68863.197388244822</v>
      </c>
      <c r="J463" s="328">
        <f t="shared" si="223"/>
        <v>1.5707818052501825</v>
      </c>
      <c r="K463" s="336">
        <f t="shared" si="213"/>
        <v>13.377089636396473</v>
      </c>
      <c r="L463" s="337">
        <f t="shared" si="214"/>
        <v>1.4959718504622468</v>
      </c>
      <c r="M463" s="325">
        <f t="shared" si="224"/>
        <v>1.0495448098020004</v>
      </c>
      <c r="N463" s="337">
        <f t="shared" si="225"/>
        <v>0.30848710219612929</v>
      </c>
      <c r="O463" s="343">
        <f t="shared" si="226"/>
        <v>1.0444603406859312</v>
      </c>
      <c r="P463" s="691">
        <f t="shared" si="227"/>
        <v>0.29282500444551907</v>
      </c>
      <c r="Q463" s="336">
        <f t="shared" ref="Q463:Q526" si="242">IF(VOUT_setting=1,1,SQRT((1+Afbr-$Q$5*(A463)^2)^2+(A463*$Q$4)^2))</f>
        <v>15.2690527419094</v>
      </c>
      <c r="R463" s="692">
        <f t="shared" si="228"/>
        <v>0.13983877770495007</v>
      </c>
      <c r="S463" s="329">
        <f t="shared" si="229"/>
        <v>0.99593179640970342</v>
      </c>
      <c r="T463" s="330">
        <f t="shared" si="230"/>
        <v>0.42616177305587338</v>
      </c>
      <c r="U463" s="331">
        <f t="shared" si="231"/>
        <v>-2.4962639782934546</v>
      </c>
      <c r="V463" s="332">
        <f t="shared" si="232"/>
        <v>-123.01221992846308</v>
      </c>
      <c r="W463" s="334">
        <f t="shared" si="233"/>
        <v>56.987780071536918</v>
      </c>
      <c r="Y463" s="307">
        <f t="shared" si="234"/>
        <v>51883.5</v>
      </c>
      <c r="Z463" s="307">
        <f t="shared" si="235"/>
        <v>2691897572.25</v>
      </c>
      <c r="AB463" s="333">
        <f t="shared" si="236"/>
        <v>23.054693766584542</v>
      </c>
      <c r="AC463" s="334">
        <f t="shared" si="237"/>
        <v>-21.961303690066785</v>
      </c>
      <c r="AE463" s="333">
        <f t="shared" si="238"/>
        <v>31.726845166645504</v>
      </c>
      <c r="AF463" s="334">
        <f t="shared" si="239"/>
        <v>-109.81638136427833</v>
      </c>
      <c r="AH463">
        <f t="shared" si="240"/>
        <v>0</v>
      </c>
      <c r="AI463">
        <f t="shared" si="215"/>
        <v>0</v>
      </c>
    </row>
    <row r="464" spans="1:35" x14ac:dyDescent="0.2">
      <c r="A464" s="335">
        <v>52182.25</v>
      </c>
      <c r="B464" s="352">
        <f t="shared" si="241"/>
        <v>52.182250000000003</v>
      </c>
      <c r="C464" s="325">
        <f t="shared" si="216"/>
        <v>66.196472326673785</v>
      </c>
      <c r="D464" s="326">
        <f t="shared" si="217"/>
        <v>1.5556892069835988</v>
      </c>
      <c r="E464" s="326">
        <f t="shared" si="218"/>
        <v>1.0021476782622787</v>
      </c>
      <c r="F464" s="327">
        <f t="shared" si="219"/>
        <v>6.5480402034291021E-2</v>
      </c>
      <c r="G464" s="326">
        <f t="shared" si="220"/>
        <v>1</v>
      </c>
      <c r="H464" s="327">
        <f t="shared" si="221"/>
        <v>0</v>
      </c>
      <c r="I464" s="325">
        <f t="shared" si="222"/>
        <v>69259.718058889863</v>
      </c>
      <c r="J464" s="328">
        <f t="shared" si="223"/>
        <v>1.5707818883878679</v>
      </c>
      <c r="K464" s="336">
        <f t="shared" si="213"/>
        <v>13.453686938886531</v>
      </c>
      <c r="L464" s="337">
        <f t="shared" si="214"/>
        <v>1.4963986465848369</v>
      </c>
      <c r="M464" s="325">
        <f t="shared" si="224"/>
        <v>1.0501033652038592</v>
      </c>
      <c r="N464" s="337">
        <f t="shared" si="225"/>
        <v>0.31015194642634969</v>
      </c>
      <c r="O464" s="343">
        <f t="shared" si="226"/>
        <v>1.0449627784595032</v>
      </c>
      <c r="P464" s="691">
        <f t="shared" si="227"/>
        <v>0.29441560743671169</v>
      </c>
      <c r="Q464" s="336">
        <f t="shared" si="242"/>
        <v>15.270716603715377</v>
      </c>
      <c r="R464" s="692">
        <f t="shared" si="228"/>
        <v>0.14063389194621492</v>
      </c>
      <c r="S464" s="329">
        <f t="shared" si="229"/>
        <v>0.99593560227650779</v>
      </c>
      <c r="T464" s="330">
        <f t="shared" si="230"/>
        <v>0.42877566189626043</v>
      </c>
      <c r="U464" s="331">
        <f t="shared" si="231"/>
        <v>-2.5476116368818005</v>
      </c>
      <c r="V464" s="332">
        <f t="shared" si="232"/>
        <v>-123.17091113808195</v>
      </c>
      <c r="W464" s="334">
        <f t="shared" si="233"/>
        <v>56.829088861918052</v>
      </c>
      <c r="Y464" s="307">
        <f t="shared" si="234"/>
        <v>52182.25</v>
      </c>
      <c r="Z464" s="307">
        <f t="shared" si="235"/>
        <v>2722987215.0625</v>
      </c>
      <c r="AB464" s="333">
        <f t="shared" si="236"/>
        <v>23.049795362472839</v>
      </c>
      <c r="AC464" s="334">
        <f t="shared" si="237"/>
        <v>-22.032243384987705</v>
      </c>
      <c r="AE464" s="333">
        <f t="shared" si="238"/>
        <v>31.677165014499344</v>
      </c>
      <c r="AF464" s="334">
        <f t="shared" si="239"/>
        <v>-109.94971102704936</v>
      </c>
      <c r="AH464">
        <f t="shared" si="240"/>
        <v>0</v>
      </c>
      <c r="AI464">
        <f t="shared" si="215"/>
        <v>0</v>
      </c>
    </row>
    <row r="465" spans="1:35" x14ac:dyDescent="0.2">
      <c r="A465" s="335">
        <v>52481</v>
      </c>
      <c r="B465" s="352">
        <f t="shared" si="241"/>
        <v>52.481000000000002</v>
      </c>
      <c r="C465" s="325">
        <f t="shared" si="216"/>
        <v>66.575369286267218</v>
      </c>
      <c r="D465" s="326">
        <f t="shared" si="217"/>
        <v>1.5557751918397285</v>
      </c>
      <c r="E465" s="326">
        <f t="shared" si="218"/>
        <v>1.0021723133889122</v>
      </c>
      <c r="F465" s="327">
        <f t="shared" si="219"/>
        <v>6.5854205791642598E-2</v>
      </c>
      <c r="G465" s="326">
        <f t="shared" si="220"/>
        <v>1</v>
      </c>
      <c r="H465" s="327">
        <f t="shared" si="221"/>
        <v>0</v>
      </c>
      <c r="I465" s="325">
        <f t="shared" si="222"/>
        <v>69656.238729535384</v>
      </c>
      <c r="J465" s="328">
        <f t="shared" si="223"/>
        <v>1.5707819705790247</v>
      </c>
      <c r="K465" s="336">
        <f t="shared" si="213"/>
        <v>13.530286664284564</v>
      </c>
      <c r="L465" s="337">
        <f t="shared" si="214"/>
        <v>1.4968206102967752</v>
      </c>
      <c r="M465" s="325">
        <f t="shared" si="224"/>
        <v>1.0506648280844908</v>
      </c>
      <c r="N465" s="337">
        <f t="shared" si="225"/>
        <v>0.31181501591581023</v>
      </c>
      <c r="O465" s="343">
        <f t="shared" si="226"/>
        <v>1.04546785746256</v>
      </c>
      <c r="P465" s="691">
        <f t="shared" si="227"/>
        <v>0.29600467756342014</v>
      </c>
      <c r="Q465" s="336">
        <f t="shared" si="242"/>
        <v>15.272389836015114</v>
      </c>
      <c r="R465" s="692">
        <f t="shared" si="228"/>
        <v>0.14142883506202489</v>
      </c>
      <c r="S465" s="329">
        <f t="shared" si="229"/>
        <v>0.99594060199743251</v>
      </c>
      <c r="T465" s="330">
        <f t="shared" si="230"/>
        <v>0.43139210606122758</v>
      </c>
      <c r="U465" s="331">
        <f t="shared" si="231"/>
        <v>-2.5986861587160992</v>
      </c>
      <c r="V465" s="332">
        <f t="shared" si="232"/>
        <v>-123.32994624400968</v>
      </c>
      <c r="W465" s="334">
        <f t="shared" si="233"/>
        <v>56.670053755990324</v>
      </c>
      <c r="Y465" s="307">
        <f t="shared" si="234"/>
        <v>52481</v>
      </c>
      <c r="Z465" s="307">
        <f t="shared" si="235"/>
        <v>2754255361</v>
      </c>
      <c r="AB465" s="333">
        <f t="shared" si="236"/>
        <v>23.044880081102278</v>
      </c>
      <c r="AC465" s="334">
        <f t="shared" si="237"/>
        <v>-22.103358217256694</v>
      </c>
      <c r="AE465" s="333">
        <f t="shared" si="238"/>
        <v>31.627760166886056</v>
      </c>
      <c r="AF465" s="334">
        <f t="shared" si="239"/>
        <v>-110.08313142688195</v>
      </c>
      <c r="AH465">
        <f t="shared" si="240"/>
        <v>0</v>
      </c>
      <c r="AI465">
        <f t="shared" si="215"/>
        <v>0</v>
      </c>
    </row>
    <row r="466" spans="1:35" x14ac:dyDescent="0.2">
      <c r="A466" s="335">
        <v>52786.5</v>
      </c>
      <c r="B466" s="352">
        <f t="shared" si="241"/>
        <v>52.786499999999997</v>
      </c>
      <c r="C466" s="325">
        <f t="shared" si="216"/>
        <v>66.962827600867328</v>
      </c>
      <c r="D466" s="326">
        <f t="shared" si="217"/>
        <v>1.5558621131634556</v>
      </c>
      <c r="E466" s="326">
        <f t="shared" si="218"/>
        <v>1.0021976499322984</v>
      </c>
      <c r="F466" s="327">
        <f t="shared" si="219"/>
        <v>6.6236436264909895E-2</v>
      </c>
      <c r="G466" s="326">
        <f t="shared" si="220"/>
        <v>1</v>
      </c>
      <c r="H466" s="327">
        <f t="shared" si="221"/>
        <v>0</v>
      </c>
      <c r="I466" s="325">
        <f t="shared" si="222"/>
        <v>70061.718444622733</v>
      </c>
      <c r="J466" s="328">
        <f t="shared" si="223"/>
        <v>1.5707820536651158</v>
      </c>
      <c r="K466" s="336">
        <f t="shared" si="213"/>
        <v>13.608619557787305</v>
      </c>
      <c r="L466" s="337">
        <f t="shared" si="214"/>
        <v>1.497247195364753</v>
      </c>
      <c r="M466" s="325">
        <f t="shared" si="224"/>
        <v>1.0512419786420957</v>
      </c>
      <c r="N466" s="337">
        <f t="shared" si="225"/>
        <v>0.31351381907775194</v>
      </c>
      <c r="O466" s="343">
        <f t="shared" si="226"/>
        <v>1.0459870757238852</v>
      </c>
      <c r="P466" s="691">
        <f t="shared" si="227"/>
        <v>0.29762806011845555</v>
      </c>
      <c r="Q466" s="336">
        <f t="shared" si="242"/>
        <v>15.274110560820557</v>
      </c>
      <c r="R466" s="692">
        <f t="shared" si="228"/>
        <v>0.14224156132466112</v>
      </c>
      <c r="S466" s="329">
        <f t="shared" si="229"/>
        <v>0.99594697025853329</v>
      </c>
      <c r="T466" s="330">
        <f t="shared" si="230"/>
        <v>0.43407031785328004</v>
      </c>
      <c r="U466" s="331">
        <f t="shared" si="231"/>
        <v>-2.6506358409205024</v>
      </c>
      <c r="V466" s="332">
        <f t="shared" si="232"/>
        <v>-123.49292681229888</v>
      </c>
      <c r="W466" s="334">
        <f t="shared" si="233"/>
        <v>56.507073187701124</v>
      </c>
      <c r="Y466" s="307">
        <f t="shared" si="234"/>
        <v>52786.5</v>
      </c>
      <c r="Z466" s="307">
        <f t="shared" si="235"/>
        <v>2786414582.25</v>
      </c>
      <c r="AB466" s="333">
        <f t="shared" si="236"/>
        <v>23.039836257040939</v>
      </c>
      <c r="AC466" s="334">
        <f t="shared" si="237"/>
        <v>-22.176255705226662</v>
      </c>
      <c r="AE466" s="333">
        <f t="shared" si="238"/>
        <v>31.577520218719812</v>
      </c>
      <c r="AF466" s="334">
        <f t="shared" si="239"/>
        <v>-110.2196616914445</v>
      </c>
      <c r="AH466">
        <f t="shared" si="240"/>
        <v>0</v>
      </c>
      <c r="AI466">
        <f t="shared" si="215"/>
        <v>0</v>
      </c>
    </row>
    <row r="467" spans="1:35" x14ac:dyDescent="0.2">
      <c r="A467" s="335">
        <v>53092</v>
      </c>
      <c r="B467" s="352">
        <f t="shared" si="241"/>
        <v>53.091999999999999</v>
      </c>
      <c r="C467" s="325">
        <f t="shared" si="216"/>
        <v>67.350286415571759</v>
      </c>
      <c r="D467" s="326">
        <f t="shared" si="217"/>
        <v>1.555948034390132</v>
      </c>
      <c r="E467" s="326">
        <f t="shared" si="218"/>
        <v>1.0022231328894804</v>
      </c>
      <c r="F467" s="327">
        <f t="shared" si="219"/>
        <v>6.6618647356502539E-2</v>
      </c>
      <c r="G467" s="326">
        <f t="shared" si="220"/>
        <v>1</v>
      </c>
      <c r="H467" s="327">
        <f t="shared" si="221"/>
        <v>0</v>
      </c>
      <c r="I467" s="325">
        <f t="shared" si="222"/>
        <v>70467.198159710577</v>
      </c>
      <c r="J467" s="328">
        <f t="shared" si="223"/>
        <v>1.5707821357950251</v>
      </c>
      <c r="K467" s="336">
        <f t="shared" si="213"/>
        <v>13.686954899369825</v>
      </c>
      <c r="L467" s="337">
        <f t="shared" si="214"/>
        <v>1.4976688975106942</v>
      </c>
      <c r="M467" s="325">
        <f t="shared" si="224"/>
        <v>1.0518221596782575</v>
      </c>
      <c r="N467" s="337">
        <f t="shared" si="225"/>
        <v>0.31521075302592871</v>
      </c>
      <c r="O467" s="343">
        <f t="shared" si="226"/>
        <v>1.0465090478095966</v>
      </c>
      <c r="P467" s="691">
        <f t="shared" si="227"/>
        <v>0.29924982754007962</v>
      </c>
      <c r="Q467" s="336">
        <f t="shared" si="242"/>
        <v>15.27584107781527</v>
      </c>
      <c r="R467" s="692">
        <f t="shared" si="228"/>
        <v>0.14305410673030319</v>
      </c>
      <c r="S467" s="329">
        <f t="shared" si="229"/>
        <v>0.99595462958762881</v>
      </c>
      <c r="T467" s="330">
        <f t="shared" si="230"/>
        <v>0.43675121934303729</v>
      </c>
      <c r="U467" s="331">
        <f t="shared" si="231"/>
        <v>-2.7023072298825483</v>
      </c>
      <c r="V467" s="332">
        <f t="shared" si="232"/>
        <v>-123.65626009402807</v>
      </c>
      <c r="W467" s="334">
        <f t="shared" si="233"/>
        <v>56.34373990597193</v>
      </c>
      <c r="Y467" s="307">
        <f t="shared" si="234"/>
        <v>53092</v>
      </c>
      <c r="Z467" s="307">
        <f t="shared" si="235"/>
        <v>2818760464</v>
      </c>
      <c r="AB467" s="333">
        <f t="shared" si="236"/>
        <v>23.034774721673323</v>
      </c>
      <c r="AC467" s="334">
        <f t="shared" si="237"/>
        <v>-22.249325811176291</v>
      </c>
      <c r="AE467" s="333">
        <f t="shared" si="238"/>
        <v>31.527561016555925</v>
      </c>
      <c r="AF467" s="334">
        <f t="shared" si="239"/>
        <v>-110.35628987348183</v>
      </c>
      <c r="AH467">
        <f t="shared" si="240"/>
        <v>0</v>
      </c>
      <c r="AI467">
        <f t="shared" si="215"/>
        <v>0</v>
      </c>
    </row>
    <row r="468" spans="1:35" x14ac:dyDescent="0.2">
      <c r="A468" s="335">
        <v>53397.5</v>
      </c>
      <c r="B468" s="352">
        <f t="shared" si="241"/>
        <v>53.397500000000001</v>
      </c>
      <c r="C468" s="325">
        <f t="shared" si="216"/>
        <v>67.737745721798717</v>
      </c>
      <c r="D468" s="326">
        <f t="shared" si="217"/>
        <v>1.5560329726801165</v>
      </c>
      <c r="E468" s="326">
        <f t="shared" si="218"/>
        <v>1.0022487622492906</v>
      </c>
      <c r="F468" s="327">
        <f t="shared" si="219"/>
        <v>6.7000838956232336E-2</v>
      </c>
      <c r="G468" s="326">
        <f t="shared" si="220"/>
        <v>1</v>
      </c>
      <c r="H468" s="327">
        <f t="shared" si="221"/>
        <v>0</v>
      </c>
      <c r="I468" s="325">
        <f t="shared" si="222"/>
        <v>70872.677874798886</v>
      </c>
      <c r="J468" s="328">
        <f t="shared" si="223"/>
        <v>1.5707822169851644</v>
      </c>
      <c r="K468" s="336">
        <f t="shared" si="213"/>
        <v>13.765292647237622</v>
      </c>
      <c r="L468" s="337">
        <f t="shared" si="214"/>
        <v>1.498085799948879</v>
      </c>
      <c r="M468" s="325">
        <f t="shared" si="224"/>
        <v>1.0524053661809547</v>
      </c>
      <c r="N468" s="337">
        <f t="shared" si="225"/>
        <v>0.31690581108695709</v>
      </c>
      <c r="O468" s="343">
        <f t="shared" si="226"/>
        <v>1.0470337696011471</v>
      </c>
      <c r="P468" s="691">
        <f t="shared" si="227"/>
        <v>0.3008699737193275</v>
      </c>
      <c r="Q468" s="336">
        <f t="shared" si="242"/>
        <v>15.277581383674734</v>
      </c>
      <c r="R468" s="692">
        <f t="shared" si="228"/>
        <v>0.14386647031464248</v>
      </c>
      <c r="S468" s="329">
        <f t="shared" si="229"/>
        <v>0.99596360172969989</v>
      </c>
      <c r="T468" s="330">
        <f t="shared" si="230"/>
        <v>0.43943481922295319</v>
      </c>
      <c r="U468" s="331">
        <f t="shared" si="231"/>
        <v>-2.7537039386258195</v>
      </c>
      <c r="V468" s="332">
        <f t="shared" si="232"/>
        <v>-123.81994272229119</v>
      </c>
      <c r="W468" s="334">
        <f t="shared" si="233"/>
        <v>56.180057277708812</v>
      </c>
      <c r="Y468" s="307">
        <f t="shared" si="234"/>
        <v>53397.5</v>
      </c>
      <c r="Z468" s="307">
        <f t="shared" si="235"/>
        <v>2851293006.25</v>
      </c>
      <c r="AB468" s="333">
        <f t="shared" si="236"/>
        <v>23.029695448192804</v>
      </c>
      <c r="AC468" s="334">
        <f t="shared" si="237"/>
        <v>-22.32256338586215</v>
      </c>
      <c r="AE468" s="333">
        <f t="shared" si="238"/>
        <v>31.477879036646797</v>
      </c>
      <c r="AF468" s="334">
        <f t="shared" si="239"/>
        <v>-110.49301746056436</v>
      </c>
      <c r="AH468">
        <f t="shared" si="240"/>
        <v>0</v>
      </c>
      <c r="AI468">
        <f t="shared" si="215"/>
        <v>0</v>
      </c>
    </row>
    <row r="469" spans="1:35" x14ac:dyDescent="0.2">
      <c r="A469" s="335">
        <v>53703</v>
      </c>
      <c r="B469" s="352">
        <f t="shared" si="241"/>
        <v>53.703000000000003</v>
      </c>
      <c r="C469" s="325">
        <f t="shared" si="216"/>
        <v>68.125205511161667</v>
      </c>
      <c r="D469" s="326">
        <f t="shared" si="217"/>
        <v>1.5561169448034302</v>
      </c>
      <c r="E469" s="326">
        <f t="shared" si="218"/>
        <v>1.0022745380004974</v>
      </c>
      <c r="F469" s="327">
        <f t="shared" si="219"/>
        <v>6.7383010953945083E-2</v>
      </c>
      <c r="G469" s="326">
        <f t="shared" si="220"/>
        <v>1</v>
      </c>
      <c r="H469" s="327">
        <f t="shared" si="221"/>
        <v>0</v>
      </c>
      <c r="I469" s="325">
        <f t="shared" si="222"/>
        <v>71278.157589887676</v>
      </c>
      <c r="J469" s="328">
        <f t="shared" si="223"/>
        <v>1.5707822972515717</v>
      </c>
      <c r="K469" s="336">
        <f t="shared" si="213"/>
        <v>13.843632760540949</v>
      </c>
      <c r="L469" s="337">
        <f t="shared" si="214"/>
        <v>1.4984979840167358</v>
      </c>
      <c r="M469" s="325">
        <f t="shared" si="224"/>
        <v>1.0529915931231619</v>
      </c>
      <c r="N469" s="337">
        <f t="shared" si="225"/>
        <v>0.31859898664531783</v>
      </c>
      <c r="O469" s="343">
        <f t="shared" si="226"/>
        <v>1.0475612369665661</v>
      </c>
      <c r="P469" s="691">
        <f t="shared" si="227"/>
        <v>0.30248849259348654</v>
      </c>
      <c r="Q469" s="336">
        <f t="shared" si="242"/>
        <v>15.279331475057139</v>
      </c>
      <c r="R469" s="692">
        <f t="shared" si="228"/>
        <v>0.14467865111474013</v>
      </c>
      <c r="S469" s="329">
        <f t="shared" si="229"/>
        <v>0.99597390854946555</v>
      </c>
      <c r="T469" s="330">
        <f t="shared" si="230"/>
        <v>0.44212112604608239</v>
      </c>
      <c r="U469" s="331">
        <f t="shared" si="231"/>
        <v>-2.8048295211210479</v>
      </c>
      <c r="V469" s="332">
        <f t="shared" si="232"/>
        <v>-123.98397140808672</v>
      </c>
      <c r="W469" s="334">
        <f t="shared" si="233"/>
        <v>56.016028591913283</v>
      </c>
      <c r="Y469" s="307">
        <f t="shared" si="234"/>
        <v>53703</v>
      </c>
      <c r="Z469" s="307">
        <f t="shared" si="235"/>
        <v>2884012209</v>
      </c>
      <c r="AB469" s="333">
        <f t="shared" si="236"/>
        <v>23.024598412963787</v>
      </c>
      <c r="AC469" s="334">
        <f t="shared" si="237"/>
        <v>-22.395963390870442</v>
      </c>
      <c r="AE469" s="333">
        <f t="shared" si="238"/>
        <v>31.428470811265377</v>
      </c>
      <c r="AF469" s="334">
        <f t="shared" si="239"/>
        <v>-110.62984590990882</v>
      </c>
      <c r="AH469">
        <f t="shared" si="240"/>
        <v>0</v>
      </c>
      <c r="AI469">
        <f t="shared" si="215"/>
        <v>0</v>
      </c>
    </row>
    <row r="470" spans="1:35" x14ac:dyDescent="0.2">
      <c r="A470" s="335">
        <v>54015.75</v>
      </c>
      <c r="B470" s="352">
        <f t="shared" si="241"/>
        <v>54.015749999999997</v>
      </c>
      <c r="C470" s="325">
        <f t="shared" si="216"/>
        <v>68.521860828355841</v>
      </c>
      <c r="D470" s="326">
        <f t="shared" si="217"/>
        <v>1.5562019259976145</v>
      </c>
      <c r="E470" s="326">
        <f t="shared" si="218"/>
        <v>1.0023010770831793</v>
      </c>
      <c r="F470" s="327">
        <f t="shared" si="219"/>
        <v>6.7774232079594598E-2</v>
      </c>
      <c r="G470" s="326">
        <f t="shared" si="220"/>
        <v>1</v>
      </c>
      <c r="H470" s="327">
        <f t="shared" si="221"/>
        <v>0</v>
      </c>
      <c r="I470" s="325">
        <f t="shared" si="222"/>
        <v>71693.259982339892</v>
      </c>
      <c r="J470" s="328">
        <f t="shared" si="223"/>
        <v>1.5707823784823178</v>
      </c>
      <c r="K470" s="336">
        <f t="shared" si="213"/>
        <v>13.923834417721773</v>
      </c>
      <c r="L470" s="337">
        <f t="shared" si="214"/>
        <v>1.4989151452127294</v>
      </c>
      <c r="M470" s="325">
        <f t="shared" si="224"/>
        <v>1.0535948557070196</v>
      </c>
      <c r="N470" s="337">
        <f t="shared" si="225"/>
        <v>0.3203303870564459</v>
      </c>
      <c r="O470" s="343">
        <f t="shared" si="226"/>
        <v>1.0481040617241724</v>
      </c>
      <c r="P470" s="691">
        <f t="shared" si="227"/>
        <v>0.30414372951758462</v>
      </c>
      <c r="Q470" s="336">
        <f t="shared" si="242"/>
        <v>15.281133231996694</v>
      </c>
      <c r="R470" s="692">
        <f t="shared" si="228"/>
        <v>0.14550991590832427</v>
      </c>
      <c r="S470" s="329">
        <f t="shared" si="229"/>
        <v>0.99598586548480361</v>
      </c>
      <c r="T470" s="330">
        <f t="shared" si="230"/>
        <v>0.44487399604262401</v>
      </c>
      <c r="U470" s="331">
        <f t="shared" si="231"/>
        <v>-2.8568911909243817</v>
      </c>
      <c r="V470" s="332">
        <f t="shared" si="232"/>
        <v>-124.15224787399951</v>
      </c>
      <c r="W470" s="334">
        <f t="shared" si="233"/>
        <v>55.847752126000486</v>
      </c>
      <c r="Y470" s="307">
        <f t="shared" si="234"/>
        <v>54015.75</v>
      </c>
      <c r="Z470" s="307">
        <f t="shared" si="235"/>
        <v>2917701248.0625</v>
      </c>
      <c r="AB470" s="333">
        <f t="shared" si="236"/>
        <v>23.019361996517432</v>
      </c>
      <c r="AC470" s="334">
        <f t="shared" si="237"/>
        <v>-22.471268405433197</v>
      </c>
      <c r="AE470" s="333">
        <f t="shared" si="238"/>
        <v>31.378170063734032</v>
      </c>
      <c r="AF470" s="334">
        <f t="shared" si="239"/>
        <v>-110.7700274868277</v>
      </c>
      <c r="AH470">
        <f t="shared" si="240"/>
        <v>0</v>
      </c>
      <c r="AI470">
        <f t="shared" si="215"/>
        <v>0</v>
      </c>
    </row>
    <row r="471" spans="1:35" x14ac:dyDescent="0.2">
      <c r="A471" s="335">
        <v>54328.5</v>
      </c>
      <c r="B471" s="352">
        <f t="shared" si="241"/>
        <v>54.328499999999998</v>
      </c>
      <c r="C471" s="325">
        <f t="shared" si="216"/>
        <v>68.918516634705284</v>
      </c>
      <c r="D471" s="326">
        <f t="shared" si="217"/>
        <v>1.5562859289855042</v>
      </c>
      <c r="E471" s="326">
        <f t="shared" si="218"/>
        <v>1.0023277695638817</v>
      </c>
      <c r="F471" s="327">
        <f t="shared" si="219"/>
        <v>6.8165432428294884E-2</v>
      </c>
      <c r="G471" s="326">
        <f t="shared" si="220"/>
        <v>1</v>
      </c>
      <c r="H471" s="327">
        <f t="shared" si="221"/>
        <v>0</v>
      </c>
      <c r="I471" s="325">
        <f t="shared" si="222"/>
        <v>72108.362374792589</v>
      </c>
      <c r="J471" s="328">
        <f t="shared" si="223"/>
        <v>1.5707824587778303</v>
      </c>
      <c r="K471" s="336">
        <f t="shared" ref="K471:K534" si="243">SQRT(1+(A471/Zero2)^2)</f>
        <v>14.004038470222174</v>
      </c>
      <c r="L471" s="337">
        <f t="shared" ref="L471:L534" si="244">ATAN(A471/Zero2)</f>
        <v>1.4993275281412501</v>
      </c>
      <c r="M471" s="325">
        <f t="shared" si="224"/>
        <v>1.0542012730818027</v>
      </c>
      <c r="N471" s="337">
        <f t="shared" si="225"/>
        <v>0.32205980070990209</v>
      </c>
      <c r="O471" s="343">
        <f t="shared" si="226"/>
        <v>1.0486497551094964</v>
      </c>
      <c r="P471" s="691">
        <f t="shared" si="227"/>
        <v>0.3057972482730979</v>
      </c>
      <c r="Q471" s="336">
        <f t="shared" si="242"/>
        <v>15.282945237279181</v>
      </c>
      <c r="R471" s="692">
        <f t="shared" si="228"/>
        <v>0.14634098710130886</v>
      </c>
      <c r="S471" s="329">
        <f t="shared" si="229"/>
        <v>0.99599926795412297</v>
      </c>
      <c r="T471" s="330">
        <f t="shared" si="230"/>
        <v>0.44762972067430062</v>
      </c>
      <c r="U471" s="331">
        <f t="shared" si="231"/>
        <v>-2.9086760673175922</v>
      </c>
      <c r="V471" s="332">
        <f t="shared" si="232"/>
        <v>-124.32088028125369</v>
      </c>
      <c r="W471" s="334">
        <f t="shared" si="233"/>
        <v>55.679119718746307</v>
      </c>
      <c r="Y471" s="307">
        <f t="shared" si="234"/>
        <v>54328.5</v>
      </c>
      <c r="Z471" s="307">
        <f t="shared" si="235"/>
        <v>2951585912.25</v>
      </c>
      <c r="AB471" s="333">
        <f t="shared" si="236"/>
        <v>23.014106924893927</v>
      </c>
      <c r="AC471" s="334">
        <f t="shared" si="237"/>
        <v>-22.546733308141267</v>
      </c>
      <c r="AE471" s="333">
        <f t="shared" si="238"/>
        <v>31.328149037735855</v>
      </c>
      <c r="AF471" s="334">
        <f t="shared" si="239"/>
        <v>-110.91031776563131</v>
      </c>
      <c r="AH471">
        <f t="shared" si="240"/>
        <v>0</v>
      </c>
      <c r="AI471">
        <f t="shared" si="215"/>
        <v>0</v>
      </c>
    </row>
    <row r="472" spans="1:35" x14ac:dyDescent="0.2">
      <c r="A472" s="335">
        <v>54641.25</v>
      </c>
      <c r="B472" s="352">
        <f t="shared" si="241"/>
        <v>54.641249999999999</v>
      </c>
      <c r="C472" s="325">
        <f t="shared" si="216"/>
        <v>69.315172921812376</v>
      </c>
      <c r="D472" s="326">
        <f t="shared" si="217"/>
        <v>1.5563689705592689</v>
      </c>
      <c r="E472" s="326">
        <f t="shared" si="218"/>
        <v>1.0023546154303502</v>
      </c>
      <c r="F472" s="327">
        <f t="shared" si="219"/>
        <v>6.8556611881973734E-2</v>
      </c>
      <c r="G472" s="326">
        <f t="shared" si="220"/>
        <v>1</v>
      </c>
      <c r="H472" s="327">
        <f t="shared" si="221"/>
        <v>0</v>
      </c>
      <c r="I472" s="325">
        <f t="shared" si="222"/>
        <v>72523.464767245765</v>
      </c>
      <c r="J472" s="328">
        <f t="shared" si="223"/>
        <v>1.5707825381541685</v>
      </c>
      <c r="K472" s="336">
        <f t="shared" si="243"/>
        <v>14.084244877121032</v>
      </c>
      <c r="L472" s="337">
        <f t="shared" si="244"/>
        <v>1.499735214294099</v>
      </c>
      <c r="M472" s="325">
        <f t="shared" si="224"/>
        <v>1.0548108398063842</v>
      </c>
      <c r="N472" s="337">
        <f t="shared" si="225"/>
        <v>0.32378722069632587</v>
      </c>
      <c r="O472" s="343">
        <f t="shared" si="226"/>
        <v>1.0491983126465747</v>
      </c>
      <c r="P472" s="691">
        <f t="shared" si="227"/>
        <v>0.30744904250613719</v>
      </c>
      <c r="Q472" s="336">
        <f t="shared" si="242"/>
        <v>15.284767487263098</v>
      </c>
      <c r="R472" s="692">
        <f t="shared" si="228"/>
        <v>0.14717186366506119</v>
      </c>
      <c r="S472" s="329">
        <f t="shared" si="229"/>
        <v>0.99601413980402276</v>
      </c>
      <c r="T472" s="330">
        <f t="shared" si="230"/>
        <v>0.45038830865523005</v>
      </c>
      <c r="U472" s="331">
        <f t="shared" si="231"/>
        <v>-2.9601877799783911</v>
      </c>
      <c r="V472" s="332">
        <f t="shared" si="232"/>
        <v>-124.48986533903813</v>
      </c>
      <c r="W472" s="334">
        <f t="shared" si="233"/>
        <v>55.510134660961867</v>
      </c>
      <c r="Y472" s="307">
        <f t="shared" si="234"/>
        <v>54641.25</v>
      </c>
      <c r="Z472" s="307">
        <f t="shared" si="235"/>
        <v>2985666201.5625</v>
      </c>
      <c r="AB472" s="333">
        <f t="shared" si="236"/>
        <v>23.008833182389132</v>
      </c>
      <c r="AC472" s="334">
        <f t="shared" si="237"/>
        <v>-22.622353034901316</v>
      </c>
      <c r="AE472" s="333">
        <f t="shared" si="238"/>
        <v>31.278404186902435</v>
      </c>
      <c r="AF472" s="334">
        <f t="shared" si="239"/>
        <v>-111.05071821448732</v>
      </c>
      <c r="AH472">
        <f t="shared" si="240"/>
        <v>0</v>
      </c>
      <c r="AI472">
        <f t="shared" si="215"/>
        <v>0</v>
      </c>
    </row>
    <row r="473" spans="1:35" x14ac:dyDescent="0.2">
      <c r="A473" s="335">
        <v>54954</v>
      </c>
      <c r="B473" s="352">
        <f t="shared" si="241"/>
        <v>54.954000000000001</v>
      </c>
      <c r="C473" s="325">
        <f t="shared" si="216"/>
        <v>69.711829681470704</v>
      </c>
      <c r="D473" s="326">
        <f t="shared" si="217"/>
        <v>1.5564510671289453</v>
      </c>
      <c r="E473" s="326">
        <f t="shared" si="218"/>
        <v>1.0023816146702607</v>
      </c>
      <c r="F473" s="327">
        <f t="shared" si="219"/>
        <v>6.8947770322597232E-2</v>
      </c>
      <c r="G473" s="326">
        <f t="shared" si="220"/>
        <v>1</v>
      </c>
      <c r="H473" s="327">
        <f t="shared" si="221"/>
        <v>0</v>
      </c>
      <c r="I473" s="325">
        <f t="shared" si="222"/>
        <v>72938.567159699378</v>
      </c>
      <c r="J473" s="328">
        <f t="shared" si="223"/>
        <v>1.5707826166270256</v>
      </c>
      <c r="K473" s="336">
        <f t="shared" si="243"/>
        <v>14.164453598422909</v>
      </c>
      <c r="L473" s="337">
        <f t="shared" si="244"/>
        <v>1.5001382833235561</v>
      </c>
      <c r="M473" s="325">
        <f t="shared" si="224"/>
        <v>1.0554235504239817</v>
      </c>
      <c r="N473" s="337">
        <f t="shared" si="225"/>
        <v>0.32551264016986986</v>
      </c>
      <c r="O473" s="343">
        <f t="shared" si="226"/>
        <v>1.0497497298453311</v>
      </c>
      <c r="P473" s="691">
        <f t="shared" si="227"/>
        <v>0.30909910591370121</v>
      </c>
      <c r="Q473" s="336">
        <f t="shared" si="242"/>
        <v>15.286599978288081</v>
      </c>
      <c r="R473" s="692">
        <f t="shared" si="228"/>
        <v>0.14800254457248058</v>
      </c>
      <c r="S473" s="329">
        <f t="shared" si="229"/>
        <v>0.99603050501125168</v>
      </c>
      <c r="T473" s="330">
        <f t="shared" si="230"/>
        <v>0.45314976854071237</v>
      </c>
      <c r="U473" s="331">
        <f t="shared" si="231"/>
        <v>-3.0114298996311679</v>
      </c>
      <c r="V473" s="332">
        <f t="shared" si="232"/>
        <v>-124.65919983173252</v>
      </c>
      <c r="W473" s="334">
        <f t="shared" si="233"/>
        <v>55.340800168267478</v>
      </c>
      <c r="Y473" s="307">
        <f t="shared" si="234"/>
        <v>54954</v>
      </c>
      <c r="Z473" s="307">
        <f t="shared" si="235"/>
        <v>3019942116</v>
      </c>
      <c r="AB473" s="333">
        <f t="shared" si="236"/>
        <v>23.003540756341081</v>
      </c>
      <c r="AC473" s="334">
        <f t="shared" si="237"/>
        <v>-22.698122630634831</v>
      </c>
      <c r="AE473" s="333">
        <f t="shared" si="238"/>
        <v>31.228932020916215</v>
      </c>
      <c r="AF473" s="334">
        <f t="shared" si="239"/>
        <v>-111.19123027056702</v>
      </c>
      <c r="AH473">
        <f t="shared" si="240"/>
        <v>0</v>
      </c>
      <c r="AI473">
        <f t="shared" si="215"/>
        <v>0</v>
      </c>
    </row>
    <row r="474" spans="1:35" x14ac:dyDescent="0.2">
      <c r="A474" s="335">
        <v>55274</v>
      </c>
      <c r="B474" s="352">
        <f t="shared" si="241"/>
        <v>55.274000000000001</v>
      </c>
      <c r="C474" s="325">
        <f t="shared" si="216"/>
        <v>70.117682002633501</v>
      </c>
      <c r="D474" s="326">
        <f t="shared" si="217"/>
        <v>1.5565341054254938</v>
      </c>
      <c r="E474" s="326">
        <f t="shared" si="218"/>
        <v>1.002409398526686</v>
      </c>
      <c r="F474" s="327">
        <f t="shared" si="219"/>
        <v>6.9347974512500923E-2</v>
      </c>
      <c r="G474" s="326">
        <f t="shared" si="220"/>
        <v>1</v>
      </c>
      <c r="H474" s="327">
        <f t="shared" si="221"/>
        <v>0</v>
      </c>
      <c r="I474" s="325">
        <f t="shared" si="222"/>
        <v>73363.292229516475</v>
      </c>
      <c r="J474" s="328">
        <f t="shared" si="223"/>
        <v>1.5707826959998541</v>
      </c>
      <c r="K474" s="336">
        <f t="shared" si="243"/>
        <v>14.246524029303758</v>
      </c>
      <c r="L474" s="337">
        <f t="shared" si="244"/>
        <v>1.5005459983730012</v>
      </c>
      <c r="M474" s="325">
        <f t="shared" si="224"/>
        <v>1.056053712915018</v>
      </c>
      <c r="N474" s="337">
        <f t="shared" si="225"/>
        <v>0.32727597969054112</v>
      </c>
      <c r="O474" s="343">
        <f t="shared" si="226"/>
        <v>1.0503168848657334</v>
      </c>
      <c r="P474" s="691">
        <f t="shared" si="227"/>
        <v>0.31078562219564104</v>
      </c>
      <c r="Q474" s="336">
        <f t="shared" si="242"/>
        <v>15.288485545179446</v>
      </c>
      <c r="R474" s="692">
        <f t="shared" si="228"/>
        <v>0.14885227828984623</v>
      </c>
      <c r="S474" s="329">
        <f t="shared" si="229"/>
        <v>0.99604882041849607</v>
      </c>
      <c r="T474" s="330">
        <f t="shared" si="230"/>
        <v>0.45597822437777236</v>
      </c>
      <c r="U474" s="331">
        <f t="shared" si="231"/>
        <v>-3.0635845104028245</v>
      </c>
      <c r="V474" s="332">
        <f t="shared" si="232"/>
        <v>-124.83281814605262</v>
      </c>
      <c r="W474" s="334">
        <f t="shared" si="233"/>
        <v>55.167181853947383</v>
      </c>
      <c r="Y474" s="307">
        <f t="shared" si="234"/>
        <v>55274</v>
      </c>
      <c r="Z474" s="307">
        <f t="shared" si="235"/>
        <v>3055215076</v>
      </c>
      <c r="AB474" s="333">
        <f t="shared" si="236"/>
        <v>22.998106295804639</v>
      </c>
      <c r="AC474" s="334">
        <f t="shared" si="237"/>
        <v>-22.775798739257592</v>
      </c>
      <c r="AE474" s="333">
        <f t="shared" si="238"/>
        <v>31.178591675017813</v>
      </c>
      <c r="AF474" s="334">
        <f t="shared" si="239"/>
        <v>-111.33511658563935</v>
      </c>
      <c r="AH474">
        <f t="shared" si="240"/>
        <v>0</v>
      </c>
      <c r="AI474">
        <f t="shared" ref="AI474:AI537" si="245">IF(AH474&gt;0,W474,0)</f>
        <v>0</v>
      </c>
    </row>
    <row r="475" spans="1:35" x14ac:dyDescent="0.2">
      <c r="A475" s="335">
        <v>55594</v>
      </c>
      <c r="B475" s="352">
        <f t="shared" si="241"/>
        <v>55.594000000000001</v>
      </c>
      <c r="C475" s="325">
        <f t="shared" si="216"/>
        <v>70.523534801718057</v>
      </c>
      <c r="D475" s="326">
        <f t="shared" si="217"/>
        <v>1.556616187975697</v>
      </c>
      <c r="E475" s="326">
        <f t="shared" si="218"/>
        <v>1.0024373429234879</v>
      </c>
      <c r="F475" s="327">
        <f t="shared" si="219"/>
        <v>6.9748156453950133E-2</v>
      </c>
      <c r="G475" s="326">
        <f t="shared" si="220"/>
        <v>1</v>
      </c>
      <c r="H475" s="327">
        <f t="shared" si="221"/>
        <v>0</v>
      </c>
      <c r="I475" s="325">
        <f t="shared" si="222"/>
        <v>73788.017299334053</v>
      </c>
      <c r="J475" s="328">
        <f t="shared" si="223"/>
        <v>1.5707827744589398</v>
      </c>
      <c r="K475" s="336">
        <f t="shared" si="243"/>
        <v>14.328596801277213</v>
      </c>
      <c r="L475" s="337">
        <f t="shared" si="244"/>
        <v>1.5009490427866092</v>
      </c>
      <c r="M475" s="325">
        <f t="shared" si="224"/>
        <v>1.056687155141429</v>
      </c>
      <c r="N475" s="337">
        <f t="shared" si="225"/>
        <v>0.3290372105772319</v>
      </c>
      <c r="O475" s="343">
        <f t="shared" si="226"/>
        <v>1.0508870241119272</v>
      </c>
      <c r="P475" s="691">
        <f t="shared" si="227"/>
        <v>0.3124703132888883</v>
      </c>
      <c r="Q475" s="336">
        <f t="shared" si="242"/>
        <v>15.290381825606516</v>
      </c>
      <c r="R475" s="692">
        <f t="shared" si="228"/>
        <v>0.1497018050040122</v>
      </c>
      <c r="S475" s="329">
        <f t="shared" si="229"/>
        <v>0.99606875042201537</v>
      </c>
      <c r="T475" s="330">
        <f t="shared" si="230"/>
        <v>0.45880970441787516</v>
      </c>
      <c r="U475" s="331">
        <f t="shared" si="231"/>
        <v>-3.1154642641554298</v>
      </c>
      <c r="V475" s="332">
        <f t="shared" si="232"/>
        <v>-125.00679570369361</v>
      </c>
      <c r="W475" s="334">
        <f t="shared" si="233"/>
        <v>54.993204296306388</v>
      </c>
      <c r="Y475" s="307">
        <f t="shared" si="234"/>
        <v>55594</v>
      </c>
      <c r="Z475" s="307">
        <f t="shared" si="235"/>
        <v>3090692836</v>
      </c>
      <c r="AB475" s="333">
        <f t="shared" si="236"/>
        <v>22.992652257963311</v>
      </c>
      <c r="AC475" s="334">
        <f t="shared" si="237"/>
        <v>-22.853621587420388</v>
      </c>
      <c r="AE475" s="333">
        <f t="shared" si="238"/>
        <v>31.12852958440623</v>
      </c>
      <c r="AF475" s="334">
        <f t="shared" si="239"/>
        <v>-111.47912268929323</v>
      </c>
      <c r="AH475">
        <f t="shared" si="240"/>
        <v>0</v>
      </c>
      <c r="AI475">
        <f t="shared" si="245"/>
        <v>0</v>
      </c>
    </row>
    <row r="476" spans="1:35" x14ac:dyDescent="0.2">
      <c r="A476" s="335">
        <v>55914</v>
      </c>
      <c r="B476" s="352">
        <f t="shared" si="241"/>
        <v>55.914000000000001</v>
      </c>
      <c r="C476" s="325">
        <f t="shared" si="216"/>
        <v>70.929388070520503</v>
      </c>
      <c r="D476" s="326">
        <f t="shared" si="217"/>
        <v>1.5566973311845917</v>
      </c>
      <c r="E476" s="326">
        <f t="shared" si="218"/>
        <v>1.0024654478472406</v>
      </c>
      <c r="F476" s="327">
        <f t="shared" si="219"/>
        <v>7.0148316020636009E-2</v>
      </c>
      <c r="G476" s="326">
        <f t="shared" si="220"/>
        <v>1</v>
      </c>
      <c r="H476" s="327">
        <f t="shared" si="221"/>
        <v>0</v>
      </c>
      <c r="I476" s="325">
        <f t="shared" si="222"/>
        <v>74212.742369152067</v>
      </c>
      <c r="J476" s="328">
        <f t="shared" si="223"/>
        <v>1.5707828520199711</v>
      </c>
      <c r="K476" s="336">
        <f t="shared" si="243"/>
        <v>14.410671874343757</v>
      </c>
      <c r="L476" s="337">
        <f t="shared" si="244"/>
        <v>1.5013474962362396</v>
      </c>
      <c r="M476" s="325">
        <f t="shared" si="224"/>
        <v>1.0573238712085506</v>
      </c>
      <c r="N476" s="337">
        <f t="shared" si="225"/>
        <v>0.3307963257031919</v>
      </c>
      <c r="O476" s="343">
        <f t="shared" si="226"/>
        <v>1.051460142729451</v>
      </c>
      <c r="P476" s="691">
        <f t="shared" si="227"/>
        <v>0.31415317260736719</v>
      </c>
      <c r="Q476" s="336">
        <f t="shared" si="242"/>
        <v>15.292288815587403</v>
      </c>
      <c r="R476" s="692">
        <f t="shared" si="228"/>
        <v>0.15055112361980677</v>
      </c>
      <c r="S476" s="329">
        <f t="shared" si="229"/>
        <v>0.99609032112560025</v>
      </c>
      <c r="T476" s="330">
        <f t="shared" si="230"/>
        <v>0.46164421729937272</v>
      </c>
      <c r="U476" s="331">
        <f t="shared" si="231"/>
        <v>-3.1670728030201629</v>
      </c>
      <c r="V476" s="332">
        <f t="shared" si="232"/>
        <v>-125.1811292890835</v>
      </c>
      <c r="W476" s="334">
        <f t="shared" si="233"/>
        <v>54.818870710916499</v>
      </c>
      <c r="Y476" s="307">
        <f t="shared" si="234"/>
        <v>55914</v>
      </c>
      <c r="Z476" s="307">
        <f t="shared" si="235"/>
        <v>3126375396</v>
      </c>
      <c r="AB476" s="333">
        <f t="shared" si="236"/>
        <v>22.987178638495848</v>
      </c>
      <c r="AC476" s="334">
        <f t="shared" si="237"/>
        <v>-22.931586202828107</v>
      </c>
      <c r="AE476" s="333">
        <f t="shared" si="238"/>
        <v>31.07874218427089</v>
      </c>
      <c r="AF476" s="334">
        <f t="shared" si="239"/>
        <v>-111.62325002364615</v>
      </c>
      <c r="AH476">
        <f t="shared" si="240"/>
        <v>0</v>
      </c>
      <c r="AI476">
        <f t="shared" si="245"/>
        <v>0</v>
      </c>
    </row>
    <row r="477" spans="1:35" x14ac:dyDescent="0.2">
      <c r="A477" s="335">
        <v>56234</v>
      </c>
      <c r="B477" s="352">
        <f t="shared" si="241"/>
        <v>56.234000000000002</v>
      </c>
      <c r="C477" s="325">
        <f t="shared" si="216"/>
        <v>71.335241801023614</v>
      </c>
      <c r="D477" s="326">
        <f t="shared" si="217"/>
        <v>1.5567775510839259</v>
      </c>
      <c r="E477" s="326">
        <f t="shared" si="218"/>
        <v>1.0024937132844429</v>
      </c>
      <c r="F477" s="327">
        <f t="shared" si="219"/>
        <v>7.0548453086292609E-2</v>
      </c>
      <c r="G477" s="326">
        <f t="shared" si="220"/>
        <v>1</v>
      </c>
      <c r="H477" s="327">
        <f t="shared" si="221"/>
        <v>0</v>
      </c>
      <c r="I477" s="325">
        <f t="shared" si="222"/>
        <v>74637.467438970503</v>
      </c>
      <c r="J477" s="328">
        <f t="shared" si="223"/>
        <v>1.5707829286982791</v>
      </c>
      <c r="K477" s="336">
        <f t="shared" si="243"/>
        <v>14.492749209408865</v>
      </c>
      <c r="L477" s="337">
        <f t="shared" si="244"/>
        <v>1.5017414365948241</v>
      </c>
      <c r="M477" s="325">
        <f t="shared" si="224"/>
        <v>1.0579638552054811</v>
      </c>
      <c r="N477" s="337">
        <f t="shared" si="225"/>
        <v>0.33255331801116023</v>
      </c>
      <c r="O477" s="343">
        <f t="shared" si="226"/>
        <v>1.0520362358490818</v>
      </c>
      <c r="P477" s="691">
        <f t="shared" si="227"/>
        <v>0.31583419362081661</v>
      </c>
      <c r="Q477" s="336">
        <f t="shared" si="242"/>
        <v>15.294206511119713</v>
      </c>
      <c r="R477" s="692">
        <f t="shared" si="228"/>
        <v>0.15140023304376815</v>
      </c>
      <c r="S477" s="329">
        <f t="shared" si="229"/>
        <v>0.99611355877400165</v>
      </c>
      <c r="T477" s="330">
        <f t="shared" si="230"/>
        <v>0.46448177148009379</v>
      </c>
      <c r="U477" s="331">
        <f t="shared" si="231"/>
        <v>-3.2184137103986781</v>
      </c>
      <c r="V477" s="332">
        <f t="shared" si="232"/>
        <v>-125.35581575884859</v>
      </c>
      <c r="W477" s="334">
        <f t="shared" si="233"/>
        <v>54.644184241151407</v>
      </c>
      <c r="Y477" s="307">
        <f t="shared" si="234"/>
        <v>56234</v>
      </c>
      <c r="Z477" s="307">
        <f t="shared" si="235"/>
        <v>3162262756</v>
      </c>
      <c r="AB477" s="333">
        <f t="shared" si="236"/>
        <v>22.98168543599138</v>
      </c>
      <c r="AC477" s="334">
        <f t="shared" si="237"/>
        <v>-23.009687720217553</v>
      </c>
      <c r="AE477" s="333">
        <f t="shared" si="238"/>
        <v>31.029225965759309</v>
      </c>
      <c r="AF477" s="334">
        <f t="shared" si="239"/>
        <v>-111.76749999908193</v>
      </c>
      <c r="AH477">
        <f t="shared" si="240"/>
        <v>0</v>
      </c>
      <c r="AI477">
        <f t="shared" si="245"/>
        <v>0</v>
      </c>
    </row>
    <row r="478" spans="1:35" x14ac:dyDescent="0.2">
      <c r="A478" s="335">
        <v>56561.5</v>
      </c>
      <c r="B478" s="352">
        <f t="shared" si="241"/>
        <v>56.561500000000002</v>
      </c>
      <c r="C478" s="325">
        <f t="shared" si="216"/>
        <v>71.750608198218814</v>
      </c>
      <c r="D478" s="326">
        <f t="shared" si="217"/>
        <v>1.5568587114626624</v>
      </c>
      <c r="E478" s="326">
        <f t="shared" si="218"/>
        <v>1.0025228073792487</v>
      </c>
      <c r="F478" s="327">
        <f t="shared" si="219"/>
        <v>7.0957944934448347E-2</v>
      </c>
      <c r="G478" s="326">
        <f t="shared" si="220"/>
        <v>1</v>
      </c>
      <c r="H478" s="327">
        <f t="shared" si="221"/>
        <v>0</v>
      </c>
      <c r="I478" s="325">
        <f t="shared" si="222"/>
        <v>75072.147002613288</v>
      </c>
      <c r="J478" s="328">
        <f t="shared" si="223"/>
        <v>1.5707830062753703</v>
      </c>
      <c r="K478" s="336">
        <f t="shared" si="243"/>
        <v>14.576752534284966</v>
      </c>
      <c r="L478" s="337">
        <f t="shared" si="244"/>
        <v>1.5021400163635148</v>
      </c>
      <c r="M478" s="325">
        <f t="shared" si="224"/>
        <v>1.0586222163579226</v>
      </c>
      <c r="N478" s="337">
        <f t="shared" si="225"/>
        <v>0.33434928450348533</v>
      </c>
      <c r="O478" s="343">
        <f t="shared" si="226"/>
        <v>1.0526289059461813</v>
      </c>
      <c r="P478" s="691">
        <f t="shared" si="227"/>
        <v>0.31755270337055047</v>
      </c>
      <c r="Q478" s="336">
        <f t="shared" si="242"/>
        <v>15.296180233301854</v>
      </c>
      <c r="R478" s="692">
        <f t="shared" si="228"/>
        <v>0.15226902572691756</v>
      </c>
      <c r="S478" s="329">
        <f t="shared" si="229"/>
        <v>0.99613909459538241</v>
      </c>
      <c r="T478" s="330">
        <f t="shared" si="230"/>
        <v>0.46738898852684535</v>
      </c>
      <c r="U478" s="331">
        <f t="shared" si="231"/>
        <v>-3.2706844855443853</v>
      </c>
      <c r="V478" s="332">
        <f t="shared" si="232"/>
        <v>-125.53495862323783</v>
      </c>
      <c r="W478" s="334">
        <f t="shared" si="233"/>
        <v>54.465041376762173</v>
      </c>
      <c r="Y478" s="307">
        <f t="shared" si="234"/>
        <v>56561.5</v>
      </c>
      <c r="Z478" s="307">
        <f t="shared" si="235"/>
        <v>3199203282.25</v>
      </c>
      <c r="AB478" s="333">
        <f t="shared" si="236"/>
        <v>22.976043211151428</v>
      </c>
      <c r="AC478" s="334">
        <f t="shared" si="237"/>
        <v>-23.08975652676083</v>
      </c>
      <c r="AE478" s="333">
        <f t="shared" si="238"/>
        <v>30.97882639653146</v>
      </c>
      <c r="AF478" s="334">
        <f t="shared" si="239"/>
        <v>-111.91525925867907</v>
      </c>
      <c r="AH478">
        <f t="shared" si="240"/>
        <v>0</v>
      </c>
      <c r="AI478">
        <f t="shared" si="245"/>
        <v>0</v>
      </c>
    </row>
    <row r="479" spans="1:35" x14ac:dyDescent="0.2">
      <c r="A479" s="335">
        <v>56889</v>
      </c>
      <c r="B479" s="352">
        <f t="shared" si="241"/>
        <v>56.889000000000003</v>
      </c>
      <c r="C479" s="325">
        <f t="shared" si="216"/>
        <v>72.165975062595209</v>
      </c>
      <c r="D479" s="326">
        <f t="shared" si="217"/>
        <v>1.5569389375697256</v>
      </c>
      <c r="E479" s="326">
        <f t="shared" si="218"/>
        <v>1.0025520695708885</v>
      </c>
      <c r="F479" s="327">
        <f t="shared" si="219"/>
        <v>7.1367412947009254E-2</v>
      </c>
      <c r="G479" s="326">
        <f t="shared" si="220"/>
        <v>1</v>
      </c>
      <c r="H479" s="327">
        <f t="shared" si="221"/>
        <v>0</v>
      </c>
      <c r="I479" s="325">
        <f t="shared" si="222"/>
        <v>75506.82656625651</v>
      </c>
      <c r="J479" s="328">
        <f t="shared" si="223"/>
        <v>1.5707830829592659</v>
      </c>
      <c r="K479" s="336">
        <f t="shared" si="243"/>
        <v>14.660758148371194</v>
      </c>
      <c r="L479" s="337">
        <f t="shared" si="244"/>
        <v>1.5025340284988786</v>
      </c>
      <c r="M479" s="325">
        <f t="shared" si="224"/>
        <v>1.0592839878408604</v>
      </c>
      <c r="N479" s="337">
        <f t="shared" si="225"/>
        <v>0.33614301277022579</v>
      </c>
      <c r="O479" s="343">
        <f t="shared" si="226"/>
        <v>1.0532246812427046</v>
      </c>
      <c r="P479" s="691">
        <f t="shared" si="227"/>
        <v>0.31926927397373805</v>
      </c>
      <c r="Q479" s="336">
        <f t="shared" si="242"/>
        <v>15.298165160190647</v>
      </c>
      <c r="R479" s="692">
        <f t="shared" si="228"/>
        <v>0.1531375969854929</v>
      </c>
      <c r="S479" s="329">
        <f t="shared" si="229"/>
        <v>0.99616643248861803</v>
      </c>
      <c r="T479" s="330">
        <f t="shared" si="230"/>
        <v>0.47029940844365736</v>
      </c>
      <c r="U479" s="331">
        <f t="shared" si="231"/>
        <v>-3.3226823491131423</v>
      </c>
      <c r="V479" s="332">
        <f t="shared" si="232"/>
        <v>-125.71446466669491</v>
      </c>
      <c r="W479" s="334">
        <f t="shared" si="233"/>
        <v>54.285535333305091</v>
      </c>
      <c r="Y479" s="307">
        <f t="shared" si="234"/>
        <v>56889</v>
      </c>
      <c r="Z479" s="307">
        <f t="shared" si="235"/>
        <v>3236358321</v>
      </c>
      <c r="AB479" s="333">
        <f t="shared" si="236"/>
        <v>22.970380480493603</v>
      </c>
      <c r="AC479" s="334">
        <f t="shared" si="237"/>
        <v>-23.169958747360312</v>
      </c>
      <c r="AE479" s="333">
        <f t="shared" si="238"/>
        <v>30.928703606889414</v>
      </c>
      <c r="AF479" s="334">
        <f t="shared" si="239"/>
        <v>-112.06314986506835</v>
      </c>
      <c r="AH479">
        <f t="shared" si="240"/>
        <v>0</v>
      </c>
      <c r="AI479">
        <f t="shared" si="245"/>
        <v>0</v>
      </c>
    </row>
    <row r="480" spans="1:35" x14ac:dyDescent="0.2">
      <c r="A480" s="335">
        <v>57216.5</v>
      </c>
      <c r="B480" s="352">
        <f t="shared" si="241"/>
        <v>57.216500000000003</v>
      </c>
      <c r="C480" s="325">
        <f t="shared" si="216"/>
        <v>72.581342386132121</v>
      </c>
      <c r="D480" s="326">
        <f t="shared" si="217"/>
        <v>1.5570182454439776</v>
      </c>
      <c r="E480" s="326">
        <f t="shared" si="218"/>
        <v>1.002581499844643</v>
      </c>
      <c r="F480" s="327">
        <f t="shared" si="219"/>
        <v>7.1776856988762308E-2</v>
      </c>
      <c r="G480" s="326">
        <f t="shared" si="220"/>
        <v>1</v>
      </c>
      <c r="H480" s="327">
        <f t="shared" si="221"/>
        <v>0</v>
      </c>
      <c r="I480" s="325">
        <f t="shared" si="222"/>
        <v>75941.506129900154</v>
      </c>
      <c r="J480" s="328">
        <f t="shared" si="223"/>
        <v>1.5707831587653041</v>
      </c>
      <c r="K480" s="336">
        <f t="shared" si="243"/>
        <v>14.744766012540477</v>
      </c>
      <c r="L480" s="337">
        <f t="shared" si="244"/>
        <v>1.5029235509493841</v>
      </c>
      <c r="M480" s="325">
        <f t="shared" si="224"/>
        <v>1.0599491632666498</v>
      </c>
      <c r="N480" s="337">
        <f t="shared" si="225"/>
        <v>0.33793449547198162</v>
      </c>
      <c r="O480" s="343">
        <f t="shared" si="226"/>
        <v>1.0538235564721126</v>
      </c>
      <c r="P480" s="691">
        <f t="shared" si="227"/>
        <v>0.32098389861170962</v>
      </c>
      <c r="Q480" s="336">
        <f t="shared" si="242"/>
        <v>15.300161287429226</v>
      </c>
      <c r="R480" s="692">
        <f t="shared" si="228"/>
        <v>0.15400594565294642</v>
      </c>
      <c r="S480" s="329">
        <f t="shared" si="229"/>
        <v>0.99619560104300131</v>
      </c>
      <c r="T480" s="330">
        <f t="shared" si="230"/>
        <v>0.4732130396989554</v>
      </c>
      <c r="U480" s="331">
        <f t="shared" si="231"/>
        <v>-3.3744109602265597</v>
      </c>
      <c r="V480" s="332">
        <f t="shared" si="232"/>
        <v>-125.89433073921781</v>
      </c>
      <c r="W480" s="334">
        <f t="shared" si="233"/>
        <v>54.105669260782193</v>
      </c>
      <c r="Y480" s="307">
        <f t="shared" si="234"/>
        <v>57216.5</v>
      </c>
      <c r="Z480" s="307">
        <f t="shared" si="235"/>
        <v>3273727872.25</v>
      </c>
      <c r="AB480" s="333">
        <f t="shared" si="236"/>
        <v>22.96469725135146</v>
      </c>
      <c r="AC480" s="334">
        <f t="shared" si="237"/>
        <v>-23.250289496259889</v>
      </c>
      <c r="AE480" s="333">
        <f t="shared" si="238"/>
        <v>30.878854009209228</v>
      </c>
      <c r="AF480" s="334">
        <f t="shared" si="239"/>
        <v>-112.21117323016104</v>
      </c>
      <c r="AH480">
        <f t="shared" si="240"/>
        <v>0</v>
      </c>
      <c r="AI480">
        <f t="shared" si="245"/>
        <v>0</v>
      </c>
    </row>
    <row r="481" spans="1:35" x14ac:dyDescent="0.2">
      <c r="A481" s="335">
        <v>57544</v>
      </c>
      <c r="B481" s="352">
        <f t="shared" si="241"/>
        <v>57.543999999999997</v>
      </c>
      <c r="C481" s="325">
        <f t="shared" si="216"/>
        <v>72.996710160991341</v>
      </c>
      <c r="D481" s="326">
        <f t="shared" si="217"/>
        <v>1.5570966507592692</v>
      </c>
      <c r="E481" s="326">
        <f t="shared" si="218"/>
        <v>1.0026110981857113</v>
      </c>
      <c r="F481" s="327">
        <f t="shared" si="219"/>
        <v>7.2186276924542436E-2</v>
      </c>
      <c r="G481" s="326">
        <f t="shared" si="220"/>
        <v>1</v>
      </c>
      <c r="H481" s="327">
        <f t="shared" si="221"/>
        <v>0</v>
      </c>
      <c r="I481" s="325">
        <f t="shared" si="222"/>
        <v>76376.185693544248</v>
      </c>
      <c r="J481" s="328">
        <f t="shared" si="223"/>
        <v>1.5707832337084726</v>
      </c>
      <c r="K481" s="336">
        <f t="shared" si="243"/>
        <v>14.828776088551354</v>
      </c>
      <c r="L481" s="337">
        <f t="shared" si="244"/>
        <v>1.5033086599026024</v>
      </c>
      <c r="M481" s="325">
        <f t="shared" si="224"/>
        <v>1.0606177362308555</v>
      </c>
      <c r="N481" s="337">
        <f t="shared" si="225"/>
        <v>0.33972372534537254</v>
      </c>
      <c r="O481" s="343">
        <f t="shared" si="226"/>
        <v>1.0544255263524585</v>
      </c>
      <c r="P481" s="691">
        <f t="shared" si="227"/>
        <v>0.32269657052701428</v>
      </c>
      <c r="Q481" s="336">
        <f t="shared" si="242"/>
        <v>15.302168610638411</v>
      </c>
      <c r="R481" s="692">
        <f t="shared" si="228"/>
        <v>0.15487407056464042</v>
      </c>
      <c r="S481" s="329">
        <f t="shared" si="229"/>
        <v>0.99622662900039927</v>
      </c>
      <c r="T481" s="330">
        <f t="shared" si="230"/>
        <v>0.4761298905558134</v>
      </c>
      <c r="U481" s="331">
        <f t="shared" si="231"/>
        <v>-3.4258739194375516</v>
      </c>
      <c r="V481" s="332">
        <f t="shared" si="232"/>
        <v>-126.07455375995153</v>
      </c>
      <c r="W481" s="334">
        <f t="shared" si="233"/>
        <v>53.925446240048473</v>
      </c>
      <c r="Y481" s="307">
        <f t="shared" si="234"/>
        <v>57544</v>
      </c>
      <c r="Z481" s="307">
        <f t="shared" si="235"/>
        <v>3311311936</v>
      </c>
      <c r="AB481" s="333">
        <f t="shared" si="236"/>
        <v>22.958993533843373</v>
      </c>
      <c r="AC481" s="334">
        <f t="shared" si="237"/>
        <v>-23.330743992930994</v>
      </c>
      <c r="AE481" s="333">
        <f t="shared" si="238"/>
        <v>30.829274071787598</v>
      </c>
      <c r="AF481" s="334">
        <f t="shared" si="239"/>
        <v>-112.35933073318628</v>
      </c>
      <c r="AH481">
        <f t="shared" si="240"/>
        <v>0</v>
      </c>
      <c r="AI481">
        <f t="shared" si="245"/>
        <v>0</v>
      </c>
    </row>
    <row r="482" spans="1:35" x14ac:dyDescent="0.2">
      <c r="A482" s="335">
        <v>57879</v>
      </c>
      <c r="B482" s="352">
        <f t="shared" si="241"/>
        <v>57.878999999999998</v>
      </c>
      <c r="C482" s="325">
        <f t="shared" si="216"/>
        <v>73.421590633928162</v>
      </c>
      <c r="D482" s="326">
        <f t="shared" si="217"/>
        <v>1.5571759337848958</v>
      </c>
      <c r="E482" s="326">
        <f t="shared" si="218"/>
        <v>1.002641548220556</v>
      </c>
      <c r="F482" s="327">
        <f t="shared" si="219"/>
        <v>7.2605047808163903E-2</v>
      </c>
      <c r="G482" s="326">
        <f t="shared" si="220"/>
        <v>1</v>
      </c>
      <c r="H482" s="327">
        <f t="shared" si="221"/>
        <v>0</v>
      </c>
      <c r="I482" s="325">
        <f t="shared" si="222"/>
        <v>76820.819751012692</v>
      </c>
      <c r="J482" s="328">
        <f t="shared" si="223"/>
        <v>1.5707833094904307</v>
      </c>
      <c r="K482" s="336">
        <f t="shared" si="243"/>
        <v>14.914712308868785</v>
      </c>
      <c r="L482" s="337">
        <f t="shared" si="244"/>
        <v>1.5036980995136571</v>
      </c>
      <c r="M482" s="325">
        <f t="shared" si="224"/>
        <v>1.0613051284709374</v>
      </c>
      <c r="N482" s="337">
        <f t="shared" si="225"/>
        <v>0.34155159164982635</v>
      </c>
      <c r="O482" s="343">
        <f t="shared" si="226"/>
        <v>1.0550444780473791</v>
      </c>
      <c r="P482" s="691">
        <f t="shared" si="227"/>
        <v>0.32444643664304218</v>
      </c>
      <c r="Q482" s="336">
        <f t="shared" si="242"/>
        <v>15.304233481993569</v>
      </c>
      <c r="R482" s="692">
        <f t="shared" si="228"/>
        <v>0.15576184348666655</v>
      </c>
      <c r="S482" s="329">
        <f t="shared" si="229"/>
        <v>0.99626032140802556</v>
      </c>
      <c r="T482" s="330">
        <f t="shared" si="230"/>
        <v>0.47911687896379829</v>
      </c>
      <c r="U482" s="331">
        <f t="shared" si="231"/>
        <v>-3.4782442663475828</v>
      </c>
      <c r="V482" s="332">
        <f t="shared" si="232"/>
        <v>-126.25927018702943</v>
      </c>
      <c r="W482" s="334">
        <f t="shared" si="233"/>
        <v>53.740729812970571</v>
      </c>
      <c r="Y482" s="307">
        <f t="shared" si="234"/>
        <v>57879</v>
      </c>
      <c r="Z482" s="307">
        <f t="shared" si="235"/>
        <v>3349978641</v>
      </c>
      <c r="AB482" s="333">
        <f t="shared" si="236"/>
        <v>22.953138012682679</v>
      </c>
      <c r="AC482" s="334">
        <f t="shared" si="237"/>
        <v>-23.413164113682271</v>
      </c>
      <c r="AE482" s="333">
        <f t="shared" si="238"/>
        <v>30.778834085496829</v>
      </c>
      <c r="AF482" s="334">
        <f t="shared" si="239"/>
        <v>-112.51102134113262</v>
      </c>
      <c r="AH482">
        <f t="shared" si="240"/>
        <v>0</v>
      </c>
      <c r="AI482">
        <f t="shared" si="245"/>
        <v>0</v>
      </c>
    </row>
    <row r="483" spans="1:35" x14ac:dyDescent="0.2">
      <c r="A483" s="335">
        <v>58214</v>
      </c>
      <c r="B483" s="352">
        <f t="shared" si="241"/>
        <v>58.213999999999999</v>
      </c>
      <c r="C483" s="325">
        <f t="shared" si="216"/>
        <v>73.846471563067581</v>
      </c>
      <c r="D483" s="326">
        <f t="shared" si="217"/>
        <v>1.5572543044899505</v>
      </c>
      <c r="E483" s="326">
        <f t="shared" si="218"/>
        <v>1.0026721740770017</v>
      </c>
      <c r="F483" s="327">
        <f t="shared" si="219"/>
        <v>7.3023793183142463E-2</v>
      </c>
      <c r="G483" s="326">
        <f t="shared" si="220"/>
        <v>1</v>
      </c>
      <c r="H483" s="327">
        <f t="shared" si="221"/>
        <v>0</v>
      </c>
      <c r="I483" s="325">
        <f t="shared" si="222"/>
        <v>77265.453808481558</v>
      </c>
      <c r="J483" s="328">
        <f t="shared" si="223"/>
        <v>1.5707833844001946</v>
      </c>
      <c r="K483" s="336">
        <f t="shared" si="243"/>
        <v>15.00065076528178</v>
      </c>
      <c r="L483" s="337">
        <f t="shared" si="244"/>
        <v>1.504083076997593</v>
      </c>
      <c r="M483" s="325">
        <f t="shared" si="224"/>
        <v>1.0619960620353148</v>
      </c>
      <c r="N483" s="337">
        <f t="shared" si="225"/>
        <v>0.34337708563089309</v>
      </c>
      <c r="O483" s="343">
        <f t="shared" si="226"/>
        <v>1.0556666565276136</v>
      </c>
      <c r="P483" s="691">
        <f t="shared" si="227"/>
        <v>0.32619424546774767</v>
      </c>
      <c r="Q483" s="336">
        <f t="shared" si="242"/>
        <v>15.306310058643282</v>
      </c>
      <c r="R483" s="692">
        <f t="shared" si="228"/>
        <v>0.15664937982829619</v>
      </c>
      <c r="S483" s="329">
        <f t="shared" si="229"/>
        <v>0.99629602067906842</v>
      </c>
      <c r="T483" s="330">
        <f t="shared" si="230"/>
        <v>0.48210725294849616</v>
      </c>
      <c r="U483" s="331">
        <f t="shared" si="231"/>
        <v>-3.5303440940202742</v>
      </c>
      <c r="V483" s="332">
        <f t="shared" si="232"/>
        <v>-126.44435378879641</v>
      </c>
      <c r="W483" s="334">
        <f t="shared" si="233"/>
        <v>53.555646211203594</v>
      </c>
      <c r="Y483" s="307">
        <f t="shared" si="234"/>
        <v>58214</v>
      </c>
      <c r="Z483" s="307">
        <f t="shared" si="235"/>
        <v>3388869796</v>
      </c>
      <c r="AB483" s="333">
        <f t="shared" si="236"/>
        <v>22.947261083950071</v>
      </c>
      <c r="AC483" s="334">
        <f t="shared" si="237"/>
        <v>-23.495703921394465</v>
      </c>
      <c r="AE483" s="333">
        <f t="shared" si="238"/>
        <v>30.728668950118937</v>
      </c>
      <c r="AF483" s="334">
        <f t="shared" si="239"/>
        <v>-112.66285511775521</v>
      </c>
      <c r="AH483">
        <f t="shared" si="240"/>
        <v>0</v>
      </c>
      <c r="AI483">
        <f t="shared" si="245"/>
        <v>0</v>
      </c>
    </row>
    <row r="484" spans="1:35" x14ac:dyDescent="0.2">
      <c r="A484" s="335">
        <v>58549</v>
      </c>
      <c r="B484" s="352">
        <f t="shared" si="241"/>
        <v>58.548999999999999</v>
      </c>
      <c r="C484" s="325">
        <f t="shared" si="216"/>
        <v>74.271352940580286</v>
      </c>
      <c r="D484" s="326">
        <f t="shared" si="217"/>
        <v>1.5573317785306982</v>
      </c>
      <c r="E484" s="326">
        <f t="shared" si="218"/>
        <v>1.0027029757389383</v>
      </c>
      <c r="F484" s="327">
        <f t="shared" si="219"/>
        <v>7.3442512904970142E-2</v>
      </c>
      <c r="G484" s="326">
        <f t="shared" si="220"/>
        <v>1</v>
      </c>
      <c r="H484" s="327">
        <f t="shared" si="221"/>
        <v>0</v>
      </c>
      <c r="I484" s="325">
        <f t="shared" si="222"/>
        <v>77710.087865950874</v>
      </c>
      <c r="J484" s="328">
        <f t="shared" si="223"/>
        <v>1.5707834584527356</v>
      </c>
      <c r="K484" s="336">
        <f t="shared" si="243"/>
        <v>15.086591419577617</v>
      </c>
      <c r="L484" s="337">
        <f t="shared" si="244"/>
        <v>1.5044636684947306</v>
      </c>
      <c r="M484" s="325">
        <f t="shared" si="224"/>
        <v>1.062690530016559</v>
      </c>
      <c r="N484" s="337">
        <f t="shared" si="225"/>
        <v>0.34520019976108585</v>
      </c>
      <c r="O484" s="343">
        <f t="shared" si="226"/>
        <v>1.0562920560912266</v>
      </c>
      <c r="P484" s="691">
        <f t="shared" si="227"/>
        <v>0.32793998996742252</v>
      </c>
      <c r="Q484" s="336">
        <f t="shared" si="242"/>
        <v>15.308398335828446</v>
      </c>
      <c r="R484" s="692">
        <f t="shared" si="228"/>
        <v>0.15753667834928994</v>
      </c>
      <c r="S484" s="329">
        <f t="shared" si="229"/>
        <v>0.99633375806740332</v>
      </c>
      <c r="T484" s="330">
        <f t="shared" si="230"/>
        <v>0.48510102067471333</v>
      </c>
      <c r="U484" s="331">
        <f t="shared" si="231"/>
        <v>-3.5821770747186426</v>
      </c>
      <c r="V484" s="332">
        <f t="shared" si="232"/>
        <v>-126.62980147736592</v>
      </c>
      <c r="W484" s="334">
        <f t="shared" si="233"/>
        <v>53.370198522634084</v>
      </c>
      <c r="Y484" s="307">
        <f t="shared" si="234"/>
        <v>58549</v>
      </c>
      <c r="Z484" s="307">
        <f t="shared" si="235"/>
        <v>3427985401</v>
      </c>
      <c r="AB484" s="333">
        <f t="shared" si="236"/>
        <v>22.941362766919656</v>
      </c>
      <c r="AC484" s="334">
        <f t="shared" si="237"/>
        <v>-23.578358623113136</v>
      </c>
      <c r="AE484" s="333">
        <f t="shared" si="238"/>
        <v>30.67877505905367</v>
      </c>
      <c r="AF484" s="334">
        <f t="shared" si="239"/>
        <v>-112.81483343618066</v>
      </c>
      <c r="AH484">
        <f t="shared" si="240"/>
        <v>0</v>
      </c>
      <c r="AI484">
        <f t="shared" si="245"/>
        <v>0</v>
      </c>
    </row>
    <row r="485" spans="1:35" x14ac:dyDescent="0.2">
      <c r="A485" s="335">
        <v>58884</v>
      </c>
      <c r="B485" s="352">
        <f t="shared" si="241"/>
        <v>58.884</v>
      </c>
      <c r="C485" s="325">
        <f t="shared" si="216"/>
        <v>74.696234758815038</v>
      </c>
      <c r="D485" s="326">
        <f t="shared" si="217"/>
        <v>1.5574083712072271</v>
      </c>
      <c r="E485" s="326">
        <f t="shared" si="218"/>
        <v>1.0027339531901642</v>
      </c>
      <c r="F485" s="327">
        <f t="shared" si="219"/>
        <v>7.3861206829192672E-2</v>
      </c>
      <c r="G485" s="326">
        <f t="shared" si="220"/>
        <v>1</v>
      </c>
      <c r="H485" s="327">
        <f t="shared" si="221"/>
        <v>0</v>
      </c>
      <c r="I485" s="325">
        <f t="shared" si="222"/>
        <v>78154.721923420599</v>
      </c>
      <c r="J485" s="328">
        <f t="shared" si="223"/>
        <v>1.5707835316626844</v>
      </c>
      <c r="K485" s="336">
        <f t="shared" si="243"/>
        <v>15.172534234408378</v>
      </c>
      <c r="L485" s="337">
        <f t="shared" si="244"/>
        <v>1.5048399484253927</v>
      </c>
      <c r="M485" s="325">
        <f t="shared" si="224"/>
        <v>1.0633885254899968</v>
      </c>
      <c r="N485" s="337">
        <f t="shared" si="225"/>
        <v>0.34702092659581107</v>
      </c>
      <c r="O485" s="343">
        <f t="shared" si="226"/>
        <v>1.0569206710202936</v>
      </c>
      <c r="P485" s="691">
        <f t="shared" si="227"/>
        <v>0.32968366317529368</v>
      </c>
      <c r="Q485" s="336">
        <f t="shared" si="242"/>
        <v>15.310498308765743</v>
      </c>
      <c r="R485" s="692">
        <f t="shared" si="228"/>
        <v>0.15842373781153665</v>
      </c>
      <c r="S485" s="329">
        <f t="shared" si="229"/>
        <v>0.99637356499140162</v>
      </c>
      <c r="T485" s="330">
        <f t="shared" si="230"/>
        <v>0.48809819007422212</v>
      </c>
      <c r="U485" s="331">
        <f t="shared" si="231"/>
        <v>-3.6337468224144072</v>
      </c>
      <c r="V485" s="332">
        <f t="shared" si="232"/>
        <v>-126.81561023065427</v>
      </c>
      <c r="W485" s="334">
        <f t="shared" si="233"/>
        <v>53.184389769345728</v>
      </c>
      <c r="Y485" s="307">
        <f t="shared" si="234"/>
        <v>58884</v>
      </c>
      <c r="Z485" s="307">
        <f t="shared" si="235"/>
        <v>3467325456</v>
      </c>
      <c r="AB485" s="333">
        <f t="shared" si="236"/>
        <v>22.935443083521868</v>
      </c>
      <c r="AC485" s="334">
        <f t="shared" si="237"/>
        <v>-23.661123529162346</v>
      </c>
      <c r="AE485" s="333">
        <f t="shared" si="238"/>
        <v>30.629148861468167</v>
      </c>
      <c r="AF485" s="334">
        <f t="shared" si="239"/>
        <v>-112.96695763577311</v>
      </c>
      <c r="AH485">
        <f t="shared" si="240"/>
        <v>0</v>
      </c>
      <c r="AI485">
        <f t="shared" si="245"/>
        <v>0</v>
      </c>
    </row>
    <row r="486" spans="1:35" x14ac:dyDescent="0.2">
      <c r="A486" s="335">
        <v>59227</v>
      </c>
      <c r="B486" s="352">
        <f t="shared" si="241"/>
        <v>59.226999999999997</v>
      </c>
      <c r="C486" s="325">
        <f t="shared" si="216"/>
        <v>75.13126345735607</v>
      </c>
      <c r="D486" s="326">
        <f t="shared" si="217"/>
        <v>1.5574858953909492</v>
      </c>
      <c r="E486" s="326">
        <f t="shared" si="218"/>
        <v>1.002765852520749</v>
      </c>
      <c r="F486" s="327">
        <f t="shared" si="219"/>
        <v>7.4289872534433088E-2</v>
      </c>
      <c r="G486" s="326">
        <f t="shared" si="220"/>
        <v>1</v>
      </c>
      <c r="H486" s="327">
        <f t="shared" si="221"/>
        <v>0</v>
      </c>
      <c r="I486" s="325">
        <f t="shared" si="222"/>
        <v>78609.974107636284</v>
      </c>
      <c r="J486" s="328">
        <f t="shared" si="223"/>
        <v>1.5707836057628473</v>
      </c>
      <c r="K486" s="336">
        <f t="shared" si="243"/>
        <v>15.26053161538821</v>
      </c>
      <c r="L486" s="337">
        <f t="shared" si="244"/>
        <v>1.5052208228704147</v>
      </c>
      <c r="M486" s="325">
        <f t="shared" si="224"/>
        <v>1.064106837118389</v>
      </c>
      <c r="N486" s="337">
        <f t="shared" si="225"/>
        <v>0.34888265229529986</v>
      </c>
      <c r="O486" s="343">
        <f t="shared" si="226"/>
        <v>1.0575676231206184</v>
      </c>
      <c r="P486" s="691">
        <f t="shared" si="227"/>
        <v>0.33146682305693681</v>
      </c>
      <c r="Q486" s="336">
        <f t="shared" si="242"/>
        <v>15.312660543329031</v>
      </c>
      <c r="R486" s="692">
        <f t="shared" si="228"/>
        <v>0.15933173180233837</v>
      </c>
      <c r="S486" s="329">
        <f t="shared" si="229"/>
        <v>0.99641649977089697</v>
      </c>
      <c r="T486" s="330">
        <f t="shared" si="230"/>
        <v>0.49117046619913585</v>
      </c>
      <c r="U486" s="331">
        <f t="shared" si="231"/>
        <v>-3.6862790636377669</v>
      </c>
      <c r="V486" s="332">
        <f t="shared" si="232"/>
        <v>-127.00622721980881</v>
      </c>
      <c r="W486" s="334">
        <f t="shared" si="233"/>
        <v>52.993772780191193</v>
      </c>
      <c r="Y486" s="307">
        <f t="shared" si="234"/>
        <v>59227</v>
      </c>
      <c r="Z486" s="307">
        <f t="shared" si="235"/>
        <v>3507837529</v>
      </c>
      <c r="AB486" s="333">
        <f t="shared" si="236"/>
        <v>22.929359922326739</v>
      </c>
      <c r="AC486" s="334">
        <f t="shared" si="237"/>
        <v>-23.745974301853501</v>
      </c>
      <c r="AE486" s="333">
        <f t="shared" si="238"/>
        <v>30.578611268397648</v>
      </c>
      <c r="AF486" s="334">
        <f t="shared" si="239"/>
        <v>-113.12286716421283</v>
      </c>
      <c r="AH486">
        <f t="shared" si="240"/>
        <v>0</v>
      </c>
      <c r="AI486">
        <f t="shared" si="245"/>
        <v>0</v>
      </c>
    </row>
    <row r="487" spans="1:35" x14ac:dyDescent="0.2">
      <c r="A487" s="335">
        <v>59570</v>
      </c>
      <c r="B487" s="352">
        <f t="shared" si="241"/>
        <v>59.57</v>
      </c>
      <c r="C487" s="325">
        <f t="shared" si="216"/>
        <v>75.566292602236985</v>
      </c>
      <c r="D487" s="326">
        <f t="shared" si="217"/>
        <v>1.5575625269739906</v>
      </c>
      <c r="E487" s="326">
        <f t="shared" si="218"/>
        <v>1.0027979361021155</v>
      </c>
      <c r="F487" s="327">
        <f t="shared" si="219"/>
        <v>7.4718510888917428E-2</v>
      </c>
      <c r="G487" s="326">
        <f t="shared" si="220"/>
        <v>1</v>
      </c>
      <c r="H487" s="327">
        <f t="shared" si="221"/>
        <v>0</v>
      </c>
      <c r="I487" s="325">
        <f t="shared" si="222"/>
        <v>79065.226291852407</v>
      </c>
      <c r="J487" s="328">
        <f t="shared" si="223"/>
        <v>1.5707836790096827</v>
      </c>
      <c r="K487" s="336">
        <f t="shared" si="243"/>
        <v>15.348531184757745</v>
      </c>
      <c r="L487" s="337">
        <f t="shared" si="244"/>
        <v>1.5055973299435255</v>
      </c>
      <c r="M487" s="325">
        <f t="shared" si="224"/>
        <v>1.0648288319816628</v>
      </c>
      <c r="N487" s="337">
        <f t="shared" si="225"/>
        <v>0.35074185978846112</v>
      </c>
      <c r="O487" s="343">
        <f t="shared" si="226"/>
        <v>1.0582179338076481</v>
      </c>
      <c r="P487" s="691">
        <f t="shared" si="227"/>
        <v>0.33324779697165224</v>
      </c>
      <c r="Q487" s="336">
        <f t="shared" si="242"/>
        <v>15.314835028691132</v>
      </c>
      <c r="R487" s="692">
        <f t="shared" si="228"/>
        <v>0.16023947256030924</v>
      </c>
      <c r="S487" s="329">
        <f t="shared" si="229"/>
        <v>0.9964616712954909</v>
      </c>
      <c r="T487" s="330">
        <f t="shared" si="230"/>
        <v>0.4942463244765517</v>
      </c>
      <c r="U487" s="331">
        <f t="shared" si="231"/>
        <v>-3.7385428357939974</v>
      </c>
      <c r="V487" s="332">
        <f t="shared" si="232"/>
        <v>-127.19721651401302</v>
      </c>
      <c r="W487" s="334">
        <f t="shared" si="233"/>
        <v>52.802783485986978</v>
      </c>
      <c r="Y487" s="307">
        <f t="shared" si="234"/>
        <v>59570</v>
      </c>
      <c r="Z487" s="307">
        <f t="shared" si="235"/>
        <v>3548584900</v>
      </c>
      <c r="AB487" s="333">
        <f t="shared" si="236"/>
        <v>22.923254416772512</v>
      </c>
      <c r="AC487" s="334">
        <f t="shared" si="237"/>
        <v>-23.830930975036274</v>
      </c>
      <c r="AE487" s="333">
        <f t="shared" si="238"/>
        <v>30.52834694667423</v>
      </c>
      <c r="AF487" s="334">
        <f t="shared" si="239"/>
        <v>-113.27893235970375</v>
      </c>
      <c r="AH487">
        <f t="shared" si="240"/>
        <v>0</v>
      </c>
      <c r="AI487">
        <f t="shared" si="245"/>
        <v>0</v>
      </c>
    </row>
    <row r="488" spans="1:35" x14ac:dyDescent="0.2">
      <c r="A488" s="335">
        <v>59913</v>
      </c>
      <c r="B488" s="352">
        <f t="shared" si="241"/>
        <v>59.912999999999997</v>
      </c>
      <c r="C488" s="325">
        <f t="shared" si="216"/>
        <v>76.001322185793271</v>
      </c>
      <c r="D488" s="326">
        <f t="shared" si="217"/>
        <v>1.557638281283112</v>
      </c>
      <c r="E488" s="326">
        <f t="shared" si="218"/>
        <v>1.0028302039165791</v>
      </c>
      <c r="F488" s="327">
        <f t="shared" si="219"/>
        <v>7.5147121737770203E-2</v>
      </c>
      <c r="G488" s="326">
        <f t="shared" si="220"/>
        <v>1</v>
      </c>
      <c r="H488" s="327">
        <f t="shared" si="221"/>
        <v>0</v>
      </c>
      <c r="I488" s="325">
        <f t="shared" si="222"/>
        <v>79520.478476068965</v>
      </c>
      <c r="J488" s="328">
        <f t="shared" si="223"/>
        <v>1.5707837514178467</v>
      </c>
      <c r="K488" s="336">
        <f t="shared" si="243"/>
        <v>15.436532905090701</v>
      </c>
      <c r="L488" s="337">
        <f t="shared" si="244"/>
        <v>1.5059695442305594</v>
      </c>
      <c r="M488" s="325">
        <f t="shared" si="224"/>
        <v>1.0655545025927962</v>
      </c>
      <c r="N488" s="337">
        <f t="shared" si="225"/>
        <v>0.35259854135396129</v>
      </c>
      <c r="O488" s="343">
        <f t="shared" si="226"/>
        <v>1.0588715968933102</v>
      </c>
      <c r="P488" s="691">
        <f t="shared" si="227"/>
        <v>0.33502657765941524</v>
      </c>
      <c r="Q488" s="336">
        <f t="shared" si="242"/>
        <v>15.317021759639251</v>
      </c>
      <c r="R488" s="692">
        <f t="shared" si="228"/>
        <v>0.16114695876349855</v>
      </c>
      <c r="S488" s="329">
        <f t="shared" si="229"/>
        <v>0.99650911382008645</v>
      </c>
      <c r="T488" s="330">
        <f t="shared" si="230"/>
        <v>0.49732577264711936</v>
      </c>
      <c r="U488" s="331">
        <f t="shared" si="231"/>
        <v>-3.7905418368771815</v>
      </c>
      <c r="V488" s="332">
        <f t="shared" si="232"/>
        <v>-127.38857506901883</v>
      </c>
      <c r="W488" s="334">
        <f t="shared" si="233"/>
        <v>52.611424930981173</v>
      </c>
      <c r="Y488" s="307">
        <f t="shared" si="234"/>
        <v>59913</v>
      </c>
      <c r="Z488" s="307">
        <f t="shared" si="235"/>
        <v>3589567569</v>
      </c>
      <c r="AB488" s="333">
        <f t="shared" si="236"/>
        <v>22.917126598475171</v>
      </c>
      <c r="AC488" s="334">
        <f t="shared" si="237"/>
        <v>-23.915988833697046</v>
      </c>
      <c r="AE488" s="333">
        <f t="shared" si="238"/>
        <v>30.47835225840117</v>
      </c>
      <c r="AF488" s="334">
        <f t="shared" si="239"/>
        <v>-113.43515455278487</v>
      </c>
      <c r="AH488">
        <f t="shared" si="240"/>
        <v>0</v>
      </c>
      <c r="AI488">
        <f t="shared" si="245"/>
        <v>0</v>
      </c>
    </row>
    <row r="489" spans="1:35" x14ac:dyDescent="0.2">
      <c r="A489" s="335">
        <v>60256</v>
      </c>
      <c r="B489" s="352">
        <f t="shared" si="241"/>
        <v>60.256</v>
      </c>
      <c r="C489" s="325">
        <f t="shared" si="216"/>
        <v>76.436352200534898</v>
      </c>
      <c r="D489" s="326">
        <f t="shared" si="217"/>
        <v>1.5577131732961924</v>
      </c>
      <c r="E489" s="326">
        <f t="shared" si="218"/>
        <v>1.0028626559463563</v>
      </c>
      <c r="F489" s="327">
        <f t="shared" si="219"/>
        <v>7.5575704926176254E-2</v>
      </c>
      <c r="G489" s="326">
        <f t="shared" si="220"/>
        <v>1</v>
      </c>
      <c r="H489" s="327">
        <f t="shared" si="221"/>
        <v>0</v>
      </c>
      <c r="I489" s="325">
        <f t="shared" si="222"/>
        <v>79975.730660285917</v>
      </c>
      <c r="J489" s="328">
        <f t="shared" si="223"/>
        <v>1.5707838230016613</v>
      </c>
      <c r="K489" s="336">
        <f t="shared" si="243"/>
        <v>15.5245367398085</v>
      </c>
      <c r="L489" s="337">
        <f t="shared" si="244"/>
        <v>1.5063375386309545</v>
      </c>
      <c r="M489" s="325">
        <f t="shared" si="224"/>
        <v>1.066283841447083</v>
      </c>
      <c r="N489" s="337">
        <f t="shared" si="225"/>
        <v>0.35445268936109275</v>
      </c>
      <c r="O489" s="343">
        <f t="shared" si="226"/>
        <v>1.0595286061729419</v>
      </c>
      <c r="P489" s="691">
        <f t="shared" si="227"/>
        <v>0.33680315793358662</v>
      </c>
      <c r="Q489" s="336">
        <f t="shared" si="242"/>
        <v>15.319220730934223</v>
      </c>
      <c r="R489" s="692">
        <f t="shared" si="228"/>
        <v>0.16205418909233538</v>
      </c>
      <c r="S489" s="329">
        <f t="shared" si="229"/>
        <v>0.99655886177724673</v>
      </c>
      <c r="T489" s="330">
        <f t="shared" si="230"/>
        <v>0.50040881818612781</v>
      </c>
      <c r="U489" s="331">
        <f t="shared" si="231"/>
        <v>-3.8422797066377945</v>
      </c>
      <c r="V489" s="332">
        <f t="shared" si="232"/>
        <v>-127.58029990310953</v>
      </c>
      <c r="W489" s="334">
        <f t="shared" si="233"/>
        <v>52.419700096890466</v>
      </c>
      <c r="Y489" s="307">
        <f t="shared" si="234"/>
        <v>60256</v>
      </c>
      <c r="Z489" s="307">
        <f t="shared" si="235"/>
        <v>3630785536</v>
      </c>
      <c r="AB489" s="333">
        <f t="shared" si="236"/>
        <v>22.910976501590532</v>
      </c>
      <c r="AC489" s="334">
        <f t="shared" si="237"/>
        <v>-24.001143264618946</v>
      </c>
      <c r="AE489" s="333">
        <f t="shared" si="238"/>
        <v>30.428623621511719</v>
      </c>
      <c r="AF489" s="334">
        <f t="shared" si="239"/>
        <v>-113.59153503879818</v>
      </c>
      <c r="AH489">
        <f t="shared" si="240"/>
        <v>0</v>
      </c>
      <c r="AI489">
        <f t="shared" si="245"/>
        <v>0</v>
      </c>
    </row>
    <row r="490" spans="1:35" x14ac:dyDescent="0.2">
      <c r="A490" s="335">
        <v>60607</v>
      </c>
      <c r="B490" s="352">
        <f t="shared" si="241"/>
        <v>60.606999999999999</v>
      </c>
      <c r="C490" s="325">
        <f t="shared" si="216"/>
        <v>76.881529126674906</v>
      </c>
      <c r="D490" s="326">
        <f t="shared" si="217"/>
        <v>1.5577889346341947</v>
      </c>
      <c r="E490" s="326">
        <f t="shared" si="218"/>
        <v>1.0028960555663997</v>
      </c>
      <c r="F490" s="327">
        <f t="shared" si="219"/>
        <v>7.60142554267942E-2</v>
      </c>
      <c r="G490" s="326">
        <f t="shared" si="220"/>
        <v>1</v>
      </c>
      <c r="H490" s="327">
        <f t="shared" si="221"/>
        <v>0</v>
      </c>
      <c r="I490" s="325">
        <f t="shared" si="222"/>
        <v>80441.600971248889</v>
      </c>
      <c r="J490" s="328">
        <f t="shared" si="223"/>
        <v>1.5707838954162574</v>
      </c>
      <c r="K490" s="336">
        <f t="shared" si="243"/>
        <v>15.614595293734281</v>
      </c>
      <c r="L490" s="337">
        <f t="shared" si="244"/>
        <v>1.5067098216588088</v>
      </c>
      <c r="M490" s="325">
        <f t="shared" si="224"/>
        <v>1.0670339808481388</v>
      </c>
      <c r="N490" s="337">
        <f t="shared" si="225"/>
        <v>0.35634745205149254</v>
      </c>
      <c r="O490" s="343">
        <f t="shared" si="226"/>
        <v>1.0602043969657871</v>
      </c>
      <c r="P490" s="691">
        <f t="shared" si="227"/>
        <v>0.33861888906696647</v>
      </c>
      <c r="Q490" s="336">
        <f t="shared" si="242"/>
        <v>15.321483656605645</v>
      </c>
      <c r="R490" s="692">
        <f t="shared" si="228"/>
        <v>0.16298231304219432</v>
      </c>
      <c r="S490" s="329">
        <f t="shared" si="229"/>
        <v>0.99661219286203728</v>
      </c>
      <c r="T490" s="330">
        <f t="shared" si="230"/>
        <v>0.50356750321325427</v>
      </c>
      <c r="U490" s="331">
        <f t="shared" si="231"/>
        <v>-3.8949576901160072</v>
      </c>
      <c r="V490" s="332">
        <f t="shared" si="232"/>
        <v>-127.77687259895652</v>
      </c>
      <c r="W490" s="334">
        <f t="shared" si="233"/>
        <v>52.223127401043484</v>
      </c>
      <c r="Y490" s="307">
        <f t="shared" si="234"/>
        <v>60607</v>
      </c>
      <c r="Z490" s="307">
        <f t="shared" si="235"/>
        <v>3673208449</v>
      </c>
      <c r="AB490" s="333">
        <f t="shared" si="236"/>
        <v>22.904659936348452</v>
      </c>
      <c r="AC490" s="334">
        <f t="shared" si="237"/>
        <v>-24.088379072827717</v>
      </c>
      <c r="AE490" s="333">
        <f t="shared" si="238"/>
        <v>30.378006884744519</v>
      </c>
      <c r="AF490" s="334">
        <f t="shared" si="239"/>
        <v>-113.75172807197579</v>
      </c>
      <c r="AH490">
        <f t="shared" si="240"/>
        <v>0</v>
      </c>
      <c r="AI490">
        <f t="shared" si="245"/>
        <v>0</v>
      </c>
    </row>
    <row r="491" spans="1:35" x14ac:dyDescent="0.2">
      <c r="A491" s="335">
        <v>60958</v>
      </c>
      <c r="B491" s="352">
        <f t="shared" si="241"/>
        <v>60.957999999999998</v>
      </c>
      <c r="C491" s="325">
        <f t="shared" si="216"/>
        <v>77.326706489016985</v>
      </c>
      <c r="D491" s="326">
        <f t="shared" si="217"/>
        <v>1.5578638236418547</v>
      </c>
      <c r="E491" s="326">
        <f t="shared" si="218"/>
        <v>1.0029296480571046</v>
      </c>
      <c r="F491" s="327">
        <f t="shared" si="219"/>
        <v>7.6452776633806535E-2</v>
      </c>
      <c r="G491" s="326">
        <f t="shared" si="220"/>
        <v>1</v>
      </c>
      <c r="H491" s="327">
        <f t="shared" si="221"/>
        <v>0</v>
      </c>
      <c r="I491" s="325">
        <f t="shared" si="222"/>
        <v>80907.471282212253</v>
      </c>
      <c r="J491" s="328">
        <f t="shared" si="223"/>
        <v>1.5707839669969177</v>
      </c>
      <c r="K491" s="336">
        <f t="shared" si="243"/>
        <v>15.704655986939189</v>
      </c>
      <c r="L491" s="337">
        <f t="shared" si="244"/>
        <v>1.5070778349120308</v>
      </c>
      <c r="M491" s="325">
        <f t="shared" si="224"/>
        <v>1.0677879456448596</v>
      </c>
      <c r="N491" s="337">
        <f t="shared" si="225"/>
        <v>0.35823954574386563</v>
      </c>
      <c r="O491" s="343">
        <f t="shared" si="226"/>
        <v>1.0608836786649605</v>
      </c>
      <c r="P491" s="691">
        <f t="shared" si="227"/>
        <v>0.34043230095455151</v>
      </c>
      <c r="Q491" s="336">
        <f t="shared" si="242"/>
        <v>15.32375938907575</v>
      </c>
      <c r="R491" s="692">
        <f t="shared" si="228"/>
        <v>0.16391016625443883</v>
      </c>
      <c r="S491" s="329">
        <f t="shared" si="229"/>
        <v>0.99666801169766972</v>
      </c>
      <c r="T491" s="330">
        <f t="shared" si="230"/>
        <v>0.50672997035061984</v>
      </c>
      <c r="U491" s="331">
        <f t="shared" si="231"/>
        <v>-3.9473697501416138</v>
      </c>
      <c r="V491" s="332">
        <f t="shared" si="232"/>
        <v>-127.97382273214683</v>
      </c>
      <c r="W491" s="334">
        <f t="shared" si="233"/>
        <v>52.026177267853171</v>
      </c>
      <c r="Y491" s="307">
        <f t="shared" si="234"/>
        <v>60958</v>
      </c>
      <c r="Z491" s="307">
        <f t="shared" si="235"/>
        <v>3715877764</v>
      </c>
      <c r="AB491" s="333">
        <f t="shared" si="236"/>
        <v>22.898320121307826</v>
      </c>
      <c r="AC491" s="334">
        <f t="shared" si="237"/>
        <v>-24.175706550999042</v>
      </c>
      <c r="AE491" s="333">
        <f t="shared" si="238"/>
        <v>30.32766133850658</v>
      </c>
      <c r="AF491" s="334">
        <f t="shared" si="239"/>
        <v>-113.91208950166096</v>
      </c>
      <c r="AH491">
        <f t="shared" si="240"/>
        <v>0</v>
      </c>
      <c r="AI491">
        <f t="shared" si="245"/>
        <v>0</v>
      </c>
    </row>
    <row r="492" spans="1:35" x14ac:dyDescent="0.2">
      <c r="A492" s="335">
        <v>61309</v>
      </c>
      <c r="B492" s="352">
        <f t="shared" si="241"/>
        <v>61.308999999999997</v>
      </c>
      <c r="C492" s="325">
        <f t="shared" si="216"/>
        <v>77.771884280070495</v>
      </c>
      <c r="D492" s="326">
        <f t="shared" si="217"/>
        <v>1.5579378552983703</v>
      </c>
      <c r="E492" s="326">
        <f t="shared" si="218"/>
        <v>1.0029634333990911</v>
      </c>
      <c r="F492" s="327">
        <f t="shared" si="219"/>
        <v>7.6891268381509156E-2</v>
      </c>
      <c r="G492" s="326">
        <f t="shared" si="220"/>
        <v>1</v>
      </c>
      <c r="H492" s="327">
        <f t="shared" si="221"/>
        <v>0</v>
      </c>
      <c r="I492" s="325">
        <f t="shared" si="222"/>
        <v>81373.341593176054</v>
      </c>
      <c r="J492" s="328">
        <f t="shared" si="223"/>
        <v>1.5707840377579658</v>
      </c>
      <c r="K492" s="336">
        <f t="shared" si="243"/>
        <v>15.794718782829039</v>
      </c>
      <c r="L492" s="337">
        <f t="shared" si="244"/>
        <v>1.507441651329902</v>
      </c>
      <c r="M492" s="325">
        <f t="shared" si="224"/>
        <v>1.0685457277396591</v>
      </c>
      <c r="N492" s="337">
        <f t="shared" si="225"/>
        <v>0.36012896255485716</v>
      </c>
      <c r="O492" s="343">
        <f t="shared" si="226"/>
        <v>1.0615664445691138</v>
      </c>
      <c r="P492" s="691">
        <f t="shared" si="227"/>
        <v>0.34224338613330907</v>
      </c>
      <c r="Q492" s="336">
        <f t="shared" si="242"/>
        <v>15.326047922644806</v>
      </c>
      <c r="R492" s="692">
        <f t="shared" si="228"/>
        <v>0.16483774732280385</v>
      </c>
      <c r="S492" s="329">
        <f t="shared" si="229"/>
        <v>0.99672635575487101</v>
      </c>
      <c r="T492" s="330">
        <f t="shared" si="230"/>
        <v>0.50989622673044888</v>
      </c>
      <c r="U492" s="331">
        <f t="shared" si="231"/>
        <v>-3.9995196064903022</v>
      </c>
      <c r="V492" s="332">
        <f t="shared" si="232"/>
        <v>-128.17114729611765</v>
      </c>
      <c r="W492" s="334">
        <f t="shared" si="233"/>
        <v>51.828852703882347</v>
      </c>
      <c r="Y492" s="307">
        <f t="shared" si="234"/>
        <v>61309</v>
      </c>
      <c r="Z492" s="307">
        <f t="shared" si="235"/>
        <v>3758793481</v>
      </c>
      <c r="AB492" s="333">
        <f t="shared" si="236"/>
        <v>22.891957100771823</v>
      </c>
      <c r="AC492" s="334">
        <f t="shared" si="237"/>
        <v>-24.263121069157631</v>
      </c>
      <c r="AE492" s="333">
        <f t="shared" si="238"/>
        <v>30.277583317514789</v>
      </c>
      <c r="AF492" s="334">
        <f t="shared" si="239"/>
        <v>-114.07262060423899</v>
      </c>
      <c r="AH492">
        <f t="shared" si="240"/>
        <v>0</v>
      </c>
      <c r="AI492">
        <f t="shared" si="245"/>
        <v>0</v>
      </c>
    </row>
    <row r="493" spans="1:35" x14ac:dyDescent="0.2">
      <c r="A493" s="335">
        <v>61660</v>
      </c>
      <c r="B493" s="352">
        <f t="shared" si="241"/>
        <v>61.66</v>
      </c>
      <c r="C493" s="325">
        <f t="shared" si="216"/>
        <v>78.217062492515296</v>
      </c>
      <c r="D493" s="326">
        <f t="shared" si="217"/>
        <v>1.558011044241955</v>
      </c>
      <c r="E493" s="326">
        <f t="shared" si="218"/>
        <v>1.0029974115728715</v>
      </c>
      <c r="F493" s="327">
        <f t="shared" si="219"/>
        <v>7.7329730504265573E-2</v>
      </c>
      <c r="G493" s="326">
        <f t="shared" si="220"/>
        <v>1</v>
      </c>
      <c r="H493" s="327">
        <f t="shared" si="221"/>
        <v>0</v>
      </c>
      <c r="I493" s="325">
        <f t="shared" si="222"/>
        <v>81839.211904140247</v>
      </c>
      <c r="J493" s="328">
        <f t="shared" si="223"/>
        <v>1.5707841077133982</v>
      </c>
      <c r="K493" s="336">
        <f t="shared" si="243"/>
        <v>15.884783645638718</v>
      </c>
      <c r="L493" s="337">
        <f t="shared" si="244"/>
        <v>1.5078013422019771</v>
      </c>
      <c r="M493" s="325">
        <f t="shared" si="224"/>
        <v>1.0693073190169655</v>
      </c>
      <c r="N493" s="337">
        <f t="shared" si="225"/>
        <v>0.36201569469985118</v>
      </c>
      <c r="O493" s="343">
        <f t="shared" si="226"/>
        <v>1.0622526879597993</v>
      </c>
      <c r="P493" s="691">
        <f t="shared" si="227"/>
        <v>0.3440521372203979</v>
      </c>
      <c r="Q493" s="336">
        <f t="shared" si="242"/>
        <v>15.328349251584422</v>
      </c>
      <c r="R493" s="692">
        <f t="shared" si="228"/>
        <v>0.1657650548436794</v>
      </c>
      <c r="S493" s="329">
        <f t="shared" si="229"/>
        <v>0.99678726269537365</v>
      </c>
      <c r="T493" s="330">
        <f t="shared" si="230"/>
        <v>0.51306627918359171</v>
      </c>
      <c r="U493" s="331">
        <f t="shared" si="231"/>
        <v>-4.0514109208615645</v>
      </c>
      <c r="V493" s="332">
        <f t="shared" si="232"/>
        <v>-128.36884334321647</v>
      </c>
      <c r="W493" s="334">
        <f t="shared" si="233"/>
        <v>51.631156656783531</v>
      </c>
      <c r="Y493" s="307">
        <f t="shared" si="234"/>
        <v>61660</v>
      </c>
      <c r="Z493" s="307">
        <f t="shared" si="235"/>
        <v>3801955600</v>
      </c>
      <c r="AB493" s="333">
        <f t="shared" si="236"/>
        <v>22.885570921462481</v>
      </c>
      <c r="AC493" s="334">
        <f t="shared" si="237"/>
        <v>-24.350618097489178</v>
      </c>
      <c r="AE493" s="333">
        <f t="shared" si="238"/>
        <v>30.227769212260558</v>
      </c>
      <c r="AF493" s="334">
        <f t="shared" si="239"/>
        <v>-114.23332261928692</v>
      </c>
      <c r="AH493">
        <f t="shared" si="240"/>
        <v>0</v>
      </c>
      <c r="AI493">
        <f t="shared" si="245"/>
        <v>0</v>
      </c>
    </row>
    <row r="494" spans="1:35" x14ac:dyDescent="0.2">
      <c r="A494" s="335">
        <v>62019</v>
      </c>
      <c r="B494" s="352">
        <f t="shared" si="241"/>
        <v>62.018999999999998</v>
      </c>
      <c r="C494" s="325">
        <f t="shared" si="216"/>
        <v>78.672387645375807</v>
      </c>
      <c r="D494" s="326">
        <f t="shared" si="217"/>
        <v>1.5580850444773309</v>
      </c>
      <c r="E494" s="326">
        <f t="shared" si="218"/>
        <v>1.003032363631956</v>
      </c>
      <c r="F494" s="327">
        <f t="shared" si="219"/>
        <v>7.7778155247684846E-2</v>
      </c>
      <c r="G494" s="326">
        <f t="shared" si="220"/>
        <v>1</v>
      </c>
      <c r="H494" s="327">
        <f t="shared" si="221"/>
        <v>0</v>
      </c>
      <c r="I494" s="325">
        <f t="shared" si="222"/>
        <v>82315.700341850461</v>
      </c>
      <c r="J494" s="328">
        <f t="shared" si="223"/>
        <v>1.5707841784441461</v>
      </c>
      <c r="K494" s="336">
        <f t="shared" si="243"/>
        <v>15.976903370541228</v>
      </c>
      <c r="L494" s="337">
        <f t="shared" si="244"/>
        <v>1.5081650361199863</v>
      </c>
      <c r="M494" s="325">
        <f t="shared" si="224"/>
        <v>1.0700902004229835</v>
      </c>
      <c r="N494" s="337">
        <f t="shared" si="225"/>
        <v>0.36394264412949173</v>
      </c>
      <c r="O494" s="343">
        <f t="shared" si="226"/>
        <v>1.0629581624833637</v>
      </c>
      <c r="P494" s="691">
        <f t="shared" si="227"/>
        <v>0.3458996912963464</v>
      </c>
      <c r="Q494" s="336">
        <f t="shared" si="242"/>
        <v>15.330716262607572</v>
      </c>
      <c r="R494" s="692">
        <f t="shared" si="228"/>
        <v>0.16671321314791762</v>
      </c>
      <c r="S494" s="329">
        <f t="shared" si="229"/>
        <v>0.99685224845140463</v>
      </c>
      <c r="T494" s="330">
        <f t="shared" si="230"/>
        <v>0.51631251718525162</v>
      </c>
      <c r="U494" s="331">
        <f t="shared" si="231"/>
        <v>-4.1042212522473749</v>
      </c>
      <c r="V494" s="332">
        <f t="shared" si="232"/>
        <v>-128.57142655004031</v>
      </c>
      <c r="W494" s="334">
        <f t="shared" si="233"/>
        <v>51.428573449959686</v>
      </c>
      <c r="Y494" s="307">
        <f t="shared" si="234"/>
        <v>62019</v>
      </c>
      <c r="Z494" s="307">
        <f t="shared" si="235"/>
        <v>3846356361</v>
      </c>
      <c r="AB494" s="333">
        <f t="shared" si="236"/>
        <v>22.879015282812738</v>
      </c>
      <c r="AC494" s="334">
        <f t="shared" si="237"/>
        <v>-24.44019009328191</v>
      </c>
      <c r="AE494" s="333">
        <f t="shared" si="238"/>
        <v>30.177089044732945</v>
      </c>
      <c r="AF494" s="334">
        <f t="shared" si="239"/>
        <v>-114.39786541220789</v>
      </c>
      <c r="AH494">
        <f t="shared" si="240"/>
        <v>0</v>
      </c>
      <c r="AI494">
        <f t="shared" si="245"/>
        <v>0</v>
      </c>
    </row>
    <row r="495" spans="1:35" x14ac:dyDescent="0.2">
      <c r="A495" s="335">
        <v>62378</v>
      </c>
      <c r="B495" s="352">
        <f t="shared" si="241"/>
        <v>62.378</v>
      </c>
      <c r="C495" s="325">
        <f t="shared" si="216"/>
        <v>79.127713224090996</v>
      </c>
      <c r="D495" s="326">
        <f t="shared" si="217"/>
        <v>1.5581581930721644</v>
      </c>
      <c r="E495" s="326">
        <f t="shared" si="218"/>
        <v>1.0030675173714731</v>
      </c>
      <c r="F495" s="327">
        <f t="shared" si="219"/>
        <v>7.8226548650066438E-2</v>
      </c>
      <c r="G495" s="326">
        <f t="shared" si="220"/>
        <v>1</v>
      </c>
      <c r="H495" s="327">
        <f t="shared" si="221"/>
        <v>0</v>
      </c>
      <c r="I495" s="325">
        <f t="shared" si="222"/>
        <v>82792.188779561096</v>
      </c>
      <c r="J495" s="328">
        <f t="shared" si="223"/>
        <v>1.5707842483607501</v>
      </c>
      <c r="K495" s="336">
        <f t="shared" si="243"/>
        <v>16.069025184530521</v>
      </c>
      <c r="L495" s="337">
        <f t="shared" si="244"/>
        <v>1.5085245600569748</v>
      </c>
      <c r="M495" s="325">
        <f t="shared" si="224"/>
        <v>1.070877049399205</v>
      </c>
      <c r="N495" s="337">
        <f t="shared" si="225"/>
        <v>0.36586676896334691</v>
      </c>
      <c r="O495" s="343">
        <f t="shared" si="226"/>
        <v>1.0636672605476925</v>
      </c>
      <c r="P495" s="691">
        <f t="shared" si="227"/>
        <v>0.34774478830473704</v>
      </c>
      <c r="Q495" s="336">
        <f t="shared" si="242"/>
        <v>15.33309664669995</v>
      </c>
      <c r="R495" s="692">
        <f t="shared" si="228"/>
        <v>0.16766108233160543</v>
      </c>
      <c r="S495" s="329">
        <f t="shared" si="229"/>
        <v>0.99691999555002875</v>
      </c>
      <c r="T495" s="330">
        <f t="shared" si="230"/>
        <v>0.51956273975067457</v>
      </c>
      <c r="U495" s="331">
        <f t="shared" si="231"/>
        <v>-4.1567686901275334</v>
      </c>
      <c r="V495" s="332">
        <f t="shared" si="232"/>
        <v>-128.77439230831448</v>
      </c>
      <c r="W495" s="334">
        <f t="shared" si="233"/>
        <v>51.225607691685525</v>
      </c>
      <c r="Y495" s="307">
        <f t="shared" si="234"/>
        <v>62378</v>
      </c>
      <c r="Z495" s="307">
        <f t="shared" si="235"/>
        <v>3891014884</v>
      </c>
      <c r="AB495" s="333">
        <f t="shared" si="236"/>
        <v>22.87243552394122</v>
      </c>
      <c r="AC495" s="334">
        <f t="shared" si="237"/>
        <v>-24.52983912732353</v>
      </c>
      <c r="AE495" s="333">
        <f t="shared" si="238"/>
        <v>30.126677495624982</v>
      </c>
      <c r="AF495" s="334">
        <f t="shared" si="239"/>
        <v>-114.56258950411632</v>
      </c>
      <c r="AH495">
        <f t="shared" si="240"/>
        <v>0</v>
      </c>
      <c r="AI495">
        <f t="shared" si="245"/>
        <v>0</v>
      </c>
    </row>
    <row r="496" spans="1:35" x14ac:dyDescent="0.2">
      <c r="A496" s="335">
        <v>62737</v>
      </c>
      <c r="B496" s="352">
        <f t="shared" si="241"/>
        <v>62.737000000000002</v>
      </c>
      <c r="C496" s="325">
        <f t="shared" si="216"/>
        <v>79.583039221351427</v>
      </c>
      <c r="D496" s="326">
        <f t="shared" si="217"/>
        <v>1.5582305046433818</v>
      </c>
      <c r="E496" s="326">
        <f t="shared" si="218"/>
        <v>1.0031028727702196</v>
      </c>
      <c r="F496" s="327">
        <f t="shared" si="219"/>
        <v>7.8674910534409961E-2</v>
      </c>
      <c r="G496" s="326">
        <f t="shared" si="220"/>
        <v>1</v>
      </c>
      <c r="H496" s="327">
        <f t="shared" si="221"/>
        <v>0</v>
      </c>
      <c r="I496" s="325">
        <f t="shared" si="222"/>
        <v>83268.677217272125</v>
      </c>
      <c r="J496" s="328">
        <f t="shared" si="223"/>
        <v>1.5707843174771863</v>
      </c>
      <c r="K496" s="336">
        <f t="shared" si="243"/>
        <v>16.161149051881949</v>
      </c>
      <c r="L496" s="337">
        <f t="shared" si="244"/>
        <v>1.5088799852299877</v>
      </c>
      <c r="M496" s="325">
        <f t="shared" si="224"/>
        <v>1.0716678572063216</v>
      </c>
      <c r="N496" s="337">
        <f t="shared" si="225"/>
        <v>0.36778806119163909</v>
      </c>
      <c r="O496" s="343">
        <f t="shared" si="226"/>
        <v>1.0643799749106935</v>
      </c>
      <c r="P496" s="691">
        <f t="shared" si="227"/>
        <v>0.34958742060607845</v>
      </c>
      <c r="Q496" s="336">
        <f t="shared" si="242"/>
        <v>15.335490397639955</v>
      </c>
      <c r="R496" s="692">
        <f t="shared" si="228"/>
        <v>0.16860866090164831</v>
      </c>
      <c r="S496" s="329">
        <f t="shared" si="229"/>
        <v>0.99699054490060113</v>
      </c>
      <c r="T496" s="330">
        <f t="shared" si="230"/>
        <v>0.52281695319297483</v>
      </c>
      <c r="U496" s="331">
        <f t="shared" si="231"/>
        <v>-4.2090569725159375</v>
      </c>
      <c r="V496" s="332">
        <f t="shared" si="232"/>
        <v>-128.977737640984</v>
      </c>
      <c r="W496" s="334">
        <f t="shared" si="233"/>
        <v>51.022262359015997</v>
      </c>
      <c r="Y496" s="307">
        <f t="shared" si="234"/>
        <v>62737</v>
      </c>
      <c r="Z496" s="307">
        <f t="shared" si="235"/>
        <v>3935931169</v>
      </c>
      <c r="AB496" s="333">
        <f t="shared" si="236"/>
        <v>22.865831702151446</v>
      </c>
      <c r="AC496" s="334">
        <f t="shared" si="237"/>
        <v>-24.619560661052212</v>
      </c>
      <c r="AE496" s="333">
        <f t="shared" si="238"/>
        <v>30.076530875796582</v>
      </c>
      <c r="AF496" s="334">
        <f t="shared" si="239"/>
        <v>-114.7274961043566</v>
      </c>
      <c r="AH496">
        <f t="shared" si="240"/>
        <v>0</v>
      </c>
      <c r="AI496">
        <f t="shared" si="245"/>
        <v>0</v>
      </c>
    </row>
    <row r="497" spans="1:35" x14ac:dyDescent="0.2">
      <c r="A497" s="335">
        <v>63096</v>
      </c>
      <c r="B497" s="352">
        <f t="shared" si="241"/>
        <v>63.095999999999997</v>
      </c>
      <c r="C497" s="325">
        <f t="shared" si="216"/>
        <v>80.038365630013971</v>
      </c>
      <c r="D497" s="326">
        <f t="shared" si="217"/>
        <v>1.5583019934753304</v>
      </c>
      <c r="E497" s="326">
        <f t="shared" si="218"/>
        <v>1.0031384298068728</v>
      </c>
      <c r="F497" s="327">
        <f t="shared" si="219"/>
        <v>7.9123240723790636E-2</v>
      </c>
      <c r="G497" s="326">
        <f t="shared" si="220"/>
        <v>1</v>
      </c>
      <c r="H497" s="327">
        <f t="shared" si="221"/>
        <v>0</v>
      </c>
      <c r="I497" s="325">
        <f t="shared" si="222"/>
        <v>83745.165654983546</v>
      </c>
      <c r="J497" s="328">
        <f t="shared" si="223"/>
        <v>1.5707843858071131</v>
      </c>
      <c r="K497" s="336">
        <f t="shared" si="243"/>
        <v>16.253274937680022</v>
      </c>
      <c r="L497" s="337">
        <f t="shared" si="244"/>
        <v>1.5092313812455938</v>
      </c>
      <c r="M497" s="325">
        <f t="shared" si="224"/>
        <v>1.0724626150868974</v>
      </c>
      <c r="N497" s="337">
        <f t="shared" si="225"/>
        <v>0.36970651291180501</v>
      </c>
      <c r="O497" s="343">
        <f t="shared" si="226"/>
        <v>1.0650962983127756</v>
      </c>
      <c r="P497" s="691">
        <f t="shared" si="227"/>
        <v>0.35142758064822222</v>
      </c>
      <c r="Q497" s="336">
        <f t="shared" si="242"/>
        <v>15.337897509174931</v>
      </c>
      <c r="R497" s="692">
        <f t="shared" si="228"/>
        <v>0.16955594736790675</v>
      </c>
      <c r="S497" s="329">
        <f t="shared" si="229"/>
        <v>0.9970639376168533</v>
      </c>
      <c r="T497" s="330">
        <f t="shared" si="230"/>
        <v>0.52607516348390038</v>
      </c>
      <c r="U497" s="331">
        <f t="shared" si="231"/>
        <v>-4.2610897796251486</v>
      </c>
      <c r="V497" s="332">
        <f t="shared" si="232"/>
        <v>-129.18145962593869</v>
      </c>
      <c r="W497" s="334">
        <f t="shared" si="233"/>
        <v>50.818540374061314</v>
      </c>
      <c r="Y497" s="307">
        <f t="shared" si="234"/>
        <v>63096</v>
      </c>
      <c r="Z497" s="307">
        <f t="shared" si="235"/>
        <v>3981105216</v>
      </c>
      <c r="AB497" s="333">
        <f t="shared" si="236"/>
        <v>22.859203877040702</v>
      </c>
      <c r="AC497" s="334">
        <f t="shared" si="237"/>
        <v>-24.709350254304407</v>
      </c>
      <c r="AE497" s="333">
        <f t="shared" si="238"/>
        <v>30.026645551720069</v>
      </c>
      <c r="AF497" s="334">
        <f t="shared" si="239"/>
        <v>-114.89258638365455</v>
      </c>
      <c r="AH497">
        <f t="shared" si="240"/>
        <v>0</v>
      </c>
      <c r="AI497">
        <f t="shared" si="245"/>
        <v>0</v>
      </c>
    </row>
    <row r="498" spans="1:35" x14ac:dyDescent="0.2">
      <c r="A498" s="335">
        <v>63463.25</v>
      </c>
      <c r="B498" s="352">
        <f t="shared" si="241"/>
        <v>63.463250000000002</v>
      </c>
      <c r="C498" s="325">
        <f t="shared" si="216"/>
        <v>80.504156086258632</v>
      </c>
      <c r="D498" s="326">
        <f t="shared" si="217"/>
        <v>1.5583742883944052</v>
      </c>
      <c r="E498" s="326">
        <f t="shared" si="218"/>
        <v>1.0031750125814598</v>
      </c>
      <c r="F498" s="327">
        <f t="shared" si="219"/>
        <v>7.9581840785438659E-2</v>
      </c>
      <c r="G498" s="326">
        <f t="shared" si="220"/>
        <v>1</v>
      </c>
      <c r="H498" s="327">
        <f t="shared" si="221"/>
        <v>0</v>
      </c>
      <c r="I498" s="325">
        <f t="shared" si="222"/>
        <v>84232.604035901837</v>
      </c>
      <c r="J498" s="328">
        <f t="shared" si="223"/>
        <v>1.5707844549073837</v>
      </c>
      <c r="K498" s="336">
        <f t="shared" si="243"/>
        <v>16.34751997550153</v>
      </c>
      <c r="L498" s="337">
        <f t="shared" si="244"/>
        <v>1.509586754343277</v>
      </c>
      <c r="M498" s="325">
        <f t="shared" si="224"/>
        <v>1.0732797150309026</v>
      </c>
      <c r="N498" s="337">
        <f t="shared" si="225"/>
        <v>0.37166610431427194</v>
      </c>
      <c r="O498" s="343">
        <f t="shared" si="226"/>
        <v>1.0658328099968186</v>
      </c>
      <c r="P498" s="691">
        <f t="shared" si="227"/>
        <v>0.35330746257527684</v>
      </c>
      <c r="Q498" s="336">
        <f t="shared" si="242"/>
        <v>15.34037375546065</v>
      </c>
      <c r="R498" s="692">
        <f t="shared" si="228"/>
        <v>0.17052469915157145</v>
      </c>
      <c r="S498" s="329">
        <f t="shared" si="229"/>
        <v>0.99714200214465554</v>
      </c>
      <c r="T498" s="330">
        <f t="shared" si="230"/>
        <v>0.52941239062480405</v>
      </c>
      <c r="U498" s="331">
        <f t="shared" si="231"/>
        <v>-4.3140577555893014</v>
      </c>
      <c r="V498" s="332">
        <f t="shared" si="232"/>
        <v>-129.39024998798612</v>
      </c>
      <c r="W498" s="334">
        <f t="shared" si="233"/>
        <v>50.609750012013876</v>
      </c>
      <c r="Y498" s="307">
        <f t="shared" si="234"/>
        <v>63463.25</v>
      </c>
      <c r="Z498" s="307">
        <f t="shared" si="235"/>
        <v>4027584100.5625</v>
      </c>
      <c r="AB498" s="333">
        <f t="shared" si="236"/>
        <v>22.852398968573663</v>
      </c>
      <c r="AC498" s="334">
        <f t="shared" si="237"/>
        <v>-24.801269151845048</v>
      </c>
      <c r="AE498" s="333">
        <f t="shared" si="238"/>
        <v>29.975880478131792</v>
      </c>
      <c r="AF498" s="334">
        <f t="shared" si="239"/>
        <v>-115.06166176002438</v>
      </c>
      <c r="AH498">
        <f t="shared" si="240"/>
        <v>0</v>
      </c>
      <c r="AI498">
        <f t="shared" si="245"/>
        <v>0</v>
      </c>
    </row>
    <row r="499" spans="1:35" x14ac:dyDescent="0.2">
      <c r="A499" s="335">
        <v>63830.5</v>
      </c>
      <c r="B499" s="352">
        <f t="shared" si="241"/>
        <v>63.830500000000001</v>
      </c>
      <c r="C499" s="325">
        <f t="shared" si="216"/>
        <v>80.969946958421772</v>
      </c>
      <c r="D499" s="326">
        <f t="shared" si="217"/>
        <v>1.5584457515407126</v>
      </c>
      <c r="E499" s="326">
        <f t="shared" si="218"/>
        <v>1.0032118063224</v>
      </c>
      <c r="F499" s="327">
        <f t="shared" si="219"/>
        <v>8.0040407304342559E-2</v>
      </c>
      <c r="G499" s="326">
        <f t="shared" si="220"/>
        <v>1</v>
      </c>
      <c r="H499" s="327">
        <f t="shared" si="221"/>
        <v>0</v>
      </c>
      <c r="I499" s="325">
        <f t="shared" si="222"/>
        <v>84720.042416820521</v>
      </c>
      <c r="J499" s="328">
        <f t="shared" si="223"/>
        <v>1.5707845232125153</v>
      </c>
      <c r="K499" s="336">
        <f t="shared" si="243"/>
        <v>16.441767054183842</v>
      </c>
      <c r="L499" s="337">
        <f t="shared" si="244"/>
        <v>1.5099380533636497</v>
      </c>
      <c r="M499" s="325">
        <f t="shared" si="224"/>
        <v>1.0741009300876145</v>
      </c>
      <c r="N499" s="337">
        <f t="shared" si="225"/>
        <v>0.37362270676849396</v>
      </c>
      <c r="O499" s="343">
        <f t="shared" si="226"/>
        <v>1.0665730830774336</v>
      </c>
      <c r="P499" s="691">
        <f t="shared" si="227"/>
        <v>0.35518474160122993</v>
      </c>
      <c r="Q499" s="336">
        <f t="shared" si="242"/>
        <v>15.34286397012732</v>
      </c>
      <c r="R499" s="692">
        <f t="shared" si="228"/>
        <v>0.17149314210666242</v>
      </c>
      <c r="S499" s="329">
        <f t="shared" si="229"/>
        <v>0.99722312991200646</v>
      </c>
      <c r="T499" s="330">
        <f t="shared" si="230"/>
        <v>0.53275381196038918</v>
      </c>
      <c r="U499" s="331">
        <f t="shared" si="231"/>
        <v>-4.3667659911356873</v>
      </c>
      <c r="V499" s="332">
        <f t="shared" si="232"/>
        <v>-129.59942849290761</v>
      </c>
      <c r="W499" s="334">
        <f t="shared" si="233"/>
        <v>50.400571507092394</v>
      </c>
      <c r="Y499" s="307">
        <f t="shared" si="234"/>
        <v>63830.5</v>
      </c>
      <c r="Z499" s="307">
        <f t="shared" si="235"/>
        <v>4074332730.25</v>
      </c>
      <c r="AB499" s="333">
        <f t="shared" si="236"/>
        <v>22.845569074064151</v>
      </c>
      <c r="AC499" s="334">
        <f t="shared" si="237"/>
        <v>-24.893250177143344</v>
      </c>
      <c r="AE499" s="333">
        <f t="shared" si="238"/>
        <v>29.925381328164438</v>
      </c>
      <c r="AF499" s="334">
        <f t="shared" si="239"/>
        <v>-115.23093171083674</v>
      </c>
      <c r="AH499">
        <f t="shared" si="240"/>
        <v>0</v>
      </c>
      <c r="AI499">
        <f t="shared" si="245"/>
        <v>0</v>
      </c>
    </row>
    <row r="500" spans="1:35" x14ac:dyDescent="0.2">
      <c r="A500" s="335">
        <v>64197.75</v>
      </c>
      <c r="B500" s="352">
        <f t="shared" si="241"/>
        <v>64.197749999999999</v>
      </c>
      <c r="C500" s="325">
        <f t="shared" si="216"/>
        <v>81.435738239366557</v>
      </c>
      <c r="D500" s="326">
        <f t="shared" si="217"/>
        <v>1.5585163971860891</v>
      </c>
      <c r="E500" s="326">
        <f t="shared" si="218"/>
        <v>1.0032488110064821</v>
      </c>
      <c r="F500" s="327">
        <f t="shared" si="219"/>
        <v>8.0498940091345797E-2</v>
      </c>
      <c r="G500" s="326">
        <f t="shared" si="220"/>
        <v>1</v>
      </c>
      <c r="H500" s="327">
        <f t="shared" si="221"/>
        <v>0</v>
      </c>
      <c r="I500" s="325">
        <f t="shared" si="222"/>
        <v>85207.480797739583</v>
      </c>
      <c r="J500" s="328">
        <f t="shared" si="223"/>
        <v>1.5707845907361533</v>
      </c>
      <c r="K500" s="336">
        <f t="shared" si="243"/>
        <v>16.53601613883129</v>
      </c>
      <c r="L500" s="337">
        <f t="shared" si="244"/>
        <v>1.5102853478813876</v>
      </c>
      <c r="M500" s="325">
        <f t="shared" si="224"/>
        <v>1.0749262508255233</v>
      </c>
      <c r="N500" s="337">
        <f t="shared" si="225"/>
        <v>0.37557631216121906</v>
      </c>
      <c r="O500" s="343">
        <f t="shared" si="226"/>
        <v>1.0673171097280978</v>
      </c>
      <c r="P500" s="691">
        <f t="shared" si="227"/>
        <v>0.3570594099241457</v>
      </c>
      <c r="Q500" s="336">
        <f t="shared" si="242"/>
        <v>15.345368146380922</v>
      </c>
      <c r="R500" s="692">
        <f t="shared" si="228"/>
        <v>0.17246127464760824</v>
      </c>
      <c r="S500" s="329">
        <f t="shared" si="229"/>
        <v>0.99730736558841426</v>
      </c>
      <c r="T500" s="330">
        <f t="shared" si="230"/>
        <v>0.53609943275566196</v>
      </c>
      <c r="U500" s="331">
        <f t="shared" si="231"/>
        <v>-4.4192182469740162</v>
      </c>
      <c r="V500" s="332">
        <f t="shared" si="232"/>
        <v>-129.80899217668252</v>
      </c>
      <c r="W500" s="334">
        <f t="shared" si="233"/>
        <v>50.191007823317477</v>
      </c>
      <c r="Y500" s="307">
        <f t="shared" si="234"/>
        <v>64197.75</v>
      </c>
      <c r="Z500" s="307">
        <f t="shared" si="235"/>
        <v>4121351105.0625</v>
      </c>
      <c r="AB500" s="333">
        <f t="shared" si="236"/>
        <v>22.838714264244135</v>
      </c>
      <c r="AC500" s="334">
        <f t="shared" si="237"/>
        <v>-24.985288879790712</v>
      </c>
      <c r="AE500" s="333">
        <f t="shared" si="238"/>
        <v>29.875144384458103</v>
      </c>
      <c r="AF500" s="334">
        <f t="shared" si="239"/>
        <v>-115.40039736630811</v>
      </c>
      <c r="AH500">
        <f t="shared" si="240"/>
        <v>0</v>
      </c>
      <c r="AI500">
        <f t="shared" si="245"/>
        <v>0</v>
      </c>
    </row>
    <row r="501" spans="1:35" x14ac:dyDescent="0.2">
      <c r="A501" s="335">
        <v>64565</v>
      </c>
      <c r="B501" s="352">
        <f t="shared" si="241"/>
        <v>64.564999999999998</v>
      </c>
      <c r="C501" s="325">
        <f t="shared" si="216"/>
        <v>81.901529922118513</v>
      </c>
      <c r="D501" s="326">
        <f t="shared" si="217"/>
        <v>1.5585862392777363</v>
      </c>
      <c r="E501" s="326">
        <f t="shared" si="218"/>
        <v>1.0032860266103651</v>
      </c>
      <c r="F501" s="327">
        <f t="shared" si="219"/>
        <v>8.0957438957376393E-2</v>
      </c>
      <c r="G501" s="326">
        <f t="shared" si="220"/>
        <v>1</v>
      </c>
      <c r="H501" s="327">
        <f t="shared" si="221"/>
        <v>0</v>
      </c>
      <c r="I501" s="325">
        <f t="shared" si="222"/>
        <v>85694.919178659038</v>
      </c>
      <c r="J501" s="328">
        <f t="shared" si="223"/>
        <v>1.5707846574916333</v>
      </c>
      <c r="K501" s="336">
        <f t="shared" si="243"/>
        <v>16.630267195338511</v>
      </c>
      <c r="L501" s="337">
        <f t="shared" si="244"/>
        <v>1.5106287058978392</v>
      </c>
      <c r="M501" s="325">
        <f t="shared" si="224"/>
        <v>1.075755667794982</v>
      </c>
      <c r="N501" s="337">
        <f t="shared" si="225"/>
        <v>0.3775269124955386</v>
      </c>
      <c r="O501" s="343">
        <f t="shared" si="226"/>
        <v>1.0680648821044669</v>
      </c>
      <c r="P501" s="691">
        <f t="shared" si="227"/>
        <v>0.35893145983717234</v>
      </c>
      <c r="Q501" s="336">
        <f t="shared" si="242"/>
        <v>15.347886277393796</v>
      </c>
      <c r="R501" s="692">
        <f t="shared" si="228"/>
        <v>0.17342909519212774</v>
      </c>
      <c r="S501" s="329">
        <f t="shared" si="229"/>
        <v>0.99739475406155886</v>
      </c>
      <c r="T501" s="330">
        <f t="shared" si="230"/>
        <v>0.53944925788895126</v>
      </c>
      <c r="U501" s="331">
        <f t="shared" si="231"/>
        <v>-4.4714182262271276</v>
      </c>
      <c r="V501" s="332">
        <f t="shared" si="232"/>
        <v>-130.01893812606411</v>
      </c>
      <c r="W501" s="334">
        <f t="shared" si="233"/>
        <v>49.981061873935886</v>
      </c>
      <c r="Y501" s="307">
        <f t="shared" si="234"/>
        <v>64565</v>
      </c>
      <c r="Z501" s="307">
        <f t="shared" si="235"/>
        <v>4168639225</v>
      </c>
      <c r="AB501" s="333">
        <f t="shared" si="236"/>
        <v>22.83183461201638</v>
      </c>
      <c r="AC501" s="334">
        <f t="shared" si="237"/>
        <v>-25.077380906171879</v>
      </c>
      <c r="AE501" s="333">
        <f t="shared" si="238"/>
        <v>29.825165985158204</v>
      </c>
      <c r="AF501" s="334">
        <f t="shared" si="239"/>
        <v>-115.57005981589496</v>
      </c>
      <c r="AH501">
        <f t="shared" si="240"/>
        <v>0</v>
      </c>
      <c r="AI501">
        <f t="shared" si="245"/>
        <v>0</v>
      </c>
    </row>
    <row r="502" spans="1:35" x14ac:dyDescent="0.2">
      <c r="A502" s="335">
        <v>64941</v>
      </c>
      <c r="B502" s="352">
        <f t="shared" si="241"/>
        <v>64.941000000000003</v>
      </c>
      <c r="C502" s="325">
        <f t="shared" si="216"/>
        <v>82.378419841737696</v>
      </c>
      <c r="D502" s="326">
        <f t="shared" si="217"/>
        <v>1.5586569271416768</v>
      </c>
      <c r="E502" s="326">
        <f t="shared" si="218"/>
        <v>1.0033243473963793</v>
      </c>
      <c r="F502" s="327">
        <f t="shared" si="219"/>
        <v>8.1426826554177462E-2</v>
      </c>
      <c r="G502" s="326">
        <f t="shared" si="220"/>
        <v>1</v>
      </c>
      <c r="H502" s="327">
        <f t="shared" si="221"/>
        <v>0</v>
      </c>
      <c r="I502" s="325">
        <f t="shared" si="222"/>
        <v>86193.971135707005</v>
      </c>
      <c r="J502" s="328">
        <f t="shared" si="223"/>
        <v>1.5707847250553915</v>
      </c>
      <c r="K502" s="336">
        <f t="shared" si="243"/>
        <v>16.726765860322217</v>
      </c>
      <c r="L502" s="337">
        <f t="shared" si="244"/>
        <v>1.5109762357709871</v>
      </c>
      <c r="M502" s="325">
        <f t="shared" si="224"/>
        <v>1.0766090801320658</v>
      </c>
      <c r="N502" s="337">
        <f t="shared" si="225"/>
        <v>0.37952086577347366</v>
      </c>
      <c r="O502" s="343">
        <f t="shared" si="226"/>
        <v>1.0688343431509404</v>
      </c>
      <c r="P502" s="691">
        <f t="shared" si="227"/>
        <v>0.36084539202977911</v>
      </c>
      <c r="Q502" s="336">
        <f t="shared" si="242"/>
        <v>15.350478854999377</v>
      </c>
      <c r="R502" s="692">
        <f t="shared" si="228"/>
        <v>0.17441964988523875</v>
      </c>
      <c r="S502" s="329">
        <f t="shared" si="229"/>
        <v>0.9974875380987428</v>
      </c>
      <c r="T502" s="330">
        <f t="shared" si="230"/>
        <v>0.54288325553050554</v>
      </c>
      <c r="U502" s="331">
        <f t="shared" si="231"/>
        <v>-4.5246043518920871</v>
      </c>
      <c r="V502" s="332">
        <f t="shared" si="232"/>
        <v>-130.2342792359288</v>
      </c>
      <c r="W502" s="334">
        <f t="shared" si="233"/>
        <v>49.765720764071204</v>
      </c>
      <c r="Y502" s="307">
        <f t="shared" si="234"/>
        <v>64941</v>
      </c>
      <c r="Z502" s="307">
        <f t="shared" si="235"/>
        <v>4217333481</v>
      </c>
      <c r="AB502" s="333">
        <f t="shared" si="236"/>
        <v>22.824765388074304</v>
      </c>
      <c r="AC502" s="334">
        <f t="shared" si="237"/>
        <v>-25.171717889783718</v>
      </c>
      <c r="AE502" s="333">
        <f t="shared" si="238"/>
        <v>29.774260904801931</v>
      </c>
      <c r="AF502" s="334">
        <f t="shared" si="239"/>
        <v>-115.74396957582671</v>
      </c>
      <c r="AH502">
        <f t="shared" si="240"/>
        <v>0</v>
      </c>
      <c r="AI502">
        <f t="shared" si="245"/>
        <v>0</v>
      </c>
    </row>
    <row r="503" spans="1:35" x14ac:dyDescent="0.2">
      <c r="A503" s="335">
        <v>65317</v>
      </c>
      <c r="B503" s="352">
        <f t="shared" si="241"/>
        <v>65.316999999999993</v>
      </c>
      <c r="C503" s="325">
        <f t="shared" si="216"/>
        <v>82.855310168244827</v>
      </c>
      <c r="D503" s="326">
        <f t="shared" si="217"/>
        <v>1.5587268012896556</v>
      </c>
      <c r="E503" s="326">
        <f t="shared" si="218"/>
        <v>1.0033628892226318</v>
      </c>
      <c r="F503" s="327">
        <f t="shared" si="219"/>
        <v>8.1896178193539906E-2</v>
      </c>
      <c r="G503" s="326">
        <f t="shared" si="220"/>
        <v>1</v>
      </c>
      <c r="H503" s="327">
        <f t="shared" si="221"/>
        <v>0</v>
      </c>
      <c r="I503" s="325">
        <f t="shared" si="222"/>
        <v>86693.023092755335</v>
      </c>
      <c r="J503" s="328">
        <f t="shared" si="223"/>
        <v>1.5707847918412827</v>
      </c>
      <c r="K503" s="336">
        <f t="shared" si="243"/>
        <v>16.82326652233866</v>
      </c>
      <c r="L503" s="337">
        <f t="shared" si="244"/>
        <v>1.5113197787231529</v>
      </c>
      <c r="M503" s="325">
        <f t="shared" si="224"/>
        <v>1.0774667661144157</v>
      </c>
      <c r="N503" s="337">
        <f t="shared" si="225"/>
        <v>0.3815116524993431</v>
      </c>
      <c r="O503" s="343">
        <f t="shared" si="226"/>
        <v>1.0696077138418769</v>
      </c>
      <c r="P503" s="691">
        <f t="shared" si="227"/>
        <v>0.36275656351031393</v>
      </c>
      <c r="Q503" s="336">
        <f t="shared" si="242"/>
        <v>15.353086045658616</v>
      </c>
      <c r="R503" s="692">
        <f t="shared" si="228"/>
        <v>0.17540987419168053</v>
      </c>
      <c r="S503" s="329">
        <f t="shared" si="229"/>
        <v>0.9975837228772505</v>
      </c>
      <c r="T503" s="330">
        <f t="shared" si="230"/>
        <v>0.54632166933280724</v>
      </c>
      <c r="U503" s="331">
        <f t="shared" si="231"/>
        <v>-4.5775337130550495</v>
      </c>
      <c r="V503" s="332">
        <f t="shared" si="232"/>
        <v>-130.45001501738201</v>
      </c>
      <c r="W503" s="334">
        <f t="shared" si="233"/>
        <v>49.549984982617985</v>
      </c>
      <c r="Y503" s="307">
        <f t="shared" si="234"/>
        <v>65317</v>
      </c>
      <c r="Z503" s="307">
        <f t="shared" si="235"/>
        <v>4266310489</v>
      </c>
      <c r="AB503" s="333">
        <f t="shared" si="236"/>
        <v>22.817670285137652</v>
      </c>
      <c r="AC503" s="334">
        <f t="shared" si="237"/>
        <v>-25.26610183250369</v>
      </c>
      <c r="AE503" s="333">
        <f t="shared" si="238"/>
        <v>29.72361924016823</v>
      </c>
      <c r="AF503" s="334">
        <f t="shared" si="239"/>
        <v>-115.91808780085033</v>
      </c>
      <c r="AH503">
        <f t="shared" si="240"/>
        <v>0</v>
      </c>
      <c r="AI503">
        <f t="shared" si="245"/>
        <v>0</v>
      </c>
    </row>
    <row r="504" spans="1:35" x14ac:dyDescent="0.2">
      <c r="A504" s="335">
        <v>65693</v>
      </c>
      <c r="B504" s="352">
        <f t="shared" si="241"/>
        <v>65.692999999999998</v>
      </c>
      <c r="C504" s="325">
        <f t="shared" si="216"/>
        <v>83.332200894654392</v>
      </c>
      <c r="D504" s="326">
        <f t="shared" si="217"/>
        <v>1.558795875691104</v>
      </c>
      <c r="E504" s="326">
        <f t="shared" si="218"/>
        <v>1.0034016520636511</v>
      </c>
      <c r="F504" s="327">
        <f t="shared" si="219"/>
        <v>8.2365493672831372E-2</v>
      </c>
      <c r="G504" s="326">
        <f t="shared" si="220"/>
        <v>1</v>
      </c>
      <c r="H504" s="327">
        <f t="shared" si="221"/>
        <v>0</v>
      </c>
      <c r="I504" s="325">
        <f t="shared" si="222"/>
        <v>87192.075049804043</v>
      </c>
      <c r="J504" s="328">
        <f t="shared" si="223"/>
        <v>1.5707848578626633</v>
      </c>
      <c r="K504" s="336">
        <f t="shared" si="243"/>
        <v>16.919769147218052</v>
      </c>
      <c r="L504" s="337">
        <f t="shared" si="244"/>
        <v>1.5116594028912651</v>
      </c>
      <c r="M504" s="325">
        <f t="shared" si="224"/>
        <v>1.0783287155444579</v>
      </c>
      <c r="N504" s="337">
        <f t="shared" si="225"/>
        <v>0.38349926446800287</v>
      </c>
      <c r="O504" s="343">
        <f t="shared" si="226"/>
        <v>1.0703849857029306</v>
      </c>
      <c r="P504" s="691">
        <f t="shared" si="227"/>
        <v>0.364664966316529</v>
      </c>
      <c r="Q504" s="336">
        <f t="shared" si="242"/>
        <v>15.355707841935089</v>
      </c>
      <c r="R504" s="692">
        <f t="shared" si="228"/>
        <v>0.17639976642416605</v>
      </c>
      <c r="S504" s="329">
        <f t="shared" si="229"/>
        <v>0.99768335727103818</v>
      </c>
      <c r="T504" s="330">
        <f t="shared" si="230"/>
        <v>0.54976450325034421</v>
      </c>
      <c r="U504" s="331">
        <f t="shared" si="231"/>
        <v>-4.6302101049065794</v>
      </c>
      <c r="V504" s="332">
        <f t="shared" si="232"/>
        <v>-130.6661424952143</v>
      </c>
      <c r="W504" s="334">
        <f t="shared" si="233"/>
        <v>49.333857504785698</v>
      </c>
      <c r="Y504" s="307">
        <f t="shared" si="234"/>
        <v>65693</v>
      </c>
      <c r="Z504" s="307">
        <f t="shared" si="235"/>
        <v>4315570249</v>
      </c>
      <c r="AB504" s="333">
        <f t="shared" si="236"/>
        <v>22.810549388012422</v>
      </c>
      <c r="AC504" s="334">
        <f t="shared" si="237"/>
        <v>-25.360528361018474</v>
      </c>
      <c r="AE504" s="333">
        <f t="shared" si="238"/>
        <v>29.67323723403695</v>
      </c>
      <c r="AF504" s="334">
        <f t="shared" si="239"/>
        <v>-116.09241552954073</v>
      </c>
      <c r="AH504">
        <f t="shared" si="240"/>
        <v>0</v>
      </c>
      <c r="AI504">
        <f t="shared" si="245"/>
        <v>0</v>
      </c>
    </row>
    <row r="505" spans="1:35" x14ac:dyDescent="0.2">
      <c r="A505" s="335">
        <v>66069</v>
      </c>
      <c r="B505" s="352">
        <f t="shared" si="241"/>
        <v>66.069000000000003</v>
      </c>
      <c r="C505" s="325">
        <f t="shared" si="216"/>
        <v>83.809092014139736</v>
      </c>
      <c r="D505" s="326">
        <f t="shared" si="217"/>
        <v>1.5588641639975283</v>
      </c>
      <c r="E505" s="326">
        <f t="shared" si="218"/>
        <v>1.0034406358938239</v>
      </c>
      <c r="F505" s="327">
        <f t="shared" si="219"/>
        <v>8.2834772789514385E-2</v>
      </c>
      <c r="G505" s="326">
        <f t="shared" si="220"/>
        <v>1</v>
      </c>
      <c r="H505" s="327">
        <f t="shared" si="221"/>
        <v>0</v>
      </c>
      <c r="I505" s="325">
        <f t="shared" si="222"/>
        <v>87691.127006853145</v>
      </c>
      <c r="J505" s="328">
        <f t="shared" si="223"/>
        <v>1.5707849231325861</v>
      </c>
      <c r="K505" s="336">
        <f t="shared" si="243"/>
        <v>17.016273701565051</v>
      </c>
      <c r="L505" s="337">
        <f t="shared" si="244"/>
        <v>1.5119951748702136</v>
      </c>
      <c r="M505" s="325">
        <f t="shared" si="224"/>
        <v>1.079194918206587</v>
      </c>
      <c r="N505" s="337">
        <f t="shared" si="225"/>
        <v>0.38548369360079432</v>
      </c>
      <c r="O505" s="343">
        <f t="shared" si="226"/>
        <v>1.0711661502416661</v>
      </c>
      <c r="P505" s="691">
        <f t="shared" si="227"/>
        <v>0.36657059258989644</v>
      </c>
      <c r="Q505" s="336">
        <f t="shared" si="242"/>
        <v>15.358344236355808</v>
      </c>
      <c r="R505" s="692">
        <f t="shared" si="228"/>
        <v>0.1773893248990828</v>
      </c>
      <c r="S505" s="329">
        <f t="shared" si="229"/>
        <v>0.99778649038690281</v>
      </c>
      <c r="T505" s="330">
        <f t="shared" si="230"/>
        <v>0.55321176079850309</v>
      </c>
      <c r="U505" s="331">
        <f t="shared" si="231"/>
        <v>-4.6826372650558969</v>
      </c>
      <c r="V505" s="332">
        <f t="shared" si="232"/>
        <v>-130.88265874068568</v>
      </c>
      <c r="W505" s="334">
        <f t="shared" si="233"/>
        <v>49.117341259314315</v>
      </c>
      <c r="Y505" s="307">
        <f t="shared" si="234"/>
        <v>66069</v>
      </c>
      <c r="Z505" s="307">
        <f t="shared" si="235"/>
        <v>4365112761</v>
      </c>
      <c r="AB505" s="333">
        <f t="shared" si="236"/>
        <v>22.803402783558568</v>
      </c>
      <c r="AC505" s="334">
        <f t="shared" si="237"/>
        <v>-25.454993197596774</v>
      </c>
      <c r="AE505" s="333">
        <f t="shared" si="238"/>
        <v>29.623111184785238</v>
      </c>
      <c r="AF505" s="334">
        <f t="shared" si="239"/>
        <v>-116.26695375709292</v>
      </c>
      <c r="AH505">
        <f t="shared" si="240"/>
        <v>0</v>
      </c>
      <c r="AI505">
        <f t="shared" si="245"/>
        <v>0</v>
      </c>
    </row>
    <row r="506" spans="1:35" x14ac:dyDescent="0.2">
      <c r="A506" s="335">
        <v>66453.75</v>
      </c>
      <c r="B506" s="352">
        <f t="shared" si="241"/>
        <v>66.453749999999999</v>
      </c>
      <c r="C506" s="325">
        <f t="shared" si="216"/>
        <v>84.297081398716557</v>
      </c>
      <c r="D506" s="326">
        <f t="shared" si="217"/>
        <v>1.5589332416292305</v>
      </c>
      <c r="E506" s="326">
        <f t="shared" si="218"/>
        <v>1.003480755663664</v>
      </c>
      <c r="F506" s="327">
        <f t="shared" si="219"/>
        <v>8.331493477737284E-2</v>
      </c>
      <c r="G506" s="326">
        <f t="shared" si="220"/>
        <v>1</v>
      </c>
      <c r="H506" s="327">
        <f t="shared" si="221"/>
        <v>0</v>
      </c>
      <c r="I506" s="325">
        <f t="shared" si="222"/>
        <v>88201.792540030758</v>
      </c>
      <c r="J506" s="328">
        <f t="shared" si="223"/>
        <v>1.5707849891568371</v>
      </c>
      <c r="K506" s="336">
        <f t="shared" si="243"/>
        <v>17.115026003382191</v>
      </c>
      <c r="L506" s="337">
        <f t="shared" si="244"/>
        <v>1.512334840891415</v>
      </c>
      <c r="M506" s="325">
        <f t="shared" si="224"/>
        <v>1.0800856706860098</v>
      </c>
      <c r="N506" s="337">
        <f t="shared" si="225"/>
        <v>0.3875109998367518</v>
      </c>
      <c r="O506" s="343">
        <f t="shared" si="226"/>
        <v>1.0719695142115844</v>
      </c>
      <c r="P506" s="691">
        <f t="shared" si="227"/>
        <v>0.36851768292503173</v>
      </c>
      <c r="Q506" s="336">
        <f t="shared" si="242"/>
        <v>15.361057086879425</v>
      </c>
      <c r="R506" s="692">
        <f t="shared" si="228"/>
        <v>0.17840156441210128</v>
      </c>
      <c r="S506" s="329">
        <f t="shared" si="229"/>
        <v>0.99789569681205137</v>
      </c>
      <c r="T506" s="330">
        <f t="shared" si="230"/>
        <v>0.55674382287708335</v>
      </c>
      <c r="U506" s="331">
        <f t="shared" si="231"/>
        <v>-4.7360303131425256</v>
      </c>
      <c r="V506" s="332">
        <f t="shared" si="232"/>
        <v>-131.10461303035999</v>
      </c>
      <c r="W506" s="334">
        <f t="shared" si="233"/>
        <v>48.895386969640015</v>
      </c>
      <c r="Y506" s="307">
        <f t="shared" si="234"/>
        <v>66453.75</v>
      </c>
      <c r="Z506" s="307">
        <f t="shared" si="235"/>
        <v>4416100889.0625</v>
      </c>
      <c r="AB506" s="333">
        <f t="shared" si="236"/>
        <v>22.796063349530137</v>
      </c>
      <c r="AC506" s="334">
        <f t="shared" si="237"/>
        <v>-25.55169164226027</v>
      </c>
      <c r="AE506" s="333">
        <f t="shared" si="238"/>
        <v>29.572079794670564</v>
      </c>
      <c r="AF506" s="334">
        <f t="shared" si="239"/>
        <v>-116.44577260874649</v>
      </c>
      <c r="AH506">
        <f t="shared" si="240"/>
        <v>0</v>
      </c>
      <c r="AI506">
        <f t="shared" si="245"/>
        <v>0</v>
      </c>
    </row>
    <row r="507" spans="1:35" x14ac:dyDescent="0.2">
      <c r="A507" s="335">
        <v>66838.5</v>
      </c>
      <c r="B507" s="352">
        <f t="shared" si="241"/>
        <v>66.838499999999996</v>
      </c>
      <c r="C507" s="325">
        <f t="shared" si="216"/>
        <v>84.785071180905092</v>
      </c>
      <c r="D507" s="326">
        <f t="shared" si="217"/>
        <v>1.5590015240934747</v>
      </c>
      <c r="E507" s="326">
        <f t="shared" si="218"/>
        <v>1.0035211067730163</v>
      </c>
      <c r="F507" s="327">
        <f t="shared" si="219"/>
        <v>8.3795058261745881E-2</v>
      </c>
      <c r="G507" s="326">
        <f t="shared" si="220"/>
        <v>1</v>
      </c>
      <c r="H507" s="327">
        <f t="shared" si="221"/>
        <v>0</v>
      </c>
      <c r="I507" s="325">
        <f t="shared" si="222"/>
        <v>88712.458073208763</v>
      </c>
      <c r="J507" s="328">
        <f t="shared" si="223"/>
        <v>1.5707850544209625</v>
      </c>
      <c r="K507" s="336">
        <f t="shared" si="243"/>
        <v>17.213780257155218</v>
      </c>
      <c r="L507" s="337">
        <f t="shared" si="244"/>
        <v>1.512670609670556</v>
      </c>
      <c r="M507" s="325">
        <f t="shared" si="224"/>
        <v>1.080980854959255</v>
      </c>
      <c r="N507" s="337">
        <f t="shared" si="225"/>
        <v>0.38953495666494964</v>
      </c>
      <c r="O507" s="343">
        <f t="shared" si="226"/>
        <v>1.0727769360945159</v>
      </c>
      <c r="P507" s="691">
        <f t="shared" si="227"/>
        <v>0.37046184967986323</v>
      </c>
      <c r="Q507" s="336">
        <f t="shared" si="242"/>
        <v>15.363785206939257</v>
      </c>
      <c r="R507" s="692">
        <f t="shared" si="228"/>
        <v>0.1794134508979279</v>
      </c>
      <c r="S507" s="329">
        <f t="shared" si="229"/>
        <v>0.99800867146667016</v>
      </c>
      <c r="T507" s="330">
        <f t="shared" si="230"/>
        <v>0.56028052289313246</v>
      </c>
      <c r="U507" s="331">
        <f t="shared" si="231"/>
        <v>-4.7891701339972936</v>
      </c>
      <c r="V507" s="332">
        <f t="shared" si="232"/>
        <v>-131.32696832751083</v>
      </c>
      <c r="W507" s="334">
        <f t="shared" si="233"/>
        <v>48.673031672489174</v>
      </c>
      <c r="Y507" s="307">
        <f t="shared" si="234"/>
        <v>66838.5</v>
      </c>
      <c r="Z507" s="307">
        <f t="shared" si="235"/>
        <v>4467385082.25</v>
      </c>
      <c r="AB507" s="333">
        <f t="shared" si="236"/>
        <v>22.78869718804199</v>
      </c>
      <c r="AC507" s="334">
        <f t="shared" si="237"/>
        <v>-25.648421431965115</v>
      </c>
      <c r="AE507" s="333">
        <f t="shared" si="238"/>
        <v>29.521308743786587</v>
      </c>
      <c r="AF507" s="334">
        <f t="shared" si="239"/>
        <v>-116.6248138409908</v>
      </c>
      <c r="AH507">
        <f t="shared" si="240"/>
        <v>0</v>
      </c>
      <c r="AI507">
        <f t="shared" si="245"/>
        <v>0</v>
      </c>
    </row>
    <row r="508" spans="1:35" x14ac:dyDescent="0.2">
      <c r="A508" s="335">
        <v>67223.25</v>
      </c>
      <c r="B508" s="352">
        <f t="shared" si="241"/>
        <v>67.223249999999993</v>
      </c>
      <c r="C508" s="325">
        <f t="shared" si="216"/>
        <v>85.273061353879115</v>
      </c>
      <c r="D508" s="326">
        <f t="shared" si="217"/>
        <v>1.5590690250410777</v>
      </c>
      <c r="E508" s="326">
        <f t="shared" si="218"/>
        <v>1.0035616891939756</v>
      </c>
      <c r="F508" s="327">
        <f t="shared" si="219"/>
        <v>8.4275143025936625E-2</v>
      </c>
      <c r="G508" s="326">
        <f t="shared" si="220"/>
        <v>1</v>
      </c>
      <c r="H508" s="327">
        <f t="shared" si="221"/>
        <v>0</v>
      </c>
      <c r="I508" s="325">
        <f t="shared" si="222"/>
        <v>89223.123606387133</v>
      </c>
      <c r="J508" s="328">
        <f t="shared" si="223"/>
        <v>1.5707851189380138</v>
      </c>
      <c r="K508" s="336">
        <f t="shared" si="243"/>
        <v>17.312536429481071</v>
      </c>
      <c r="L508" s="337">
        <f t="shared" si="244"/>
        <v>1.5130025478245683</v>
      </c>
      <c r="M508" s="325">
        <f t="shared" si="224"/>
        <v>1.0818804600252767</v>
      </c>
      <c r="N508" s="337">
        <f t="shared" si="225"/>
        <v>0.39155555583837831</v>
      </c>
      <c r="O508" s="343">
        <f t="shared" si="226"/>
        <v>1.0735884067348631</v>
      </c>
      <c r="P508" s="691">
        <f t="shared" si="227"/>
        <v>0.37240308477023182</v>
      </c>
      <c r="Q508" s="336">
        <f t="shared" si="242"/>
        <v>15.366528588410123</v>
      </c>
      <c r="R508" s="692">
        <f t="shared" si="228"/>
        <v>0.1804249825646991</v>
      </c>
      <c r="S508" s="329">
        <f t="shared" si="229"/>
        <v>0.99812546771128441</v>
      </c>
      <c r="T508" s="330">
        <f t="shared" si="230"/>
        <v>0.56382186316207816</v>
      </c>
      <c r="U508" s="331">
        <f t="shared" si="231"/>
        <v>-4.8420605536317458</v>
      </c>
      <c r="V508" s="332">
        <f t="shared" si="232"/>
        <v>-131.54972163123432</v>
      </c>
      <c r="W508" s="334">
        <f t="shared" si="233"/>
        <v>48.45027836876568</v>
      </c>
      <c r="Y508" s="307">
        <f t="shared" si="234"/>
        <v>67223.25</v>
      </c>
      <c r="Z508" s="307">
        <f t="shared" si="235"/>
        <v>4518965340.5625</v>
      </c>
      <c r="AB508" s="333">
        <f t="shared" si="236"/>
        <v>22.781304398349018</v>
      </c>
      <c r="AC508" s="334">
        <f t="shared" si="237"/>
        <v>-25.74517827807124</v>
      </c>
      <c r="AE508" s="333">
        <f t="shared" si="238"/>
        <v>29.470794238671939</v>
      </c>
      <c r="AF508" s="334">
        <f t="shared" si="239"/>
        <v>-116.80407838104007</v>
      </c>
      <c r="AH508">
        <f t="shared" si="240"/>
        <v>0</v>
      </c>
      <c r="AI508">
        <f t="shared" si="245"/>
        <v>0</v>
      </c>
    </row>
    <row r="509" spans="1:35" x14ac:dyDescent="0.2">
      <c r="A509" s="335">
        <v>67608</v>
      </c>
      <c r="B509" s="352">
        <f t="shared" si="241"/>
        <v>67.608000000000004</v>
      </c>
      <c r="C509" s="325">
        <f t="shared" si="216"/>
        <v>85.761051910967822</v>
      </c>
      <c r="D509" s="326">
        <f t="shared" si="217"/>
        <v>1.5591357578121863</v>
      </c>
      <c r="E509" s="326">
        <f t="shared" si="218"/>
        <v>1.0036025028984812</v>
      </c>
      <c r="F509" s="327">
        <f t="shared" si="219"/>
        <v>8.4755188853354507E-2</v>
      </c>
      <c r="G509" s="326">
        <f t="shared" si="220"/>
        <v>1</v>
      </c>
      <c r="H509" s="327">
        <f t="shared" si="221"/>
        <v>0</v>
      </c>
      <c r="I509" s="325">
        <f t="shared" si="222"/>
        <v>89733.789139565881</v>
      </c>
      <c r="J509" s="328">
        <f t="shared" si="223"/>
        <v>1.5707851827207455</v>
      </c>
      <c r="K509" s="336">
        <f t="shared" si="243"/>
        <v>17.411294487713874</v>
      </c>
      <c r="L509" s="337">
        <f t="shared" si="244"/>
        <v>1.5133307204623809</v>
      </c>
      <c r="M509" s="325">
        <f t="shared" si="224"/>
        <v>1.0827844748653515</v>
      </c>
      <c r="N509" s="337">
        <f t="shared" si="225"/>
        <v>0.39357278924703715</v>
      </c>
      <c r="O509" s="343">
        <f t="shared" si="226"/>
        <v>1.074403916958848</v>
      </c>
      <c r="P509" s="691">
        <f t="shared" si="227"/>
        <v>0.37434138022472074</v>
      </c>
      <c r="Q509" s="336">
        <f t="shared" si="242"/>
        <v>15.369287223127229</v>
      </c>
      <c r="R509" s="692">
        <f t="shared" si="228"/>
        <v>0.18143615762464477</v>
      </c>
      <c r="S509" s="329">
        <f t="shared" si="229"/>
        <v>0.99824613915336213</v>
      </c>
      <c r="T509" s="330">
        <f t="shared" si="230"/>
        <v>0.56736784550226305</v>
      </c>
      <c r="U509" s="331">
        <f t="shared" si="231"/>
        <v>-4.8947053405833323</v>
      </c>
      <c r="V509" s="332">
        <f t="shared" si="232"/>
        <v>-131.77286998234976</v>
      </c>
      <c r="W509" s="334">
        <f t="shared" si="233"/>
        <v>48.227130017650239</v>
      </c>
      <c r="Y509" s="307">
        <f t="shared" si="234"/>
        <v>67608</v>
      </c>
      <c r="Z509" s="307">
        <f t="shared" si="235"/>
        <v>4570841664</v>
      </c>
      <c r="AB509" s="333">
        <f t="shared" si="236"/>
        <v>22.773885081636521</v>
      </c>
      <c r="AC509" s="334">
        <f t="shared" si="237"/>
        <v>-25.841957986173764</v>
      </c>
      <c r="AE509" s="333">
        <f t="shared" si="238"/>
        <v>29.420532541454662</v>
      </c>
      <c r="AF509" s="334">
        <f t="shared" si="239"/>
        <v>-116.98356710982152</v>
      </c>
      <c r="AH509">
        <f t="shared" si="240"/>
        <v>0</v>
      </c>
      <c r="AI509">
        <f t="shared" si="245"/>
        <v>0</v>
      </c>
    </row>
    <row r="510" spans="1:35" x14ac:dyDescent="0.2">
      <c r="A510" s="335">
        <v>68001.75</v>
      </c>
      <c r="B510" s="352">
        <f t="shared" si="241"/>
        <v>68.001750000000001</v>
      </c>
      <c r="C510" s="325">
        <f t="shared" si="216"/>
        <v>86.260457842743364</v>
      </c>
      <c r="D510" s="326">
        <f t="shared" si="217"/>
        <v>1.5592032698463403</v>
      </c>
      <c r="E510" s="326">
        <f t="shared" si="218"/>
        <v>1.0036445107421181</v>
      </c>
      <c r="F510" s="327">
        <f t="shared" si="219"/>
        <v>8.5246423283420331E-2</v>
      </c>
      <c r="G510" s="326">
        <f t="shared" si="220"/>
        <v>1</v>
      </c>
      <c r="H510" s="327">
        <f t="shared" si="221"/>
        <v>0</v>
      </c>
      <c r="I510" s="325">
        <f t="shared" si="222"/>
        <v>90256.400065333946</v>
      </c>
      <c r="J510" s="328">
        <f t="shared" si="223"/>
        <v>1.5707852472481909</v>
      </c>
      <c r="K510" s="336">
        <f t="shared" si="243"/>
        <v>17.512364595267332</v>
      </c>
      <c r="L510" s="337">
        <f t="shared" si="244"/>
        <v>1.5136627373822205</v>
      </c>
      <c r="M510" s="325">
        <f t="shared" si="224"/>
        <v>1.0837141904455065</v>
      </c>
      <c r="N510" s="337">
        <f t="shared" si="225"/>
        <v>0.39563371630055633</v>
      </c>
      <c r="O510" s="343">
        <f t="shared" si="226"/>
        <v>1.0752426762830998</v>
      </c>
      <c r="P510" s="691">
        <f t="shared" si="227"/>
        <v>0.37632196413890801</v>
      </c>
      <c r="Q510" s="336">
        <f t="shared" si="242"/>
        <v>15.372126171371452</v>
      </c>
      <c r="R510" s="692">
        <f t="shared" si="228"/>
        <v>0.18247061482435023</v>
      </c>
      <c r="S510" s="329">
        <f t="shared" si="229"/>
        <v>0.99837370174145912</v>
      </c>
      <c r="T510" s="330">
        <f t="shared" si="230"/>
        <v>0.57100158239022381</v>
      </c>
      <c r="U510" s="331">
        <f t="shared" si="231"/>
        <v>-4.9483311392609144</v>
      </c>
      <c r="V510" s="332">
        <f t="shared" si="232"/>
        <v>-132.00164414852455</v>
      </c>
      <c r="W510" s="334">
        <f t="shared" si="233"/>
        <v>47.998355851475452</v>
      </c>
      <c r="Y510" s="307">
        <f t="shared" si="234"/>
        <v>68001.75</v>
      </c>
      <c r="Z510" s="307">
        <f t="shared" si="235"/>
        <v>4624238003.0625</v>
      </c>
      <c r="AB510" s="333">
        <f t="shared" si="236"/>
        <v>22.76626485613432</v>
      </c>
      <c r="AC510" s="334">
        <f t="shared" si="237"/>
        <v>-25.941020937254489</v>
      </c>
      <c r="AE510" s="333">
        <f t="shared" si="238"/>
        <v>29.369353036329446</v>
      </c>
      <c r="AF510" s="334">
        <f t="shared" si="239"/>
        <v>-117.1674873926019</v>
      </c>
      <c r="AH510">
        <f t="shared" si="240"/>
        <v>0</v>
      </c>
      <c r="AI510">
        <f t="shared" si="245"/>
        <v>0</v>
      </c>
    </row>
    <row r="511" spans="1:35" x14ac:dyDescent="0.2">
      <c r="A511" s="335">
        <v>68395.5</v>
      </c>
      <c r="B511" s="352">
        <f t="shared" si="241"/>
        <v>68.395499999999998</v>
      </c>
      <c r="C511" s="325">
        <f t="shared" si="216"/>
        <v>86.759864163157005</v>
      </c>
      <c r="D511" s="326">
        <f t="shared" si="217"/>
        <v>1.5592700046565138</v>
      </c>
      <c r="E511" s="326">
        <f t="shared" si="218"/>
        <v>1.0036867607561744</v>
      </c>
      <c r="F511" s="327">
        <f t="shared" si="219"/>
        <v>8.5737616475157971E-2</v>
      </c>
      <c r="G511" s="326">
        <f t="shared" si="220"/>
        <v>1</v>
      </c>
      <c r="H511" s="327">
        <f t="shared" si="221"/>
        <v>0</v>
      </c>
      <c r="I511" s="325">
        <f t="shared" si="222"/>
        <v>90779.010991102419</v>
      </c>
      <c r="J511" s="328">
        <f t="shared" si="223"/>
        <v>1.5707853110326724</v>
      </c>
      <c r="K511" s="336">
        <f t="shared" si="243"/>
        <v>17.613436611145186</v>
      </c>
      <c r="L511" s="337">
        <f t="shared" si="244"/>
        <v>1.5139909438811241</v>
      </c>
      <c r="M511" s="325">
        <f t="shared" si="224"/>
        <v>1.0846485011129592</v>
      </c>
      <c r="N511" s="337">
        <f t="shared" si="225"/>
        <v>0.39769110153611031</v>
      </c>
      <c r="O511" s="343">
        <f t="shared" si="226"/>
        <v>1.0760856468904785</v>
      </c>
      <c r="P511" s="691">
        <f t="shared" si="227"/>
        <v>0.37829945274966353</v>
      </c>
      <c r="Q511" s="336">
        <f t="shared" si="242"/>
        <v>15.374981077381133</v>
      </c>
      <c r="R511" s="692">
        <f t="shared" si="228"/>
        <v>0.18350469476337061</v>
      </c>
      <c r="S511" s="329">
        <f t="shared" si="229"/>
        <v>0.99850543732859243</v>
      </c>
      <c r="T511" s="330">
        <f t="shared" si="230"/>
        <v>0.57464018330449051</v>
      </c>
      <c r="U511" s="331">
        <f t="shared" si="231"/>
        <v>-5.0017074867074189</v>
      </c>
      <c r="V511" s="332">
        <f t="shared" si="232"/>
        <v>-132.23082591363271</v>
      </c>
      <c r="W511" s="334">
        <f t="shared" si="233"/>
        <v>47.769174086367286</v>
      </c>
      <c r="Y511" s="307">
        <f t="shared" si="234"/>
        <v>68395.5</v>
      </c>
      <c r="Z511" s="307">
        <f t="shared" si="235"/>
        <v>4677944420.25</v>
      </c>
      <c r="AB511" s="333">
        <f t="shared" si="236"/>
        <v>22.758617068370643</v>
      </c>
      <c r="AC511" s="334">
        <f t="shared" si="237"/>
        <v>-26.04009923558311</v>
      </c>
      <c r="AE511" s="333">
        <f t="shared" si="238"/>
        <v>29.318430556481985</v>
      </c>
      <c r="AF511" s="334">
        <f t="shared" si="239"/>
        <v>-117.35164419468968</v>
      </c>
      <c r="AH511">
        <f t="shared" si="240"/>
        <v>0</v>
      </c>
      <c r="AI511">
        <f t="shared" si="245"/>
        <v>0</v>
      </c>
    </row>
    <row r="512" spans="1:35" x14ac:dyDescent="0.2">
      <c r="A512" s="335">
        <v>68789.25</v>
      </c>
      <c r="B512" s="352">
        <f t="shared" si="241"/>
        <v>68.789249999999996</v>
      </c>
      <c r="C512" s="325">
        <f t="shared" si="216"/>
        <v>87.259270865535953</v>
      </c>
      <c r="D512" s="326">
        <f t="shared" si="217"/>
        <v>1.5593359755868506</v>
      </c>
      <c r="E512" s="326">
        <f t="shared" si="218"/>
        <v>1.0037292529100694</v>
      </c>
      <c r="F512" s="327">
        <f t="shared" si="219"/>
        <v>8.6228768196768904E-2</v>
      </c>
      <c r="G512" s="326">
        <f t="shared" si="220"/>
        <v>1</v>
      </c>
      <c r="H512" s="327">
        <f t="shared" si="221"/>
        <v>0</v>
      </c>
      <c r="I512" s="325">
        <f t="shared" si="222"/>
        <v>91301.621916871227</v>
      </c>
      <c r="J512" s="328">
        <f t="shared" si="223"/>
        <v>1.5707853740869488</v>
      </c>
      <c r="K512" s="336">
        <f t="shared" si="243"/>
        <v>17.714510502682998</v>
      </c>
      <c r="L512" s="337">
        <f t="shared" si="244"/>
        <v>1.5143154051112622</v>
      </c>
      <c r="M512" s="325">
        <f t="shared" si="224"/>
        <v>1.0855873950034254</v>
      </c>
      <c r="N512" s="337">
        <f t="shared" si="225"/>
        <v>0.39974493670389277</v>
      </c>
      <c r="O512" s="343">
        <f t="shared" si="226"/>
        <v>1.0769328188918217</v>
      </c>
      <c r="P512" s="691">
        <f t="shared" si="227"/>
        <v>0.38027383787796692</v>
      </c>
      <c r="Q512" s="336">
        <f t="shared" si="242"/>
        <v>15.377851932276817</v>
      </c>
      <c r="R512" s="692">
        <f t="shared" si="228"/>
        <v>0.18453839553894255</v>
      </c>
      <c r="S512" s="329">
        <f t="shared" si="229"/>
        <v>0.99864140416145941</v>
      </c>
      <c r="T512" s="330">
        <f t="shared" si="230"/>
        <v>0.57828364855145442</v>
      </c>
      <c r="U512" s="331">
        <f t="shared" si="231"/>
        <v>-5.0548382437131796</v>
      </c>
      <c r="V512" s="332">
        <f t="shared" si="232"/>
        <v>-132.46041222778402</v>
      </c>
      <c r="W512" s="334">
        <f t="shared" si="233"/>
        <v>47.539587772215981</v>
      </c>
      <c r="Y512" s="307">
        <f t="shared" si="234"/>
        <v>68789.25</v>
      </c>
      <c r="Z512" s="307">
        <f t="shared" si="235"/>
        <v>4731960915.5625</v>
      </c>
      <c r="AB512" s="333">
        <f t="shared" si="236"/>
        <v>22.750941832602702</v>
      </c>
      <c r="AC512" s="334">
        <f t="shared" si="237"/>
        <v>-26.13918867626721</v>
      </c>
      <c r="AE512" s="333">
        <f t="shared" si="238"/>
        <v>29.267761268284943</v>
      </c>
      <c r="AF512" s="334">
        <f t="shared" si="239"/>
        <v>-117.53603831148396</v>
      </c>
      <c r="AH512">
        <f t="shared" si="240"/>
        <v>0</v>
      </c>
      <c r="AI512">
        <f t="shared" si="245"/>
        <v>0</v>
      </c>
    </row>
    <row r="513" spans="1:35" x14ac:dyDescent="0.2">
      <c r="A513" s="335">
        <v>69183</v>
      </c>
      <c r="B513" s="352">
        <f t="shared" si="241"/>
        <v>69.183000000000007</v>
      </c>
      <c r="C513" s="325">
        <f t="shared" si="216"/>
        <v>87.75867794335926</v>
      </c>
      <c r="D513" s="326">
        <f t="shared" si="217"/>
        <v>1.5594011956777725</v>
      </c>
      <c r="E513" s="326">
        <f t="shared" si="218"/>
        <v>1.0037719871730517</v>
      </c>
      <c r="F513" s="327">
        <f t="shared" si="219"/>
        <v>8.6719878216573773E-2</v>
      </c>
      <c r="G513" s="326">
        <f t="shared" si="220"/>
        <v>1</v>
      </c>
      <c r="H513" s="327">
        <f t="shared" si="221"/>
        <v>0</v>
      </c>
      <c r="I513" s="325">
        <f t="shared" si="222"/>
        <v>91824.232842640413</v>
      </c>
      <c r="J513" s="328">
        <f t="shared" si="223"/>
        <v>1.5707854364234874</v>
      </c>
      <c r="K513" s="336">
        <f t="shared" si="243"/>
        <v>17.815586237956996</v>
      </c>
      <c r="L513" s="337">
        <f t="shared" si="244"/>
        <v>1.5146361847494518</v>
      </c>
      <c r="M513" s="325">
        <f t="shared" si="224"/>
        <v>1.0865308602355304</v>
      </c>
      <c r="N513" s="337">
        <f t="shared" si="225"/>
        <v>0.40179521370234222</v>
      </c>
      <c r="O513" s="343">
        <f t="shared" si="226"/>
        <v>1.0777841823798489</v>
      </c>
      <c r="P513" s="691">
        <f t="shared" si="227"/>
        <v>0.38224511146723278</v>
      </c>
      <c r="Q513" s="336">
        <f t="shared" si="242"/>
        <v>15.380738727136103</v>
      </c>
      <c r="R513" s="692">
        <f t="shared" si="228"/>
        <v>0.18557171525286342</v>
      </c>
      <c r="S513" s="329">
        <f t="shared" si="229"/>
        <v>0.99878166074753216</v>
      </c>
      <c r="T513" s="330">
        <f t="shared" si="230"/>
        <v>0.58193197787513218</v>
      </c>
      <c r="U513" s="331">
        <f t="shared" si="231"/>
        <v>-5.1077272136435958</v>
      </c>
      <c r="V513" s="332">
        <f t="shared" si="232"/>
        <v>-132.69040007771252</v>
      </c>
      <c r="W513" s="334">
        <f t="shared" si="233"/>
        <v>47.309599922287475</v>
      </c>
      <c r="Y513" s="307">
        <f t="shared" si="234"/>
        <v>69183</v>
      </c>
      <c r="Z513" s="307">
        <f t="shared" si="235"/>
        <v>4786287489</v>
      </c>
      <c r="AB513" s="333">
        <f t="shared" si="236"/>
        <v>22.743239264892814</v>
      </c>
      <c r="AC513" s="334">
        <f t="shared" si="237"/>
        <v>-26.238285147422914</v>
      </c>
      <c r="AE513" s="333">
        <f t="shared" si="238"/>
        <v>29.21734139374724</v>
      </c>
      <c r="AF513" s="334">
        <f t="shared" si="239"/>
        <v>-117.7206704887534</v>
      </c>
      <c r="AH513">
        <f t="shared" si="240"/>
        <v>0</v>
      </c>
      <c r="AI513">
        <f t="shared" si="245"/>
        <v>0</v>
      </c>
    </row>
    <row r="514" spans="1:35" x14ac:dyDescent="0.2">
      <c r="A514" s="335">
        <v>69586</v>
      </c>
      <c r="B514" s="352">
        <f t="shared" si="241"/>
        <v>69.585999999999999</v>
      </c>
      <c r="C514" s="325">
        <f t="shared" si="216"/>
        <v>88.269817506090604</v>
      </c>
      <c r="D514" s="326">
        <f t="shared" si="217"/>
        <v>1.559467183717969</v>
      </c>
      <c r="E514" s="326">
        <f t="shared" si="218"/>
        <v>1.0038159760271401</v>
      </c>
      <c r="F514" s="327">
        <f t="shared" si="219"/>
        <v>8.7222481999679982E-2</v>
      </c>
      <c r="G514" s="326">
        <f t="shared" si="220"/>
        <v>1</v>
      </c>
      <c r="H514" s="327">
        <f t="shared" si="221"/>
        <v>0</v>
      </c>
      <c r="I514" s="325">
        <f t="shared" si="222"/>
        <v>92359.120977459781</v>
      </c>
      <c r="J514" s="328">
        <f t="shared" si="223"/>
        <v>1.5707854994939281</v>
      </c>
      <c r="K514" s="336">
        <f t="shared" si="243"/>
        <v>17.919038327475388</v>
      </c>
      <c r="L514" s="337">
        <f t="shared" si="244"/>
        <v>1.5149607527727094</v>
      </c>
      <c r="M514" s="325">
        <f t="shared" si="224"/>
        <v>1.0875012106841813</v>
      </c>
      <c r="N514" s="337">
        <f t="shared" si="225"/>
        <v>0.40388996310401193</v>
      </c>
      <c r="O514" s="343">
        <f t="shared" si="226"/>
        <v>1.0786598761382744</v>
      </c>
      <c r="P514" s="691">
        <f t="shared" si="227"/>
        <v>0.3842594640186171</v>
      </c>
      <c r="Q514" s="336">
        <f t="shared" si="242"/>
        <v>15.383709835462941</v>
      </c>
      <c r="R514" s="692">
        <f t="shared" si="228"/>
        <v>0.18662891320822286</v>
      </c>
      <c r="S514" s="329">
        <f t="shared" si="229"/>
        <v>0.99892971568053934</v>
      </c>
      <c r="T514" s="330">
        <f t="shared" si="230"/>
        <v>0.58567104994064312</v>
      </c>
      <c r="U514" s="331">
        <f t="shared" si="231"/>
        <v>-5.1616121910879409</v>
      </c>
      <c r="V514" s="332">
        <f t="shared" si="232"/>
        <v>-132.92620350422524</v>
      </c>
      <c r="W514" s="334">
        <f t="shared" si="233"/>
        <v>47.073796495774758</v>
      </c>
      <c r="Y514" s="307">
        <f t="shared" si="234"/>
        <v>69586</v>
      </c>
      <c r="Z514" s="307">
        <f t="shared" si="235"/>
        <v>4842211396</v>
      </c>
      <c r="AB514" s="333">
        <f t="shared" si="236"/>
        <v>22.735327568307852</v>
      </c>
      <c r="AC514" s="334">
        <f t="shared" si="237"/>
        <v>-26.339712683164539</v>
      </c>
      <c r="AE514" s="333">
        <f t="shared" si="238"/>
        <v>29.165991437947014</v>
      </c>
      <c r="AF514" s="334">
        <f t="shared" si="239"/>
        <v>-117.90988729828095</v>
      </c>
      <c r="AH514">
        <f t="shared" si="240"/>
        <v>0</v>
      </c>
      <c r="AI514">
        <f t="shared" si="245"/>
        <v>0</v>
      </c>
    </row>
    <row r="515" spans="1:35" x14ac:dyDescent="0.2">
      <c r="A515" s="335">
        <v>69989</v>
      </c>
      <c r="B515" s="352">
        <f t="shared" si="241"/>
        <v>69.989000000000004</v>
      </c>
      <c r="C515" s="325">
        <f t="shared" si="216"/>
        <v>88.780957448760134</v>
      </c>
      <c r="D515" s="326">
        <f t="shared" si="217"/>
        <v>1.5595324119305725</v>
      </c>
      <c r="E515" s="326">
        <f t="shared" si="218"/>
        <v>1.0038602184334866</v>
      </c>
      <c r="F515" s="327">
        <f t="shared" si="219"/>
        <v>8.7725041607941714E-2</v>
      </c>
      <c r="G515" s="326">
        <f t="shared" si="220"/>
        <v>1</v>
      </c>
      <c r="H515" s="327">
        <f t="shared" si="221"/>
        <v>0</v>
      </c>
      <c r="I515" s="325">
        <f t="shared" si="222"/>
        <v>92894.009112279498</v>
      </c>
      <c r="J515" s="328">
        <f t="shared" si="223"/>
        <v>1.5707855618380433</v>
      </c>
      <c r="K515" s="336">
        <f t="shared" si="243"/>
        <v>18.022492282992953</v>
      </c>
      <c r="L515" s="337">
        <f t="shared" si="244"/>
        <v>1.5152815946138549</v>
      </c>
      <c r="M515" s="325">
        <f t="shared" si="224"/>
        <v>1.0884763245406976</v>
      </c>
      <c r="N515" s="337">
        <f t="shared" si="225"/>
        <v>0.40598096849578252</v>
      </c>
      <c r="O515" s="343">
        <f t="shared" si="226"/>
        <v>1.0795399395734737</v>
      </c>
      <c r="P515" s="691">
        <f t="shared" si="227"/>
        <v>0.38627054043483977</v>
      </c>
      <c r="Q515" s="336">
        <f t="shared" si="242"/>
        <v>15.386697622425647</v>
      </c>
      <c r="R515" s="692">
        <f t="shared" si="228"/>
        <v>0.18768570797890932</v>
      </c>
      <c r="S515" s="329">
        <f t="shared" si="229"/>
        <v>0.9990823891267826</v>
      </c>
      <c r="T515" s="330">
        <f t="shared" si="230"/>
        <v>0.58941521493637572</v>
      </c>
      <c r="U515" s="331">
        <f t="shared" si="231"/>
        <v>-5.2152517711590978</v>
      </c>
      <c r="V515" s="332">
        <f t="shared" si="232"/>
        <v>-133.16242127512882</v>
      </c>
      <c r="W515" s="334">
        <f t="shared" si="233"/>
        <v>46.837578724871179</v>
      </c>
      <c r="Y515" s="307">
        <f t="shared" si="234"/>
        <v>69989</v>
      </c>
      <c r="Z515" s="307">
        <f t="shared" si="235"/>
        <v>4898460121</v>
      </c>
      <c r="AB515" s="333">
        <f t="shared" si="236"/>
        <v>22.727387492028104</v>
      </c>
      <c r="AC515" s="334">
        <f t="shared" si="237"/>
        <v>-26.441139155833824</v>
      </c>
      <c r="AE515" s="333">
        <f t="shared" si="238"/>
        <v>29.1148949169602</v>
      </c>
      <c r="AF515" s="334">
        <f t="shared" si="239"/>
        <v>-118.09935490733375</v>
      </c>
      <c r="AH515">
        <f t="shared" si="240"/>
        <v>0</v>
      </c>
      <c r="AI515">
        <f t="shared" si="245"/>
        <v>0</v>
      </c>
    </row>
    <row r="516" spans="1:35" x14ac:dyDescent="0.2">
      <c r="A516" s="335">
        <v>70392</v>
      </c>
      <c r="B516" s="352">
        <f t="shared" si="241"/>
        <v>70.391999999999996</v>
      </c>
      <c r="C516" s="325">
        <f t="shared" si="216"/>
        <v>89.292097764843135</v>
      </c>
      <c r="D516" s="326">
        <f t="shared" si="217"/>
        <v>1.5595968933636084</v>
      </c>
      <c r="E516" s="326">
        <f t="shared" si="218"/>
        <v>1.0039047143585689</v>
      </c>
      <c r="F516" s="327">
        <f t="shared" si="219"/>
        <v>8.8227556793357156E-2</v>
      </c>
      <c r="G516" s="326">
        <f t="shared" si="220"/>
        <v>1</v>
      </c>
      <c r="H516" s="327">
        <f t="shared" si="221"/>
        <v>0</v>
      </c>
      <c r="I516" s="325">
        <f t="shared" si="222"/>
        <v>93428.897247099594</v>
      </c>
      <c r="J516" s="328">
        <f t="shared" si="223"/>
        <v>1.5707856234683084</v>
      </c>
      <c r="K516" s="336">
        <f t="shared" si="243"/>
        <v>18.125948072559094</v>
      </c>
      <c r="L516" s="337">
        <f t="shared" si="244"/>
        <v>1.5155987740090124</v>
      </c>
      <c r="M516" s="325">
        <f t="shared" si="224"/>
        <v>1.0894561890146663</v>
      </c>
      <c r="N516" s="337">
        <f t="shared" si="225"/>
        <v>0.40806822167042611</v>
      </c>
      <c r="O516" s="343">
        <f t="shared" si="226"/>
        <v>1.080424362007441</v>
      </c>
      <c r="P516" s="691">
        <f t="shared" si="227"/>
        <v>0.38827833247427934</v>
      </c>
      <c r="Q516" s="336">
        <f t="shared" si="242"/>
        <v>15.389702078319202</v>
      </c>
      <c r="R516" s="692">
        <f t="shared" si="228"/>
        <v>0.18874209754473201</v>
      </c>
      <c r="S516" s="329">
        <f t="shared" si="229"/>
        <v>0.99923974464557586</v>
      </c>
      <c r="T516" s="330">
        <f t="shared" si="230"/>
        <v>0.59316447073008205</v>
      </c>
      <c r="U516" s="331">
        <f t="shared" si="231"/>
        <v>-5.2686498532099977</v>
      </c>
      <c r="V516" s="332">
        <f t="shared" si="232"/>
        <v>-133.39905026518679</v>
      </c>
      <c r="W516" s="334">
        <f t="shared" si="233"/>
        <v>46.600949734813213</v>
      </c>
      <c r="Y516" s="307">
        <f t="shared" si="234"/>
        <v>70392</v>
      </c>
      <c r="Z516" s="307">
        <f t="shared" si="235"/>
        <v>4955033664</v>
      </c>
      <c r="AB516" s="333">
        <f t="shared" si="236"/>
        <v>22.71941916589995</v>
      </c>
      <c r="AC516" s="334">
        <f t="shared" si="237"/>
        <v>-26.54256044409512</v>
      </c>
      <c r="AE516" s="333">
        <f t="shared" si="238"/>
        <v>29.064047953226876</v>
      </c>
      <c r="AF516" s="334">
        <f t="shared" si="239"/>
        <v>-118.28907395554924</v>
      </c>
      <c r="AH516">
        <f t="shared" si="240"/>
        <v>0</v>
      </c>
      <c r="AI516">
        <f t="shared" si="245"/>
        <v>0</v>
      </c>
    </row>
    <row r="517" spans="1:35" x14ac:dyDescent="0.2">
      <c r="A517" s="335">
        <v>70795</v>
      </c>
      <c r="B517" s="352">
        <f t="shared" si="241"/>
        <v>70.795000000000002</v>
      </c>
      <c r="C517" s="325">
        <f t="shared" si="216"/>
        <v>89.803238447963437</v>
      </c>
      <c r="D517" s="326">
        <f t="shared" si="217"/>
        <v>1.5596606407680613</v>
      </c>
      <c r="E517" s="326">
        <f t="shared" si="218"/>
        <v>1.0039494637686783</v>
      </c>
      <c r="F517" s="327">
        <f t="shared" si="219"/>
        <v>8.8730027308058027E-2</v>
      </c>
      <c r="G517" s="326">
        <f t="shared" si="220"/>
        <v>1</v>
      </c>
      <c r="H517" s="327">
        <f t="shared" si="221"/>
        <v>0</v>
      </c>
      <c r="I517" s="325">
        <f t="shared" si="222"/>
        <v>93963.785381920025</v>
      </c>
      <c r="J517" s="328">
        <f t="shared" si="223"/>
        <v>1.5707856843969137</v>
      </c>
      <c r="K517" s="336">
        <f t="shared" si="243"/>
        <v>18.229405664947944</v>
      </c>
      <c r="L517" s="337">
        <f t="shared" si="244"/>
        <v>1.5159123532504013</v>
      </c>
      <c r="M517" s="325">
        <f t="shared" si="224"/>
        <v>1.0904407912994458</v>
      </c>
      <c r="N517" s="337">
        <f t="shared" si="225"/>
        <v>0.41015171458091787</v>
      </c>
      <c r="O517" s="343">
        <f t="shared" si="226"/>
        <v>1.0813131327443022</v>
      </c>
      <c r="P517" s="691">
        <f t="shared" si="227"/>
        <v>0.39028283202813152</v>
      </c>
      <c r="Q517" s="336">
        <f t="shared" si="242"/>
        <v>15.392723193392035</v>
      </c>
      <c r="R517" s="692">
        <f t="shared" si="228"/>
        <v>0.18979807989058223</v>
      </c>
      <c r="S517" s="329">
        <f t="shared" si="229"/>
        <v>0.99940184607018756</v>
      </c>
      <c r="T517" s="330">
        <f t="shared" si="230"/>
        <v>0.59691881455382967</v>
      </c>
      <c r="U517" s="331">
        <f t="shared" si="231"/>
        <v>-5.3218102791568267</v>
      </c>
      <c r="V517" s="332">
        <f t="shared" si="232"/>
        <v>-133.63608738028731</v>
      </c>
      <c r="W517" s="334">
        <f t="shared" si="233"/>
        <v>46.363912619712693</v>
      </c>
      <c r="Y517" s="307">
        <f t="shared" si="234"/>
        <v>70795</v>
      </c>
      <c r="Z517" s="307">
        <f t="shared" si="235"/>
        <v>5011932025</v>
      </c>
      <c r="AB517" s="333">
        <f t="shared" si="236"/>
        <v>22.711422721446411</v>
      </c>
      <c r="AC517" s="334">
        <f t="shared" si="237"/>
        <v>-26.643972518505048</v>
      </c>
      <c r="AE517" s="333">
        <f t="shared" si="238"/>
        <v>29.013446724928556</v>
      </c>
      <c r="AF517" s="334">
        <f t="shared" si="239"/>
        <v>-118.47904502911601</v>
      </c>
      <c r="AH517">
        <f t="shared" si="240"/>
        <v>0</v>
      </c>
      <c r="AI517">
        <f t="shared" si="245"/>
        <v>0</v>
      </c>
    </row>
    <row r="518" spans="1:35" x14ac:dyDescent="0.2">
      <c r="A518" s="335">
        <v>71207.25</v>
      </c>
      <c r="B518" s="352">
        <f t="shared" si="241"/>
        <v>71.207250000000002</v>
      </c>
      <c r="C518" s="325">
        <f t="shared" si="216"/>
        <v>90.326111641625701</v>
      </c>
      <c r="D518" s="326">
        <f t="shared" si="217"/>
        <v>1.5597251048550107</v>
      </c>
      <c r="E518" s="326">
        <f t="shared" si="218"/>
        <v>1.0039955025492133</v>
      </c>
      <c r="F518" s="327">
        <f t="shared" si="219"/>
        <v>8.9243984476169116E-2</v>
      </c>
      <c r="G518" s="326">
        <f t="shared" si="220"/>
        <v>1</v>
      </c>
      <c r="H518" s="327">
        <f t="shared" si="221"/>
        <v>0</v>
      </c>
      <c r="I518" s="325">
        <f t="shared" si="222"/>
        <v>94510.950725790666</v>
      </c>
      <c r="J518" s="328">
        <f t="shared" si="223"/>
        <v>1.5707857460104231</v>
      </c>
      <c r="K518" s="336">
        <f t="shared" si="243"/>
        <v>18.335239737858096</v>
      </c>
      <c r="L518" s="337">
        <f t="shared" si="244"/>
        <v>1.5162294684525459</v>
      </c>
      <c r="M518" s="325">
        <f t="shared" si="224"/>
        <v>1.0914528818258937</v>
      </c>
      <c r="N518" s="337">
        <f t="shared" si="225"/>
        <v>0.41227913065869953</v>
      </c>
      <c r="O518" s="343">
        <f t="shared" si="226"/>
        <v>1.0822267912931973</v>
      </c>
      <c r="P518" s="691">
        <f t="shared" si="227"/>
        <v>0.39232992554051244</v>
      </c>
      <c r="Q518" s="336">
        <f t="shared" si="242"/>
        <v>15.395830878592259</v>
      </c>
      <c r="R518" s="692">
        <f t="shared" si="228"/>
        <v>0.19087787660146571</v>
      </c>
      <c r="S518" s="329">
        <f t="shared" si="229"/>
        <v>0.99957264557617176</v>
      </c>
      <c r="T518" s="330">
        <f t="shared" si="230"/>
        <v>0.6007645922719812</v>
      </c>
      <c r="U518" s="331">
        <f t="shared" si="231"/>
        <v>-5.3759489343056313</v>
      </c>
      <c r="V518" s="332">
        <f t="shared" si="232"/>
        <v>-133.8789842620441</v>
      </c>
      <c r="W518" s="334">
        <f t="shared" si="233"/>
        <v>46.121015737955901</v>
      </c>
      <c r="Y518" s="307">
        <f t="shared" si="234"/>
        <v>71207.25</v>
      </c>
      <c r="Z518" s="307">
        <f t="shared" si="235"/>
        <v>5070472452.5625</v>
      </c>
      <c r="AB518" s="333">
        <f t="shared" si="236"/>
        <v>22.703213780759157</v>
      </c>
      <c r="AC518" s="334">
        <f t="shared" si="237"/>
        <v>-26.747698648640455</v>
      </c>
      <c r="AE518" s="333">
        <f t="shared" si="238"/>
        <v>28.961934387182787</v>
      </c>
      <c r="AF518" s="334">
        <f t="shared" si="239"/>
        <v>-118.673637805063</v>
      </c>
      <c r="AH518">
        <f t="shared" si="240"/>
        <v>0</v>
      </c>
      <c r="AI518">
        <f t="shared" si="245"/>
        <v>0</v>
      </c>
    </row>
    <row r="519" spans="1:35" x14ac:dyDescent="0.2">
      <c r="A519" s="335">
        <v>71619.5</v>
      </c>
      <c r="B519" s="352">
        <f t="shared" si="241"/>
        <v>71.619500000000002</v>
      </c>
      <c r="C519" s="325">
        <f t="shared" si="216"/>
        <v>90.848985206328138</v>
      </c>
      <c r="D519" s="326">
        <f t="shared" si="217"/>
        <v>1.559788826907144</v>
      </c>
      <c r="E519" s="326">
        <f t="shared" si="218"/>
        <v>1.0040418065127767</v>
      </c>
      <c r="F519" s="327">
        <f t="shared" si="219"/>
        <v>8.9757894375113612E-2</v>
      </c>
      <c r="G519" s="326">
        <f t="shared" si="220"/>
        <v>1</v>
      </c>
      <c r="H519" s="327">
        <f t="shared" si="221"/>
        <v>0</v>
      </c>
      <c r="I519" s="325">
        <f t="shared" si="222"/>
        <v>95058.116069661643</v>
      </c>
      <c r="J519" s="328">
        <f t="shared" si="223"/>
        <v>1.5707858069146237</v>
      </c>
      <c r="K519" s="336">
        <f t="shared" si="243"/>
        <v>18.441075633433833</v>
      </c>
      <c r="L519" s="337">
        <f t="shared" si="244"/>
        <v>1.5165429437494924</v>
      </c>
      <c r="M519" s="325">
        <f t="shared" si="224"/>
        <v>1.0924699029922926</v>
      </c>
      <c r="N519" s="337">
        <f t="shared" si="225"/>
        <v>0.41440259534951718</v>
      </c>
      <c r="O519" s="343">
        <f t="shared" si="226"/>
        <v>1.0831449773507378</v>
      </c>
      <c r="P519" s="691">
        <f t="shared" si="227"/>
        <v>0.39437355694716159</v>
      </c>
      <c r="Q519" s="336">
        <f t="shared" si="242"/>
        <v>15.39895597570839</v>
      </c>
      <c r="R519" s="692">
        <f t="shared" si="228"/>
        <v>0.19195724293473126</v>
      </c>
      <c r="S519" s="329">
        <f t="shared" si="229"/>
        <v>0.9997485473437604</v>
      </c>
      <c r="T519" s="330">
        <f t="shared" si="230"/>
        <v>0.60461568635478868</v>
      </c>
      <c r="U519" s="331">
        <f t="shared" si="231"/>
        <v>-5.4298468528252721</v>
      </c>
      <c r="V519" s="332">
        <f t="shared" si="232"/>
        <v>-134.12230175991363</v>
      </c>
      <c r="W519" s="334">
        <f t="shared" si="233"/>
        <v>45.877698240086374</v>
      </c>
      <c r="Y519" s="307">
        <f t="shared" si="234"/>
        <v>71619.5</v>
      </c>
      <c r="Z519" s="307">
        <f t="shared" si="235"/>
        <v>5129352780.25</v>
      </c>
      <c r="AB519" s="333">
        <f t="shared" si="236"/>
        <v>22.694975699631364</v>
      </c>
      <c r="AC519" s="334">
        <f t="shared" si="237"/>
        <v>-26.851406891544869</v>
      </c>
      <c r="AE519" s="333">
        <f t="shared" si="238"/>
        <v>28.910671277915249</v>
      </c>
      <c r="AF519" s="334">
        <f t="shared" si="239"/>
        <v>-118.86849537912796</v>
      </c>
      <c r="AH519">
        <f t="shared" si="240"/>
        <v>0</v>
      </c>
      <c r="AI519">
        <f t="shared" si="245"/>
        <v>0</v>
      </c>
    </row>
    <row r="520" spans="1:35" x14ac:dyDescent="0.2">
      <c r="A520" s="335">
        <v>72031.75</v>
      </c>
      <c r="B520" s="352">
        <f t="shared" si="241"/>
        <v>72.031750000000002</v>
      </c>
      <c r="C520" s="325">
        <f t="shared" si="216"/>
        <v>91.371859135700902</v>
      </c>
      <c r="D520" s="326">
        <f t="shared" si="217"/>
        <v>1.5598518196627842</v>
      </c>
      <c r="E520" s="326">
        <f t="shared" si="218"/>
        <v>1.0040883756226813</v>
      </c>
      <c r="F520" s="327">
        <f t="shared" si="219"/>
        <v>9.0271756739999195E-2</v>
      </c>
      <c r="G520" s="326">
        <f t="shared" si="220"/>
        <v>1</v>
      </c>
      <c r="H520" s="327">
        <f t="shared" si="221"/>
        <v>0</v>
      </c>
      <c r="I520" s="325">
        <f t="shared" si="222"/>
        <v>95605.281413532997</v>
      </c>
      <c r="J520" s="328">
        <f t="shared" si="223"/>
        <v>1.5707858671216941</v>
      </c>
      <c r="K520" s="336">
        <f t="shared" si="243"/>
        <v>18.546913320472655</v>
      </c>
      <c r="L520" s="337">
        <f t="shared" si="244"/>
        <v>1.5168528413922948</v>
      </c>
      <c r="M520" s="325">
        <f t="shared" si="224"/>
        <v>1.09349184104116</v>
      </c>
      <c r="N520" s="337">
        <f t="shared" si="225"/>
        <v>0.41652210055547489</v>
      </c>
      <c r="O520" s="343">
        <f t="shared" si="226"/>
        <v>1.0840676794127657</v>
      </c>
      <c r="P520" s="691">
        <f t="shared" si="227"/>
        <v>0.39641371799668013</v>
      </c>
      <c r="Q520" s="336">
        <f t="shared" si="242"/>
        <v>15.40209847415165</v>
      </c>
      <c r="R520" s="692">
        <f t="shared" si="228"/>
        <v>0.19303617674993592</v>
      </c>
      <c r="S520" s="329">
        <f t="shared" si="229"/>
        <v>0.99992962057179779</v>
      </c>
      <c r="T520" s="330">
        <f t="shared" si="230"/>
        <v>0.60847209174470396</v>
      </c>
      <c r="U520" s="331">
        <f t="shared" si="231"/>
        <v>-5.4835079691140898</v>
      </c>
      <c r="V520" s="332">
        <f t="shared" si="232"/>
        <v>-134.36603664928086</v>
      </c>
      <c r="W520" s="334">
        <f t="shared" si="233"/>
        <v>45.633963350719142</v>
      </c>
      <c r="Y520" s="307">
        <f t="shared" si="234"/>
        <v>72031.75</v>
      </c>
      <c r="Z520" s="307">
        <f t="shared" si="235"/>
        <v>5188573008.0625</v>
      </c>
      <c r="AB520" s="333">
        <f t="shared" si="236"/>
        <v>22.686708623847139</v>
      </c>
      <c r="AC520" s="334">
        <f t="shared" si="237"/>
        <v>-26.955093217218135</v>
      </c>
      <c r="AE520" s="333">
        <f t="shared" si="238"/>
        <v>28.859653479125921</v>
      </c>
      <c r="AF520" s="334">
        <f t="shared" si="239"/>
        <v>-119.0636182065641</v>
      </c>
      <c r="AH520">
        <f t="shared" si="240"/>
        <v>0</v>
      </c>
      <c r="AI520">
        <f t="shared" si="245"/>
        <v>0</v>
      </c>
    </row>
    <row r="521" spans="1:35" x14ac:dyDescent="0.2">
      <c r="A521" s="335">
        <v>72444</v>
      </c>
      <c r="B521" s="352">
        <f t="shared" si="241"/>
        <v>72.444000000000003</v>
      </c>
      <c r="C521" s="325">
        <f t="shared" si="216"/>
        <v>91.89473342351917</v>
      </c>
      <c r="D521" s="326">
        <f t="shared" si="217"/>
        <v>1.5599140955703577</v>
      </c>
      <c r="E521" s="326">
        <f t="shared" si="218"/>
        <v>1.0041352098420366</v>
      </c>
      <c r="F521" s="327">
        <f t="shared" si="219"/>
        <v>9.0785571306082946E-2</v>
      </c>
      <c r="G521" s="326">
        <f t="shared" si="220"/>
        <v>1</v>
      </c>
      <c r="H521" s="327">
        <f t="shared" si="221"/>
        <v>0</v>
      </c>
      <c r="I521" s="325">
        <f t="shared" si="222"/>
        <v>96152.446757404672</v>
      </c>
      <c r="J521" s="328">
        <f t="shared" si="223"/>
        <v>1.5707859266435356</v>
      </c>
      <c r="K521" s="336">
        <f t="shared" si="243"/>
        <v>18.652752768479701</v>
      </c>
      <c r="L521" s="337">
        <f t="shared" si="244"/>
        <v>1.5171592222218921</v>
      </c>
      <c r="M521" s="325">
        <f t="shared" si="224"/>
        <v>1.0945186822000053</v>
      </c>
      <c r="N521" s="337">
        <f t="shared" si="225"/>
        <v>0.41863763835114398</v>
      </c>
      <c r="O521" s="343">
        <f t="shared" si="226"/>
        <v>1.0849948859577707</v>
      </c>
      <c r="P521" s="691">
        <f t="shared" si="227"/>
        <v>0.39845040058122433</v>
      </c>
      <c r="Q521" s="336">
        <f t="shared" si="242"/>
        <v>15.405258363282979</v>
      </c>
      <c r="R521" s="692">
        <f t="shared" si="228"/>
        <v>0.1941146759122854</v>
      </c>
      <c r="S521" s="329">
        <f t="shared" si="229"/>
        <v>1.0001159347444353</v>
      </c>
      <c r="T521" s="330">
        <f t="shared" si="230"/>
        <v>0.61233380266818394</v>
      </c>
      <c r="U521" s="331">
        <f t="shared" si="231"/>
        <v>-5.5369361601934832</v>
      </c>
      <c r="V521" s="332">
        <f t="shared" si="232"/>
        <v>-134.61018573064689</v>
      </c>
      <c r="W521" s="334">
        <f t="shared" si="233"/>
        <v>45.38981426935311</v>
      </c>
      <c r="Y521" s="307">
        <f t="shared" si="234"/>
        <v>72444</v>
      </c>
      <c r="Z521" s="307">
        <f t="shared" si="235"/>
        <v>5248133136</v>
      </c>
      <c r="AB521" s="333">
        <f t="shared" si="236"/>
        <v>22.678412700730604</v>
      </c>
      <c r="AC521" s="334">
        <f t="shared" si="237"/>
        <v>-27.058753686319484</v>
      </c>
      <c r="AE521" s="333">
        <f t="shared" si="238"/>
        <v>28.808877128591412</v>
      </c>
      <c r="AF521" s="334">
        <f t="shared" si="239"/>
        <v>-119.25900668498272</v>
      </c>
      <c r="AH521">
        <f t="shared" si="240"/>
        <v>0</v>
      </c>
      <c r="AI521">
        <f t="shared" si="245"/>
        <v>0</v>
      </c>
    </row>
    <row r="522" spans="1:35" x14ac:dyDescent="0.2">
      <c r="A522" s="335">
        <v>72865.75</v>
      </c>
      <c r="B522" s="352">
        <f t="shared" si="241"/>
        <v>72.865750000000006</v>
      </c>
      <c r="C522" s="325">
        <f t="shared" si="216"/>
        <v>92.42965733179939</v>
      </c>
      <c r="D522" s="326">
        <f t="shared" si="217"/>
        <v>1.5599770774490291</v>
      </c>
      <c r="E522" s="326">
        <f t="shared" si="218"/>
        <v>1.0041833976267946</v>
      </c>
      <c r="F522" s="327">
        <f t="shared" si="219"/>
        <v>9.131117661373693E-2</v>
      </c>
      <c r="G522" s="326">
        <f t="shared" si="220"/>
        <v>1</v>
      </c>
      <c r="H522" s="327">
        <f t="shared" si="221"/>
        <v>0</v>
      </c>
      <c r="I522" s="325">
        <f t="shared" si="222"/>
        <v>96712.221126787394</v>
      </c>
      <c r="J522" s="328">
        <f t="shared" si="223"/>
        <v>1.5707859868400453</v>
      </c>
      <c r="K522" s="336">
        <f t="shared" si="243"/>
        <v>18.761033000452205</v>
      </c>
      <c r="L522" s="337">
        <f t="shared" si="244"/>
        <v>1.5174690860698918</v>
      </c>
      <c r="M522" s="325">
        <f t="shared" si="224"/>
        <v>1.0955742456810191</v>
      </c>
      <c r="N522" s="337">
        <f t="shared" si="225"/>
        <v>0.42079781348215273</v>
      </c>
      <c r="O522" s="343">
        <f t="shared" si="226"/>
        <v>1.085948108650806</v>
      </c>
      <c r="P522" s="691">
        <f t="shared" si="227"/>
        <v>0.40053040909635995</v>
      </c>
      <c r="Q522" s="336">
        <f t="shared" si="242"/>
        <v>15.408509055042659</v>
      </c>
      <c r="R522" s="692">
        <f t="shared" si="228"/>
        <v>0.1952175762868959</v>
      </c>
      <c r="S522" s="329">
        <f t="shared" si="229"/>
        <v>1.0003120386397011</v>
      </c>
      <c r="T522" s="330">
        <f t="shared" si="230"/>
        <v>0.61628998745687125</v>
      </c>
      <c r="U522" s="331">
        <f t="shared" si="231"/>
        <v>-5.5913585105173889</v>
      </c>
      <c r="V522" s="332">
        <f t="shared" si="232"/>
        <v>-134.86038635604174</v>
      </c>
      <c r="W522" s="334">
        <f t="shared" si="233"/>
        <v>45.139613643958256</v>
      </c>
      <c r="Y522" s="307">
        <f t="shared" si="234"/>
        <v>72865.75</v>
      </c>
      <c r="Z522" s="307">
        <f t="shared" si="235"/>
        <v>5309417523.0625</v>
      </c>
      <c r="AB522" s="333">
        <f t="shared" si="236"/>
        <v>22.669895907157436</v>
      </c>
      <c r="AC522" s="334">
        <f t="shared" si="237"/>
        <v>-27.164772162748449</v>
      </c>
      <c r="AE522" s="333">
        <f t="shared" si="238"/>
        <v>28.757176562273827</v>
      </c>
      <c r="AF522" s="334">
        <f t="shared" si="239"/>
        <v>-119.45917300659248</v>
      </c>
      <c r="AH522">
        <f t="shared" si="240"/>
        <v>0</v>
      </c>
      <c r="AI522">
        <f t="shared" si="245"/>
        <v>0</v>
      </c>
    </row>
    <row r="523" spans="1:35" x14ac:dyDescent="0.2">
      <c r="A523" s="335">
        <v>73287.5</v>
      </c>
      <c r="B523" s="352">
        <f t="shared" si="241"/>
        <v>73.287499999999994</v>
      </c>
      <c r="C523" s="325">
        <f t="shared" si="216"/>
        <v>92.964581602502534</v>
      </c>
      <c r="D523" s="326">
        <f t="shared" si="217"/>
        <v>1.5600393345242631</v>
      </c>
      <c r="E523" s="326">
        <f t="shared" si="218"/>
        <v>1.0042318628015332</v>
      </c>
      <c r="F523" s="327">
        <f t="shared" si="219"/>
        <v>9.1836731334155958E-2</v>
      </c>
      <c r="G523" s="326">
        <f t="shared" si="220"/>
        <v>1</v>
      </c>
      <c r="H523" s="327">
        <f t="shared" si="221"/>
        <v>0</v>
      </c>
      <c r="I523" s="325">
        <f t="shared" si="222"/>
        <v>97271.995496170479</v>
      </c>
      <c r="J523" s="328">
        <f t="shared" si="223"/>
        <v>1.5707860463437255</v>
      </c>
      <c r="K523" s="336">
        <f t="shared" si="243"/>
        <v>18.869315013102664</v>
      </c>
      <c r="L523" s="337">
        <f t="shared" si="244"/>
        <v>1.5177753936249092</v>
      </c>
      <c r="M523" s="325">
        <f t="shared" si="224"/>
        <v>1.0966349116464975</v>
      </c>
      <c r="N523" s="337">
        <f t="shared" si="225"/>
        <v>0.42295382001223214</v>
      </c>
      <c r="O523" s="343">
        <f t="shared" si="226"/>
        <v>1.0869060213755175</v>
      </c>
      <c r="P523" s="691">
        <f t="shared" si="227"/>
        <v>0.40260676027260711</v>
      </c>
      <c r="Q523" s="336">
        <f t="shared" si="242"/>
        <v>15.411777925549787</v>
      </c>
      <c r="R523" s="692">
        <f t="shared" si="228"/>
        <v>0.19632001724338632</v>
      </c>
      <c r="S523" s="329">
        <f t="shared" si="229"/>
        <v>1.0005137758305049</v>
      </c>
      <c r="T523" s="330">
        <f t="shared" si="230"/>
        <v>0.62025171058091855</v>
      </c>
      <c r="U523" s="331">
        <f t="shared" si="231"/>
        <v>-5.6455451074394034</v>
      </c>
      <c r="V523" s="332">
        <f t="shared" si="232"/>
        <v>-135.11101377994171</v>
      </c>
      <c r="W523" s="334">
        <f t="shared" si="233"/>
        <v>44.888986220058285</v>
      </c>
      <c r="Y523" s="307">
        <f t="shared" si="234"/>
        <v>73287.5</v>
      </c>
      <c r="Z523" s="307">
        <f t="shared" si="235"/>
        <v>5371057656.25</v>
      </c>
      <c r="AB523" s="333">
        <f t="shared" si="236"/>
        <v>22.661349237982058</v>
      </c>
      <c r="AC523" s="334">
        <f t="shared" si="237"/>
        <v>-27.270755516820021</v>
      </c>
      <c r="AE523" s="333">
        <f t="shared" si="238"/>
        <v>28.70572069619864</v>
      </c>
      <c r="AF523" s="334">
        <f t="shared" si="239"/>
        <v>-119.65961802170138</v>
      </c>
      <c r="AH523">
        <f t="shared" si="240"/>
        <v>0</v>
      </c>
      <c r="AI523">
        <f t="shared" si="245"/>
        <v>0</v>
      </c>
    </row>
    <row r="524" spans="1:35" x14ac:dyDescent="0.2">
      <c r="A524" s="335">
        <v>73709.25</v>
      </c>
      <c r="B524" s="352">
        <f t="shared" si="241"/>
        <v>73.709249999999997</v>
      </c>
      <c r="C524" s="325">
        <f t="shared" si="216"/>
        <v>93.499506229408198</v>
      </c>
      <c r="D524" s="326">
        <f t="shared" si="217"/>
        <v>1.5601008792356987</v>
      </c>
      <c r="E524" s="326">
        <f t="shared" si="218"/>
        <v>1.0042806053260929</v>
      </c>
      <c r="F524" s="327">
        <f t="shared" si="219"/>
        <v>9.2362235184360361E-2</v>
      </c>
      <c r="G524" s="326">
        <f t="shared" si="220"/>
        <v>1</v>
      </c>
      <c r="H524" s="327">
        <f t="shared" si="221"/>
        <v>0</v>
      </c>
      <c r="I524" s="325">
        <f t="shared" si="222"/>
        <v>97831.76986555387</v>
      </c>
      <c r="J524" s="328">
        <f t="shared" si="223"/>
        <v>1.5707861051664687</v>
      </c>
      <c r="K524" s="336">
        <f t="shared" si="243"/>
        <v>18.977598775950611</v>
      </c>
      <c r="L524" s="337">
        <f t="shared" si="244"/>
        <v>1.5180782057042339</v>
      </c>
      <c r="M524" s="325">
        <f t="shared" si="224"/>
        <v>1.0977006653054369</v>
      </c>
      <c r="N524" s="337">
        <f t="shared" si="225"/>
        <v>0.42510565001056316</v>
      </c>
      <c r="O524" s="343">
        <f t="shared" si="226"/>
        <v>1.0878686117426115</v>
      </c>
      <c r="P524" s="691">
        <f t="shared" si="227"/>
        <v>0.40467944589170329</v>
      </c>
      <c r="Q524" s="336">
        <f t="shared" si="242"/>
        <v>15.415064963250419</v>
      </c>
      <c r="R524" s="692">
        <f t="shared" si="228"/>
        <v>0.19742199651444048</v>
      </c>
      <c r="S524" s="329">
        <f t="shared" si="229"/>
        <v>1.0007212216174874</v>
      </c>
      <c r="T524" s="330">
        <f t="shared" si="230"/>
        <v>0.62421896350032613</v>
      </c>
      <c r="U524" s="331">
        <f t="shared" si="231"/>
        <v>-5.699499924086707</v>
      </c>
      <c r="V524" s="332">
        <f t="shared" si="232"/>
        <v>-135.36206464466227</v>
      </c>
      <c r="W524" s="334">
        <f t="shared" si="233"/>
        <v>44.637935355337731</v>
      </c>
      <c r="Y524" s="307">
        <f t="shared" si="234"/>
        <v>73709.25</v>
      </c>
      <c r="Z524" s="307">
        <f t="shared" si="235"/>
        <v>5433053535.5625</v>
      </c>
      <c r="AB524" s="333">
        <f t="shared" si="236"/>
        <v>22.652772855514666</v>
      </c>
      <c r="AC524" s="334">
        <f t="shared" si="237"/>
        <v>-27.376699810239124</v>
      </c>
      <c r="AE524" s="333">
        <f t="shared" si="238"/>
        <v>28.654505568258536</v>
      </c>
      <c r="AF524" s="334">
        <f t="shared" si="239"/>
        <v>-119.86034196995575</v>
      </c>
      <c r="AH524">
        <f t="shared" si="240"/>
        <v>0</v>
      </c>
      <c r="AI524">
        <f t="shared" si="245"/>
        <v>0</v>
      </c>
    </row>
    <row r="525" spans="1:35" x14ac:dyDescent="0.2">
      <c r="A525" s="335">
        <v>74131</v>
      </c>
      <c r="B525" s="352">
        <f t="shared" si="241"/>
        <v>74.131</v>
      </c>
      <c r="C525" s="325">
        <f t="shared" ref="C525:C588" si="246">SQRT(1+(A525/pole1)^2)</f>
        <v>94.034431206437475</v>
      </c>
      <c r="D525" s="326">
        <f t="shared" ref="D525:D588" si="247">ATAN(A525/pole1)</f>
        <v>1.5601617237399403</v>
      </c>
      <c r="E525" s="326">
        <f t="shared" ref="E525:E588" si="248">SQRT(1+(A525/Zero1)^2)</f>
        <v>1.0043296251600924</v>
      </c>
      <c r="F525" s="327">
        <f t="shared" ref="F525:F588" si="249">ATAN(A525/Zero1)</f>
        <v>9.2887687881537659E-2</v>
      </c>
      <c r="G525" s="326">
        <f t="shared" ref="G525:G588" si="250">IF(VIN_nom&gt;Vout, 1, SQRT(1+(A525/z_RHP)^2))</f>
        <v>1</v>
      </c>
      <c r="H525" s="327">
        <f t="shared" ref="H525:H588" si="251">IF(VIN_nom&gt;Vout, 0, -ATAN(A525/z_RHP))</f>
        <v>0</v>
      </c>
      <c r="I525" s="325">
        <f t="shared" ref="I525:I588" si="252">SQRT(1+(A525/Pole2)^2)</f>
        <v>98391.544234937624</v>
      </c>
      <c r="J525" s="328">
        <f t="shared" ref="J525:J588" si="253">ATAN(A525/Pole2)</f>
        <v>1.570786163319897</v>
      </c>
      <c r="K525" s="336">
        <f t="shared" si="243"/>
        <v>19.085884259206811</v>
      </c>
      <c r="L525" s="337">
        <f t="shared" si="244"/>
        <v>1.5183775817475429</v>
      </c>
      <c r="M525" s="325">
        <f t="shared" ref="M525:M588" si="254">SQRT(1+(A525/pole4)^2)</f>
        <v>1.0987714918534091</v>
      </c>
      <c r="N525" s="337">
        <f t="shared" ref="N525:N588" si="255">ATAN(A525/pole4)</f>
        <v>0.4272532957317331</v>
      </c>
      <c r="O525" s="343">
        <f t="shared" ref="O525:O588" si="256">IF(VOUT_setting=1,1,SQRT(1+(A525*zterm1)^2))</f>
        <v>1.0888358673462146</v>
      </c>
      <c r="P525" s="691">
        <f t="shared" ref="P525:P588" si="257">IF(VOUT_setting=1,0,ATAN(((A525*zterm1))))</f>
        <v>0.40674845789035469</v>
      </c>
      <c r="Q525" s="336">
        <f t="shared" si="242"/>
        <v>15.418370156536275</v>
      </c>
      <c r="R525" s="692">
        <f t="shared" ref="R525:R588" si="258">IF(VOUT_setting=1,0,ATAN(A525*$Q$4/(1+Afbr-$Q$5*(A525)^2)))</f>
        <v>0.19852351183902073</v>
      </c>
      <c r="S525" s="329">
        <f t="shared" ref="S525:S588" si="259">SQRT((1-(Z525/pterm2))^2+(A525/pterm1)^2)</f>
        <v>1.0009344515961955</v>
      </c>
      <c r="T525" s="330">
        <f t="shared" ref="T525:T588" si="260">IF((ATAN((A525/pterm1)/(1-A525^2/pterm2))&gt;0),ATAN((A525/pterm1)/(1-A525^2/pterm2)),PI()+ATAN((A525/pterm1)/(1-A525^2/pterm2)))</f>
        <v>0.62819173686970453</v>
      </c>
      <c r="U525" s="331">
        <f t="shared" ref="U525:U588" si="261">20*LOG10(((E525*K525*G525*O525)/(C525*I525*S525*M525*Q525))*Adc)</f>
        <v>-5.7532268761865826</v>
      </c>
      <c r="V525" s="332">
        <f t="shared" ref="V525:V588" si="262">((F525+L525+H525+P525)-(D525+J525+T525+N525+R525))*radconv</f>
        <v>-135.61353561116678</v>
      </c>
      <c r="W525" s="334">
        <f t="shared" ref="W525:W588" si="263">IF(V525&gt;0,V525,V525+180)</f>
        <v>44.386464388833218</v>
      </c>
      <c r="Y525" s="307">
        <f t="shared" ref="Y525:Y588" si="264">IF(U525&lt;0,A525,1000000000)</f>
        <v>74131</v>
      </c>
      <c r="Z525" s="307">
        <f t="shared" ref="Z525:Z588" si="265">A525^2</f>
        <v>5495405161</v>
      </c>
      <c r="AB525" s="333">
        <f t="shared" ref="AB525:AB588" si="266">20*LOG10((K525/(I525*M525))*AEA)</f>
        <v>22.644166923464027</v>
      </c>
      <c r="AC525" s="334">
        <f t="shared" ref="AC525:AC588" si="267">(L525-(J525+N525))*radconv</f>
        <v>-27.482601194249565</v>
      </c>
      <c r="AE525" s="333">
        <f t="shared" ref="AE525:AE588" si="268">20*LOG10((E525*G525/(C525*S525))*Acs*Am)</f>
        <v>28.603527272238324</v>
      </c>
      <c r="AF525" s="334">
        <f t="shared" ref="AF525:AF588" si="269">(F525+H525-(D525+T525))*radconv</f>
        <v>-120.06134502863038</v>
      </c>
      <c r="AH525">
        <f t="shared" ref="AH525:AH588" si="270">SUM((U526&lt;0)*(U525&gt;0))*A525</f>
        <v>0</v>
      </c>
      <c r="AI525">
        <f t="shared" si="245"/>
        <v>0</v>
      </c>
    </row>
    <row r="526" spans="1:35" x14ac:dyDescent="0.2">
      <c r="A526" s="335">
        <v>74562.75</v>
      </c>
      <c r="B526" s="352">
        <f t="shared" ref="B526:B589" si="271">A526/1000</f>
        <v>74.562749999999994</v>
      </c>
      <c r="C526" s="325">
        <f t="shared" si="246"/>
        <v>94.582040001161005</v>
      </c>
      <c r="D526" s="326">
        <f t="shared" si="247"/>
        <v>1.5602232980071866</v>
      </c>
      <c r="E526" s="326">
        <f t="shared" si="248"/>
        <v>1.0043800944979091</v>
      </c>
      <c r="F526" s="327">
        <f t="shared" si="249"/>
        <v>9.3425546163466183E-2</v>
      </c>
      <c r="G526" s="326">
        <f t="shared" si="250"/>
        <v>1</v>
      </c>
      <c r="H526" s="327">
        <f t="shared" si="251"/>
        <v>0</v>
      </c>
      <c r="I526" s="325">
        <f t="shared" si="252"/>
        <v>98964.591262754038</v>
      </c>
      <c r="J526" s="328">
        <f t="shared" si="253"/>
        <v>1.5707862221707349</v>
      </c>
      <c r="K526" s="336">
        <f t="shared" si="243"/>
        <v>19.196739021906978</v>
      </c>
      <c r="L526" s="337">
        <f t="shared" si="244"/>
        <v>1.5186805576579894</v>
      </c>
      <c r="M526" s="325">
        <f t="shared" si="254"/>
        <v>1.0998729477478073</v>
      </c>
      <c r="N526" s="337">
        <f t="shared" si="255"/>
        <v>0.42944752153433247</v>
      </c>
      <c r="O526" s="343">
        <f t="shared" si="256"/>
        <v>1.0898308767886222</v>
      </c>
      <c r="P526" s="691">
        <f t="shared" si="257"/>
        <v>0.40886271410635566</v>
      </c>
      <c r="Q526" s="336">
        <f t="shared" si="242"/>
        <v>15.421772512600482</v>
      </c>
      <c r="R526" s="692">
        <f t="shared" si="258"/>
        <v>0.1996506619634314</v>
      </c>
      <c r="S526" s="329">
        <f t="shared" si="259"/>
        <v>1.0011588081810718</v>
      </c>
      <c r="T526" s="330">
        <f t="shared" si="260"/>
        <v>0.63226441532670985</v>
      </c>
      <c r="U526" s="331">
        <f t="shared" si="261"/>
        <v>-5.8079957298545057</v>
      </c>
      <c r="V526" s="332">
        <f t="shared" si="262"/>
        <v>-135.87140083022072</v>
      </c>
      <c r="W526" s="334">
        <f t="shared" si="263"/>
        <v>44.128599169779278</v>
      </c>
      <c r="Y526" s="307">
        <f t="shared" si="264"/>
        <v>74562.75</v>
      </c>
      <c r="Z526" s="307">
        <f t="shared" si="265"/>
        <v>5559603687.5625</v>
      </c>
      <c r="AB526" s="333">
        <f t="shared" si="266"/>
        <v>22.635326501952843</v>
      </c>
      <c r="AC526" s="334">
        <f t="shared" si="267"/>
        <v>-27.590965203102968</v>
      </c>
      <c r="AE526" s="333">
        <f t="shared" si="268"/>
        <v>28.551581544524097</v>
      </c>
      <c r="AF526" s="334">
        <f t="shared" si="269"/>
        <v>-120.26740325187527</v>
      </c>
      <c r="AH526">
        <f t="shared" si="270"/>
        <v>0</v>
      </c>
      <c r="AI526">
        <f t="shared" si="245"/>
        <v>0</v>
      </c>
    </row>
    <row r="527" spans="1:35" x14ac:dyDescent="0.2">
      <c r="A527" s="335">
        <v>74994.5</v>
      </c>
      <c r="B527" s="352">
        <f t="shared" si="271"/>
        <v>74.994500000000002</v>
      </c>
      <c r="C527" s="325">
        <f t="shared" si="246"/>
        <v>95.129649150353458</v>
      </c>
      <c r="D527" s="326">
        <f t="shared" si="247"/>
        <v>1.5602841633761759</v>
      </c>
      <c r="E527" s="326">
        <f t="shared" si="248"/>
        <v>1.0044308543651332</v>
      </c>
      <c r="F527" s="327">
        <f t="shared" si="249"/>
        <v>9.3963350238605567E-2</v>
      </c>
      <c r="G527" s="326">
        <f t="shared" si="250"/>
        <v>1</v>
      </c>
      <c r="H527" s="327">
        <f t="shared" si="251"/>
        <v>0</v>
      </c>
      <c r="I527" s="325">
        <f t="shared" si="252"/>
        <v>99537.638290570787</v>
      </c>
      <c r="J527" s="328">
        <f t="shared" si="253"/>
        <v>1.5707862803439541</v>
      </c>
      <c r="K527" s="336">
        <f t="shared" si="243"/>
        <v>19.307595526525397</v>
      </c>
      <c r="L527" s="337">
        <f t="shared" si="244"/>
        <v>1.5189800544622467</v>
      </c>
      <c r="M527" s="325">
        <f t="shared" si="254"/>
        <v>1.1009796885096645</v>
      </c>
      <c r="N527" s="337">
        <f t="shared" si="255"/>
        <v>0.43163734644753882</v>
      </c>
      <c r="O527" s="343">
        <f t="shared" si="256"/>
        <v>1.0908307489614455</v>
      </c>
      <c r="P527" s="691">
        <f t="shared" si="257"/>
        <v>0.41097310382232771</v>
      </c>
      <c r="Q527" s="336">
        <f t="shared" ref="Q527:Q590" si="272">IF(VOUT_setting=1,1,SQRT((1+Afbr-$Q$5*(A527)^2)^2+(A527*$Q$4)^2))</f>
        <v>15.42519387062868</v>
      </c>
      <c r="R527" s="692">
        <f t="shared" si="258"/>
        <v>0.20077732110452956</v>
      </c>
      <c r="S527" s="329">
        <f t="shared" si="259"/>
        <v>1.001389387755268</v>
      </c>
      <c r="T527" s="330">
        <f t="shared" si="260"/>
        <v>0.63634285669752821</v>
      </c>
      <c r="U527" s="331">
        <f t="shared" si="261"/>
        <v>-5.8625339108968353</v>
      </c>
      <c r="V527" s="332">
        <f t="shared" si="262"/>
        <v>-136.12969927860578</v>
      </c>
      <c r="W527" s="334">
        <f t="shared" si="263"/>
        <v>43.870300721394216</v>
      </c>
      <c r="Y527" s="307">
        <f t="shared" si="264"/>
        <v>74994.5</v>
      </c>
      <c r="Z527" s="307">
        <f t="shared" si="265"/>
        <v>5624175030.25</v>
      </c>
      <c r="AB527" s="333">
        <f t="shared" si="266"/>
        <v>22.62645546436201</v>
      </c>
      <c r="AC527" s="334">
        <f t="shared" si="267"/>
        <v>-27.699276358844383</v>
      </c>
      <c r="AE527" s="333">
        <f t="shared" si="268"/>
        <v>28.499875902667814</v>
      </c>
      <c r="AF527" s="334">
        <f t="shared" si="269"/>
        <v>-120.47375415470164</v>
      </c>
      <c r="AH527">
        <f t="shared" si="270"/>
        <v>0</v>
      </c>
      <c r="AI527">
        <f t="shared" si="245"/>
        <v>0</v>
      </c>
    </row>
    <row r="528" spans="1:35" x14ac:dyDescent="0.2">
      <c r="A528" s="335">
        <v>75426.25</v>
      </c>
      <c r="B528" s="352">
        <f t="shared" si="271"/>
        <v>75.426249999999996</v>
      </c>
      <c r="C528" s="325">
        <f t="shared" si="246"/>
        <v>95.67725864792844</v>
      </c>
      <c r="D528" s="326">
        <f t="shared" si="247"/>
        <v>1.560344332018607</v>
      </c>
      <c r="E528" s="326">
        <f t="shared" si="248"/>
        <v>1.0044819047177205</v>
      </c>
      <c r="F528" s="327">
        <f t="shared" si="249"/>
        <v>9.4501099804095615E-2</v>
      </c>
      <c r="G528" s="326">
        <f t="shared" si="250"/>
        <v>1</v>
      </c>
      <c r="H528" s="327">
        <f t="shared" si="251"/>
        <v>0</v>
      </c>
      <c r="I528" s="325">
        <f t="shared" si="252"/>
        <v>100110.6853183879</v>
      </c>
      <c r="J528" s="328">
        <f t="shared" si="253"/>
        <v>1.5707863378511906</v>
      </c>
      <c r="K528" s="336">
        <f t="shared" si="243"/>
        <v>19.418453743229158</v>
      </c>
      <c r="L528" s="337">
        <f t="shared" si="244"/>
        <v>1.5192761316918397</v>
      </c>
      <c r="M528" s="325">
        <f t="shared" si="254"/>
        <v>1.1020916982174973</v>
      </c>
      <c r="N528" s="337">
        <f t="shared" si="255"/>
        <v>0.43382276275953213</v>
      </c>
      <c r="O528" s="343">
        <f t="shared" si="256"/>
        <v>1.0918354705052298</v>
      </c>
      <c r="P528" s="691">
        <f t="shared" si="257"/>
        <v>0.41307961888837158</v>
      </c>
      <c r="Q528" s="336">
        <f t="shared" si="272"/>
        <v>15.428634217991492</v>
      </c>
      <c r="R528" s="692">
        <f t="shared" si="258"/>
        <v>0.20190348685719528</v>
      </c>
      <c r="S528" s="329">
        <f t="shared" si="259"/>
        <v>1.0016262723496279</v>
      </c>
      <c r="T528" s="330">
        <f t="shared" si="260"/>
        <v>0.64042704830006858</v>
      </c>
      <c r="U528" s="331">
        <f t="shared" si="261"/>
        <v>-5.91684544149535</v>
      </c>
      <c r="V528" s="332">
        <f t="shared" si="262"/>
        <v>-136.38842742149004</v>
      </c>
      <c r="W528" s="334">
        <f t="shared" si="263"/>
        <v>43.611572578509964</v>
      </c>
      <c r="Y528" s="307">
        <f t="shared" si="264"/>
        <v>75426.25</v>
      </c>
      <c r="Z528" s="307">
        <f t="shared" si="265"/>
        <v>5689119189.0625</v>
      </c>
      <c r="AB528" s="333">
        <f t="shared" si="266"/>
        <v>22.617553990448677</v>
      </c>
      <c r="AC528" s="334">
        <f t="shared" si="267"/>
        <v>-27.80753080938069</v>
      </c>
      <c r="AE528" s="333">
        <f t="shared" si="268"/>
        <v>28.448406330142344</v>
      </c>
      <c r="AF528" s="334">
        <f t="shared" si="269"/>
        <v>-120.68039772521887</v>
      </c>
      <c r="AH528">
        <f t="shared" si="270"/>
        <v>0</v>
      </c>
      <c r="AI528">
        <f t="shared" si="245"/>
        <v>0</v>
      </c>
    </row>
    <row r="529" spans="1:35" x14ac:dyDescent="0.2">
      <c r="A529" s="335">
        <v>75858</v>
      </c>
      <c r="B529" s="352">
        <f t="shared" si="271"/>
        <v>75.858000000000004</v>
      </c>
      <c r="C529" s="325">
        <f t="shared" si="246"/>
        <v>96.224868487938082</v>
      </c>
      <c r="D529" s="326">
        <f t="shared" si="247"/>
        <v>1.5604038158291247</v>
      </c>
      <c r="E529" s="326">
        <f t="shared" si="248"/>
        <v>1.0045332455113833</v>
      </c>
      <c r="F529" s="327">
        <f t="shared" si="249"/>
        <v>9.5038794557263648E-2</v>
      </c>
      <c r="G529" s="326">
        <f t="shared" si="250"/>
        <v>1</v>
      </c>
      <c r="H529" s="327">
        <f t="shared" si="251"/>
        <v>0</v>
      </c>
      <c r="I529" s="325">
        <f t="shared" si="252"/>
        <v>100683.7323462053</v>
      </c>
      <c r="J529" s="328">
        <f t="shared" si="253"/>
        <v>1.5707863947038159</v>
      </c>
      <c r="K529" s="336">
        <f t="shared" si="243"/>
        <v>19.529313642862288</v>
      </c>
      <c r="L529" s="337">
        <f t="shared" si="244"/>
        <v>1.5195688475289779</v>
      </c>
      <c r="M529" s="325">
        <f t="shared" si="254"/>
        <v>1.1032089609383704</v>
      </c>
      <c r="N529" s="337">
        <f t="shared" si="255"/>
        <v>0.43600376295795618</v>
      </c>
      <c r="O529" s="343">
        <f t="shared" si="256"/>
        <v>1.0928450280449753</v>
      </c>
      <c r="P529" s="691">
        <f t="shared" si="257"/>
        <v>0.4151822513220324</v>
      </c>
      <c r="Q529" s="336">
        <f t="shared" si="272"/>
        <v>15.432093542000734</v>
      </c>
      <c r="R529" s="692">
        <f t="shared" si="258"/>
        <v>0.20302915682330261</v>
      </c>
      <c r="S529" s="329">
        <f t="shared" si="259"/>
        <v>1.0018695442977166</v>
      </c>
      <c r="T529" s="330">
        <f t="shared" si="260"/>
        <v>0.64451697654565177</v>
      </c>
      <c r="U529" s="331">
        <f t="shared" si="261"/>
        <v>-5.9709342861850701</v>
      </c>
      <c r="V529" s="332">
        <f t="shared" si="262"/>
        <v>-136.64758173574279</v>
      </c>
      <c r="W529" s="334">
        <f t="shared" si="263"/>
        <v>43.35241826425721</v>
      </c>
      <c r="Y529" s="307">
        <f t="shared" si="264"/>
        <v>75858</v>
      </c>
      <c r="Z529" s="307">
        <f t="shared" si="265"/>
        <v>5754436164</v>
      </c>
      <c r="AB529" s="333">
        <f t="shared" si="266"/>
        <v>22.60862226122379</v>
      </c>
      <c r="AC529" s="334">
        <f t="shared" si="267"/>
        <v>-27.915724791342043</v>
      </c>
      <c r="AE529" s="333">
        <f t="shared" si="268"/>
        <v>28.397168866646986</v>
      </c>
      <c r="AF529" s="334">
        <f t="shared" si="269"/>
        <v>-120.88733388370775</v>
      </c>
      <c r="AH529">
        <f t="shared" si="270"/>
        <v>0</v>
      </c>
      <c r="AI529">
        <f t="shared" si="245"/>
        <v>0</v>
      </c>
    </row>
    <row r="530" spans="1:35" x14ac:dyDescent="0.2">
      <c r="A530" s="335">
        <v>76299.75</v>
      </c>
      <c r="B530" s="352">
        <f t="shared" si="271"/>
        <v>76.299750000000003</v>
      </c>
      <c r="C530" s="325">
        <f t="shared" si="246"/>
        <v>96.785162169997491</v>
      </c>
      <c r="D530" s="326">
        <f t="shared" si="247"/>
        <v>1.5604639806924936</v>
      </c>
      <c r="E530" s="326">
        <f t="shared" si="248"/>
        <v>1.0045860760006324</v>
      </c>
      <c r="F530" s="327">
        <f t="shared" si="249"/>
        <v>9.5588886108500498E-2</v>
      </c>
      <c r="G530" s="326">
        <f t="shared" si="250"/>
        <v>1</v>
      </c>
      <c r="H530" s="327">
        <f t="shared" si="251"/>
        <v>0</v>
      </c>
      <c r="I530" s="325">
        <f t="shared" si="252"/>
        <v>101270.05203245542</v>
      </c>
      <c r="J530" s="328">
        <f t="shared" si="253"/>
        <v>1.570786452207297</v>
      </c>
      <c r="K530" s="336">
        <f t="shared" si="243"/>
        <v>19.642742941935932</v>
      </c>
      <c r="L530" s="337">
        <f t="shared" si="244"/>
        <v>1.5198649233511341</v>
      </c>
      <c r="M530" s="325">
        <f t="shared" si="254"/>
        <v>1.1043575214923773</v>
      </c>
      <c r="N530" s="337">
        <f t="shared" si="255"/>
        <v>0.43823070015404625</v>
      </c>
      <c r="O530" s="343">
        <f t="shared" si="256"/>
        <v>1.0938829598451156</v>
      </c>
      <c r="P530" s="691">
        <f t="shared" si="257"/>
        <v>0.41732955726945042</v>
      </c>
      <c r="Q530" s="336">
        <f t="shared" si="272"/>
        <v>15.43565261705643</v>
      </c>
      <c r="R530" s="692">
        <f t="shared" si="258"/>
        <v>0.2041803834144589</v>
      </c>
      <c r="S530" s="329">
        <f t="shared" si="259"/>
        <v>1.002125147965891</v>
      </c>
      <c r="T530" s="330">
        <f t="shared" si="260"/>
        <v>0.64870755623273002</v>
      </c>
      <c r="U530" s="331">
        <f t="shared" si="261"/>
        <v>-6.0260495060554025</v>
      </c>
      <c r="V530" s="332">
        <f t="shared" si="262"/>
        <v>-136.91317589342762</v>
      </c>
      <c r="W530" s="334">
        <f t="shared" si="263"/>
        <v>43.086824106572379</v>
      </c>
      <c r="Y530" s="307">
        <f t="shared" si="264"/>
        <v>76299.75</v>
      </c>
      <c r="Z530" s="307">
        <f t="shared" si="265"/>
        <v>5821651850.0625</v>
      </c>
      <c r="AB530" s="333">
        <f t="shared" si="266"/>
        <v>22.599452534763699</v>
      </c>
      <c r="AC530" s="334">
        <f t="shared" si="267"/>
        <v>-28.026358293726471</v>
      </c>
      <c r="AE530" s="333">
        <f t="shared" si="268"/>
        <v>28.344980826397684</v>
      </c>
      <c r="AF530" s="334">
        <f t="shared" si="269"/>
        <v>-121.09936568224722</v>
      </c>
      <c r="AH530">
        <f t="shared" si="270"/>
        <v>0</v>
      </c>
      <c r="AI530">
        <f t="shared" si="245"/>
        <v>0</v>
      </c>
    </row>
    <row r="531" spans="1:35" x14ac:dyDescent="0.2">
      <c r="A531" s="335">
        <v>76741.5</v>
      </c>
      <c r="B531" s="352">
        <f t="shared" si="271"/>
        <v>76.741500000000002</v>
      </c>
      <c r="C531" s="325">
        <f t="shared" si="246"/>
        <v>97.345456198367913</v>
      </c>
      <c r="D531" s="326">
        <f t="shared" si="247"/>
        <v>1.5605234529708236</v>
      </c>
      <c r="E531" s="326">
        <f t="shared" si="248"/>
        <v>1.0046392104463209</v>
      </c>
      <c r="F531" s="327">
        <f t="shared" si="249"/>
        <v>9.6138919638488807E-2</v>
      </c>
      <c r="G531" s="326">
        <f t="shared" si="250"/>
        <v>1</v>
      </c>
      <c r="H531" s="327">
        <f t="shared" si="251"/>
        <v>0</v>
      </c>
      <c r="I531" s="325">
        <f t="shared" si="252"/>
        <v>101856.37171870586</v>
      </c>
      <c r="J531" s="328">
        <f t="shared" si="253"/>
        <v>1.5707865090487592</v>
      </c>
      <c r="K531" s="336">
        <f t="shared" si="243"/>
        <v>19.756173943137419</v>
      </c>
      <c r="L531" s="337">
        <f t="shared" si="244"/>
        <v>1.5201575993322054</v>
      </c>
      <c r="M531" s="325">
        <f t="shared" si="254"/>
        <v>1.1055115474346933</v>
      </c>
      <c r="N531" s="337">
        <f t="shared" si="255"/>
        <v>0.44045299902322077</v>
      </c>
      <c r="O531" s="343">
        <f t="shared" si="256"/>
        <v>1.09492592587909</v>
      </c>
      <c r="P531" s="691">
        <f t="shared" si="257"/>
        <v>0.41947278227309154</v>
      </c>
      <c r="Q531" s="336">
        <f t="shared" si="272"/>
        <v>15.43923153093521</v>
      </c>
      <c r="R531" s="692">
        <f t="shared" si="258"/>
        <v>0.20533108593009136</v>
      </c>
      <c r="S531" s="329">
        <f t="shared" si="259"/>
        <v>1.0023876136223817</v>
      </c>
      <c r="T531" s="330">
        <f t="shared" si="260"/>
        <v>0.6529041096703182</v>
      </c>
      <c r="U531" s="331">
        <f t="shared" si="261"/>
        <v>-6.0809398223863775</v>
      </c>
      <c r="V531" s="332">
        <f t="shared" si="262"/>
        <v>-137.17920875957518</v>
      </c>
      <c r="W531" s="334">
        <f t="shared" si="263"/>
        <v>42.820791240424825</v>
      </c>
      <c r="Y531" s="307">
        <f t="shared" si="264"/>
        <v>76741.5</v>
      </c>
      <c r="Z531" s="307">
        <f t="shared" si="265"/>
        <v>5889257822.25</v>
      </c>
      <c r="AB531" s="333">
        <f t="shared" si="266"/>
        <v>22.590251522356116</v>
      </c>
      <c r="AC531" s="334">
        <f t="shared" si="267"/>
        <v>-28.136920798168848</v>
      </c>
      <c r="AE531" s="333">
        <f t="shared" si="268"/>
        <v>28.293027559017759</v>
      </c>
      <c r="AF531" s="334">
        <f t="shared" si="269"/>
        <v>-121.31170339365211</v>
      </c>
      <c r="AH531">
        <f t="shared" si="270"/>
        <v>0</v>
      </c>
      <c r="AI531">
        <f t="shared" si="245"/>
        <v>0</v>
      </c>
    </row>
    <row r="532" spans="1:35" x14ac:dyDescent="0.2">
      <c r="A532" s="335">
        <v>77183.25</v>
      </c>
      <c r="B532" s="352">
        <f t="shared" si="271"/>
        <v>77.183250000000001</v>
      </c>
      <c r="C532" s="325">
        <f t="shared" si="246"/>
        <v>97.905750567103738</v>
      </c>
      <c r="D532" s="326">
        <f t="shared" si="247"/>
        <v>1.5605822445542532</v>
      </c>
      <c r="E532" s="326">
        <f t="shared" si="248"/>
        <v>1.0046926488002237</v>
      </c>
      <c r="F532" s="327">
        <f t="shared" si="249"/>
        <v>9.6688894823649812E-2</v>
      </c>
      <c r="G532" s="326">
        <f t="shared" si="250"/>
        <v>1</v>
      </c>
      <c r="H532" s="327">
        <f t="shared" si="251"/>
        <v>0</v>
      </c>
      <c r="I532" s="325">
        <f t="shared" si="252"/>
        <v>102442.69140495664</v>
      </c>
      <c r="J532" s="328">
        <f t="shared" si="253"/>
        <v>1.5707865652395694</v>
      </c>
      <c r="K532" s="336">
        <f t="shared" si="243"/>
        <v>19.869606617315583</v>
      </c>
      <c r="L532" s="337">
        <f t="shared" si="244"/>
        <v>1.5204469336492015</v>
      </c>
      <c r="M532" s="325">
        <f t="shared" si="254"/>
        <v>1.1066710216675546</v>
      </c>
      <c r="N532" s="337">
        <f t="shared" si="255"/>
        <v>0.44267065216014095</v>
      </c>
      <c r="O532" s="343">
        <f t="shared" si="256"/>
        <v>1.0959739117746539</v>
      </c>
      <c r="P532" s="691">
        <f t="shared" si="257"/>
        <v>0.42161191832237838</v>
      </c>
      <c r="Q532" s="336">
        <f t="shared" si="272"/>
        <v>15.442830269857</v>
      </c>
      <c r="R532" s="692">
        <f t="shared" si="258"/>
        <v>0.20648126182444476</v>
      </c>
      <c r="S532" s="329">
        <f t="shared" si="259"/>
        <v>1.0026570304022391</v>
      </c>
      <c r="T532" s="330">
        <f t="shared" si="260"/>
        <v>0.65710661932246983</v>
      </c>
      <c r="U532" s="331">
        <f t="shared" si="261"/>
        <v>-6.1356093023163529</v>
      </c>
      <c r="V532" s="332">
        <f t="shared" si="262"/>
        <v>-137.44567658541496</v>
      </c>
      <c r="W532" s="334">
        <f t="shared" si="263"/>
        <v>42.554323414585042</v>
      </c>
      <c r="Y532" s="307">
        <f t="shared" si="264"/>
        <v>77183.25</v>
      </c>
      <c r="Z532" s="307">
        <f t="shared" si="265"/>
        <v>5957254080.5625</v>
      </c>
      <c r="AB532" s="333">
        <f t="shared" si="266"/>
        <v>22.581019421538436</v>
      </c>
      <c r="AC532" s="334">
        <f t="shared" si="267"/>
        <v>-28.247408547728686</v>
      </c>
      <c r="AE532" s="333">
        <f t="shared" si="268"/>
        <v>28.241304997632728</v>
      </c>
      <c r="AF532" s="334">
        <f t="shared" si="269"/>
        <v>-121.52434671298111</v>
      </c>
      <c r="AH532">
        <f t="shared" si="270"/>
        <v>0</v>
      </c>
      <c r="AI532">
        <f t="shared" si="245"/>
        <v>0</v>
      </c>
    </row>
    <row r="533" spans="1:35" x14ac:dyDescent="0.2">
      <c r="A533" s="335">
        <v>77625</v>
      </c>
      <c r="B533" s="352">
        <f t="shared" si="271"/>
        <v>77.625</v>
      </c>
      <c r="C533" s="325">
        <f t="shared" si="246"/>
        <v>98.466045270394702</v>
      </c>
      <c r="D533" s="326">
        <f t="shared" si="247"/>
        <v>1.5606403670623097</v>
      </c>
      <c r="E533" s="326">
        <f t="shared" si="248"/>
        <v>1.0047463910138497</v>
      </c>
      <c r="F533" s="327">
        <f t="shared" si="249"/>
        <v>9.7238811340614614E-2</v>
      </c>
      <c r="G533" s="326">
        <f t="shared" si="250"/>
        <v>1</v>
      </c>
      <c r="H533" s="327">
        <f t="shared" si="251"/>
        <v>0</v>
      </c>
      <c r="I533" s="325">
        <f t="shared" si="252"/>
        <v>103029.01109120772</v>
      </c>
      <c r="J533" s="328">
        <f t="shared" si="253"/>
        <v>1.5707866207908359</v>
      </c>
      <c r="K533" s="336">
        <f t="shared" si="243"/>
        <v>19.983040935980732</v>
      </c>
      <c r="L533" s="337">
        <f t="shared" si="244"/>
        <v>1.5207329831604248</v>
      </c>
      <c r="M533" s="325">
        <f t="shared" si="254"/>
        <v>1.1078359270842248</v>
      </c>
      <c r="N533" s="337">
        <f t="shared" si="255"/>
        <v>0.44488365237317701</v>
      </c>
      <c r="O533" s="343">
        <f t="shared" si="256"/>
        <v>1.09702690314544</v>
      </c>
      <c r="P533" s="691">
        <f t="shared" si="257"/>
        <v>0.42374695758695391</v>
      </c>
      <c r="Q533" s="336">
        <f t="shared" si="272"/>
        <v>15.446448819978281</v>
      </c>
      <c r="R533" s="692">
        <f t="shared" si="258"/>
        <v>0.20763090855953514</v>
      </c>
      <c r="S533" s="329">
        <f t="shared" si="259"/>
        <v>1.002933487746964</v>
      </c>
      <c r="T533" s="330">
        <f t="shared" si="260"/>
        <v>0.66131506663712347</v>
      </c>
      <c r="U533" s="331">
        <f t="shared" si="261"/>
        <v>-6.1900619551230198</v>
      </c>
      <c r="V533" s="332">
        <f t="shared" si="262"/>
        <v>-137.71257562634599</v>
      </c>
      <c r="W533" s="334">
        <f t="shared" si="263"/>
        <v>42.287424373654005</v>
      </c>
      <c r="Y533" s="307">
        <f t="shared" si="264"/>
        <v>77625</v>
      </c>
      <c r="Z533" s="307">
        <f t="shared" si="265"/>
        <v>6025640625</v>
      </c>
      <c r="AB533" s="333">
        <f t="shared" si="266"/>
        <v>22.571756430946145</v>
      </c>
      <c r="AC533" s="334">
        <f t="shared" si="267"/>
        <v>-28.357817873251591</v>
      </c>
      <c r="AE533" s="333">
        <f t="shared" si="268"/>
        <v>28.189809131898013</v>
      </c>
      <c r="AF533" s="334">
        <f t="shared" si="269"/>
        <v>-121.73729526155699</v>
      </c>
      <c r="AH533">
        <f t="shared" si="270"/>
        <v>0</v>
      </c>
      <c r="AI533">
        <f t="shared" si="245"/>
        <v>0</v>
      </c>
    </row>
    <row r="534" spans="1:35" x14ac:dyDescent="0.2">
      <c r="A534" s="335">
        <v>78077</v>
      </c>
      <c r="B534" s="352">
        <f t="shared" si="271"/>
        <v>78.076999999999998</v>
      </c>
      <c r="C534" s="325">
        <f t="shared" si="246"/>
        <v>99.039340926862153</v>
      </c>
      <c r="D534" s="326">
        <f t="shared" si="247"/>
        <v>1.5606991574985201</v>
      </c>
      <c r="E534" s="326">
        <f t="shared" si="248"/>
        <v>1.0048016946835774</v>
      </c>
      <c r="F534" s="327">
        <f t="shared" si="249"/>
        <v>9.78014266005761E-2</v>
      </c>
      <c r="G534" s="326">
        <f t="shared" si="250"/>
        <v>1</v>
      </c>
      <c r="H534" s="327">
        <f t="shared" si="251"/>
        <v>0</v>
      </c>
      <c r="I534" s="325">
        <f t="shared" si="252"/>
        <v>103628.93525235236</v>
      </c>
      <c r="J534" s="328">
        <f t="shared" si="253"/>
        <v>1.570786676980416</v>
      </c>
      <c r="K534" s="336">
        <f t="shared" si="243"/>
        <v>20.099108963459415</v>
      </c>
      <c r="L534" s="337">
        <f t="shared" si="244"/>
        <v>1.5210223278733461</v>
      </c>
      <c r="M534" s="325">
        <f t="shared" si="254"/>
        <v>1.1090334658230916</v>
      </c>
      <c r="N534" s="337">
        <f t="shared" si="255"/>
        <v>0.44714317780576385</v>
      </c>
      <c r="O534" s="343">
        <f t="shared" si="256"/>
        <v>1.0981094932699984</v>
      </c>
      <c r="P534" s="691">
        <f t="shared" si="257"/>
        <v>0.42592728807422281</v>
      </c>
      <c r="Q534" s="336">
        <f t="shared" si="272"/>
        <v>15.450171823480593</v>
      </c>
      <c r="R534" s="692">
        <f t="shared" si="258"/>
        <v>0.20880668038424943</v>
      </c>
      <c r="S534" s="329">
        <f t="shared" si="259"/>
        <v>1.0032237408926141</v>
      </c>
      <c r="T534" s="330">
        <f t="shared" si="260"/>
        <v>0.66562728876377941</v>
      </c>
      <c r="U534" s="331">
        <f t="shared" si="261"/>
        <v>-6.2455577725375608</v>
      </c>
      <c r="V534" s="332">
        <f t="shared" si="262"/>
        <v>-137.98611000672705</v>
      </c>
      <c r="W534" s="334">
        <f t="shared" si="263"/>
        <v>42.013889993272954</v>
      </c>
      <c r="Y534" s="307">
        <f t="shared" si="264"/>
        <v>78077</v>
      </c>
      <c r="Z534" s="307">
        <f t="shared" si="265"/>
        <v>6096017929</v>
      </c>
      <c r="AB534" s="333">
        <f t="shared" si="266"/>
        <v>22.562246744691915</v>
      </c>
      <c r="AC534" s="334">
        <f t="shared" si="267"/>
        <v>-28.470704132921252</v>
      </c>
      <c r="AE534" s="333">
        <f t="shared" si="268"/>
        <v>28.137348920587023</v>
      </c>
      <c r="AF534" s="334">
        <f t="shared" si="269"/>
        <v>-121.95550035397177</v>
      </c>
      <c r="AH534">
        <f t="shared" si="270"/>
        <v>0</v>
      </c>
      <c r="AI534">
        <f t="shared" si="245"/>
        <v>0</v>
      </c>
    </row>
    <row r="535" spans="1:35" x14ac:dyDescent="0.2">
      <c r="A535" s="335">
        <v>78529</v>
      </c>
      <c r="B535" s="352">
        <f t="shared" si="271"/>
        <v>78.528999999999996</v>
      </c>
      <c r="C535" s="325">
        <f t="shared" si="246"/>
        <v>99.612636921700627</v>
      </c>
      <c r="D535" s="326">
        <f t="shared" si="247"/>
        <v>1.5607572712271811</v>
      </c>
      <c r="E535" s="326">
        <f t="shared" si="248"/>
        <v>1.0048573163740766</v>
      </c>
      <c r="F535" s="327">
        <f t="shared" si="249"/>
        <v>9.8363979753902181E-2</v>
      </c>
      <c r="G535" s="326">
        <f t="shared" si="250"/>
        <v>1</v>
      </c>
      <c r="H535" s="327">
        <f t="shared" si="251"/>
        <v>0</v>
      </c>
      <c r="I535" s="325">
        <f t="shared" si="252"/>
        <v>104228.85941349731</v>
      </c>
      <c r="J535" s="328">
        <f t="shared" si="253"/>
        <v>1.5707867325231599</v>
      </c>
      <c r="K535" s="336">
        <f t="shared" ref="K535:K598" si="273">SQRT(1+(A535/Zero2)^2)</f>
        <v>20.215178654319786</v>
      </c>
      <c r="L535" s="337">
        <f t="shared" ref="L535:L598" si="274">ATAN(A535/Zero2)</f>
        <v>1.521308349943195</v>
      </c>
      <c r="M535" s="325">
        <f t="shared" si="254"/>
        <v>1.1102366544510609</v>
      </c>
      <c r="N535" s="337">
        <f t="shared" si="255"/>
        <v>0.44939781733071826</v>
      </c>
      <c r="O535" s="343">
        <f t="shared" si="256"/>
        <v>1.0991972933353291</v>
      </c>
      <c r="P535" s="691">
        <f t="shared" si="257"/>
        <v>0.42810331344228753</v>
      </c>
      <c r="Q535" s="336">
        <f t="shared" si="272"/>
        <v>15.45391553868828</v>
      </c>
      <c r="R535" s="692">
        <f t="shared" si="258"/>
        <v>0.20998189285757926</v>
      </c>
      <c r="S535" s="329">
        <f t="shared" si="259"/>
        <v>1.0035215555276082</v>
      </c>
      <c r="T535" s="330">
        <f t="shared" si="260"/>
        <v>0.66994568471786642</v>
      </c>
      <c r="U535" s="331">
        <f t="shared" si="261"/>
        <v>-6.3008348961069274</v>
      </c>
      <c r="V535" s="332">
        <f t="shared" si="262"/>
        <v>-138.26008791848989</v>
      </c>
      <c r="W535" s="334">
        <f t="shared" si="263"/>
        <v>41.739912081510113</v>
      </c>
      <c r="Y535" s="307">
        <f t="shared" si="264"/>
        <v>78529</v>
      </c>
      <c r="Z535" s="307">
        <f t="shared" si="265"/>
        <v>6166803841</v>
      </c>
      <c r="AB535" s="333">
        <f t="shared" si="266"/>
        <v>22.552705142544042</v>
      </c>
      <c r="AC535" s="334">
        <f t="shared" si="267"/>
        <v>-28.583500787068306</v>
      </c>
      <c r="AE535" s="333">
        <f t="shared" si="268"/>
        <v>28.085117728618123</v>
      </c>
      <c r="AF535" s="334">
        <f t="shared" si="269"/>
        <v>-122.17402396660374</v>
      </c>
      <c r="AH535">
        <f t="shared" si="270"/>
        <v>0</v>
      </c>
      <c r="AI535">
        <f t="shared" si="245"/>
        <v>0</v>
      </c>
    </row>
    <row r="536" spans="1:35" x14ac:dyDescent="0.2">
      <c r="A536" s="335">
        <v>78981</v>
      </c>
      <c r="B536" s="352">
        <f t="shared" si="271"/>
        <v>78.980999999999995</v>
      </c>
      <c r="C536" s="325">
        <f t="shared" si="246"/>
        <v>100.18593324910132</v>
      </c>
      <c r="D536" s="326">
        <f t="shared" si="247"/>
        <v>1.5608147198649156</v>
      </c>
      <c r="E536" s="326">
        <f t="shared" si="248"/>
        <v>1.0049132560325404</v>
      </c>
      <c r="F536" s="327">
        <f t="shared" si="249"/>
        <v>9.8926470454877388E-2</v>
      </c>
      <c r="G536" s="326">
        <f t="shared" si="250"/>
        <v>1</v>
      </c>
      <c r="H536" s="327">
        <f t="shared" si="251"/>
        <v>0</v>
      </c>
      <c r="I536" s="325">
        <f t="shared" si="252"/>
        <v>104828.78357464257</v>
      </c>
      <c r="J536" s="328">
        <f t="shared" si="253"/>
        <v>1.5707867874301733</v>
      </c>
      <c r="K536" s="336">
        <f t="shared" si="273"/>
        <v>20.331249980073451</v>
      </c>
      <c r="L536" s="337">
        <f t="shared" si="274"/>
        <v>1.5215911062297836</v>
      </c>
      <c r="M536" s="325">
        <f t="shared" si="254"/>
        <v>1.1114454746193723</v>
      </c>
      <c r="N536" s="337">
        <f t="shared" si="255"/>
        <v>0.45164756393049044</v>
      </c>
      <c r="O536" s="343">
        <f t="shared" si="256"/>
        <v>1.1002902878890357</v>
      </c>
      <c r="P536" s="691">
        <f t="shared" si="257"/>
        <v>0.43027502588317862</v>
      </c>
      <c r="Q536" s="336">
        <f t="shared" si="272"/>
        <v>15.457679950567016</v>
      </c>
      <c r="R536" s="692">
        <f t="shared" si="258"/>
        <v>0.21115654328617672</v>
      </c>
      <c r="S536" s="329">
        <f t="shared" si="259"/>
        <v>1.003827028417182</v>
      </c>
      <c r="T536" s="330">
        <f t="shared" si="260"/>
        <v>0.67427023128810315</v>
      </c>
      <c r="U536" s="331">
        <f t="shared" si="261"/>
        <v>-6.3558974405632043</v>
      </c>
      <c r="V536" s="332">
        <f t="shared" si="262"/>
        <v>-138.53450535089695</v>
      </c>
      <c r="W536" s="334">
        <f t="shared" si="263"/>
        <v>41.46549464910305</v>
      </c>
      <c r="Y536" s="307">
        <f t="shared" si="264"/>
        <v>78981</v>
      </c>
      <c r="Z536" s="307">
        <f t="shared" si="265"/>
        <v>6237998361</v>
      </c>
      <c r="AB536" s="333">
        <f t="shared" si="266"/>
        <v>22.543131840446936</v>
      </c>
      <c r="AC536" s="334">
        <f t="shared" si="267"/>
        <v>-28.696204176425745</v>
      </c>
      <c r="AE536" s="333">
        <f t="shared" si="268"/>
        <v>28.033111436121118</v>
      </c>
      <c r="AF536" s="334">
        <f t="shared" si="269"/>
        <v>-122.39286545493586</v>
      </c>
      <c r="AH536">
        <f t="shared" si="270"/>
        <v>0</v>
      </c>
      <c r="AI536">
        <f t="shared" si="245"/>
        <v>0</v>
      </c>
    </row>
    <row r="537" spans="1:35" x14ac:dyDescent="0.2">
      <c r="A537" s="335">
        <v>79433</v>
      </c>
      <c r="B537" s="352">
        <f t="shared" si="271"/>
        <v>79.433000000000007</v>
      </c>
      <c r="C537" s="325">
        <f t="shared" si="246"/>
        <v>100.75922990338763</v>
      </c>
      <c r="D537" s="326">
        <f t="shared" si="247"/>
        <v>1.5608715147639807</v>
      </c>
      <c r="E537" s="326">
        <f t="shared" si="248"/>
        <v>1.0049695136058716</v>
      </c>
      <c r="F537" s="327">
        <f t="shared" si="249"/>
        <v>9.948889835802105E-2</v>
      </c>
      <c r="G537" s="326">
        <f t="shared" si="250"/>
        <v>1</v>
      </c>
      <c r="H537" s="327">
        <f t="shared" si="251"/>
        <v>0</v>
      </c>
      <c r="I537" s="325">
        <f t="shared" si="252"/>
        <v>105428.70773578815</v>
      </c>
      <c r="J537" s="328">
        <f t="shared" si="253"/>
        <v>1.5707868417123088</v>
      </c>
      <c r="K537" s="336">
        <f t="shared" si="273"/>
        <v>20.447322912878498</v>
      </c>
      <c r="L537" s="337">
        <f t="shared" si="274"/>
        <v>1.5218706523039396</v>
      </c>
      <c r="M537" s="325">
        <f t="shared" si="254"/>
        <v>1.1126599079733079</v>
      </c>
      <c r="N537" s="337">
        <f t="shared" si="255"/>
        <v>0.45389241081607257</v>
      </c>
      <c r="O537" s="343">
        <f t="shared" si="256"/>
        <v>1.1013884614664182</v>
      </c>
      <c r="P537" s="691">
        <f t="shared" si="257"/>
        <v>0.43244241778257553</v>
      </c>
      <c r="Q537" s="336">
        <f t="shared" si="272"/>
        <v>15.46146504401405</v>
      </c>
      <c r="R537" s="692">
        <f t="shared" si="258"/>
        <v>0.21233062898532667</v>
      </c>
      <c r="S537" s="329">
        <f t="shared" si="259"/>
        <v>1.004140256632301</v>
      </c>
      <c r="T537" s="330">
        <f t="shared" si="260"/>
        <v>0.67860090412695084</v>
      </c>
      <c r="U537" s="331">
        <f t="shared" si="261"/>
        <v>-6.4107494624436177</v>
      </c>
      <c r="V537" s="332">
        <f t="shared" si="262"/>
        <v>-138.80935828928</v>
      </c>
      <c r="W537" s="334">
        <f t="shared" si="263"/>
        <v>41.190641710720001</v>
      </c>
      <c r="Y537" s="307">
        <f t="shared" si="264"/>
        <v>79433</v>
      </c>
      <c r="Z537" s="307">
        <f t="shared" si="265"/>
        <v>6309601489</v>
      </c>
      <c r="AB537" s="333">
        <f t="shared" si="266"/>
        <v>22.533527055278451</v>
      </c>
      <c r="AC537" s="334">
        <f t="shared" si="267"/>
        <v>-28.808810728660024</v>
      </c>
      <c r="AE537" s="333">
        <f t="shared" si="268"/>
        <v>27.981325980178525</v>
      </c>
      <c r="AF537" s="334">
        <f t="shared" si="269"/>
        <v>-122.61202409418797</v>
      </c>
      <c r="AH537">
        <f t="shared" si="270"/>
        <v>0</v>
      </c>
      <c r="AI537">
        <f t="shared" si="245"/>
        <v>0</v>
      </c>
    </row>
    <row r="538" spans="1:35" x14ac:dyDescent="0.2">
      <c r="A538" s="335">
        <v>79895.5</v>
      </c>
      <c r="B538" s="352">
        <f t="shared" si="271"/>
        <v>79.895499999999998</v>
      </c>
      <c r="C538" s="325">
        <f t="shared" si="246"/>
        <v>101.34584462226475</v>
      </c>
      <c r="D538" s="326">
        <f t="shared" si="247"/>
        <v>1.5609289638912995</v>
      </c>
      <c r="E538" s="326">
        <f t="shared" si="248"/>
        <v>1.0050274070703509</v>
      </c>
      <c r="F538" s="327">
        <f t="shared" si="249"/>
        <v>0.10006432614801916</v>
      </c>
      <c r="G538" s="326">
        <f t="shared" si="250"/>
        <v>1</v>
      </c>
      <c r="H538" s="327">
        <f t="shared" si="251"/>
        <v>0</v>
      </c>
      <c r="I538" s="325">
        <f t="shared" si="252"/>
        <v>106042.56818828809</v>
      </c>
      <c r="J538" s="328">
        <f t="shared" si="253"/>
        <v>1.5707868966196652</v>
      </c>
      <c r="K538" s="336">
        <f t="shared" si="273"/>
        <v>20.566093865283769</v>
      </c>
      <c r="L538" s="337">
        <f t="shared" si="274"/>
        <v>1.5221534259727234</v>
      </c>
      <c r="M538" s="325">
        <f t="shared" si="254"/>
        <v>1.1139083438622912</v>
      </c>
      <c r="N538" s="337">
        <f t="shared" si="255"/>
        <v>0.45618432708246159</v>
      </c>
      <c r="O538" s="343">
        <f t="shared" si="256"/>
        <v>1.1025174904542527</v>
      </c>
      <c r="P538" s="691">
        <f t="shared" si="257"/>
        <v>0.43465567838987806</v>
      </c>
      <c r="Q538" s="336">
        <f t="shared" si="272"/>
        <v>15.465359457491745</v>
      </c>
      <c r="R538" s="692">
        <f t="shared" si="258"/>
        <v>0.21353140144785368</v>
      </c>
      <c r="S538" s="329">
        <f t="shared" si="259"/>
        <v>1.0044688903900878</v>
      </c>
      <c r="T538" s="330">
        <f t="shared" si="260"/>
        <v>0.68303849367604441</v>
      </c>
      <c r="U538" s="331">
        <f t="shared" si="261"/>
        <v>-6.4666619583006</v>
      </c>
      <c r="V538" s="332">
        <f t="shared" si="262"/>
        <v>-139.09104269046674</v>
      </c>
      <c r="W538" s="334">
        <f t="shared" si="263"/>
        <v>40.908957309533264</v>
      </c>
      <c r="Y538" s="307">
        <f t="shared" si="264"/>
        <v>79895.5</v>
      </c>
      <c r="Z538" s="307">
        <f t="shared" si="265"/>
        <v>6383290920.25</v>
      </c>
      <c r="AB538" s="333">
        <f t="shared" si="266"/>
        <v>22.523666788647692</v>
      </c>
      <c r="AC538" s="334">
        <f t="shared" si="267"/>
        <v>-28.923929266034087</v>
      </c>
      <c r="AE538" s="333">
        <f t="shared" si="268"/>
        <v>27.928561955104449</v>
      </c>
      <c r="AF538" s="334">
        <f t="shared" si="269"/>
        <v>-122.83660125556968</v>
      </c>
      <c r="AH538">
        <f t="shared" si="270"/>
        <v>0</v>
      </c>
      <c r="AI538">
        <f t="shared" ref="AI538:AI601" si="275">IF(AH538&gt;0,W538,0)</f>
        <v>0</v>
      </c>
    </row>
    <row r="539" spans="1:35" x14ac:dyDescent="0.2">
      <c r="A539" s="335">
        <v>80358</v>
      </c>
      <c r="B539" s="352">
        <f t="shared" si="271"/>
        <v>80.358000000000004</v>
      </c>
      <c r="C539" s="325">
        <f t="shared" si="246"/>
        <v>101.93245967177408</v>
      </c>
      <c r="D539" s="326">
        <f t="shared" si="247"/>
        <v>1.5609857517864003</v>
      </c>
      <c r="E539" s="326">
        <f t="shared" si="248"/>
        <v>1.0050856332782314</v>
      </c>
      <c r="F539" s="327">
        <f t="shared" si="249"/>
        <v>0.10063968745761837</v>
      </c>
      <c r="G539" s="326">
        <f t="shared" si="250"/>
        <v>1</v>
      </c>
      <c r="H539" s="327">
        <f t="shared" si="251"/>
        <v>0</v>
      </c>
      <c r="I539" s="325">
        <f t="shared" si="252"/>
        <v>106656.42864078836</v>
      </c>
      <c r="J539" s="328">
        <f t="shared" si="253"/>
        <v>1.5707869508949837</v>
      </c>
      <c r="K539" s="336">
        <f t="shared" si="273"/>
        <v>20.684866443288314</v>
      </c>
      <c r="L539" s="337">
        <f t="shared" si="274"/>
        <v>1.5224329522887849</v>
      </c>
      <c r="M539" s="325">
        <f t="shared" si="254"/>
        <v>1.1151626178594052</v>
      </c>
      <c r="N539" s="337">
        <f t="shared" si="255"/>
        <v>0.45847109969409039</v>
      </c>
      <c r="O539" s="343">
        <f t="shared" si="256"/>
        <v>1.1036519090836454</v>
      </c>
      <c r="P539" s="691">
        <f t="shared" si="257"/>
        <v>0.4368643998779515</v>
      </c>
      <c r="Q539" s="336">
        <f t="shared" si="272"/>
        <v>15.469275492356941</v>
      </c>
      <c r="R539" s="692">
        <f t="shared" si="258"/>
        <v>0.21473157697946199</v>
      </c>
      <c r="S539" s="329">
        <f t="shared" si="259"/>
        <v>1.0048058505458222</v>
      </c>
      <c r="T539" s="330">
        <f t="shared" si="260"/>
        <v>0.68748244218610832</v>
      </c>
      <c r="U539" s="331">
        <f t="shared" si="261"/>
        <v>-6.5223624487153202</v>
      </c>
      <c r="V539" s="332">
        <f t="shared" si="262"/>
        <v>-139.37317454094637</v>
      </c>
      <c r="W539" s="334">
        <f t="shared" si="263"/>
        <v>40.626825459053634</v>
      </c>
      <c r="Y539" s="307">
        <f t="shared" si="264"/>
        <v>80358</v>
      </c>
      <c r="Z539" s="307">
        <f t="shared" si="265"/>
        <v>6457408164</v>
      </c>
      <c r="AB539" s="333">
        <f t="shared" si="266"/>
        <v>22.513774021388947</v>
      </c>
      <c r="AC539" s="334">
        <f t="shared" si="267"/>
        <v>-29.038939117091449</v>
      </c>
      <c r="AE539" s="333">
        <f t="shared" si="268"/>
        <v>27.876020716919662</v>
      </c>
      <c r="AF539" s="334">
        <f t="shared" si="269"/>
        <v>-123.06150868180831</v>
      </c>
      <c r="AH539">
        <f t="shared" si="270"/>
        <v>0</v>
      </c>
      <c r="AI539">
        <f t="shared" si="275"/>
        <v>0</v>
      </c>
    </row>
    <row r="540" spans="1:35" x14ac:dyDescent="0.2">
      <c r="A540" s="335">
        <v>80820.5</v>
      </c>
      <c r="B540" s="352">
        <f t="shared" si="271"/>
        <v>80.820499999999996</v>
      </c>
      <c r="C540" s="325">
        <f t="shared" si="246"/>
        <v>102.51907504623996</v>
      </c>
      <c r="D540" s="326">
        <f t="shared" si="247"/>
        <v>1.5610418897996496</v>
      </c>
      <c r="E540" s="326">
        <f t="shared" si="248"/>
        <v>1.005144192171687</v>
      </c>
      <c r="F540" s="327">
        <f t="shared" si="249"/>
        <v>0.10121498191746928</v>
      </c>
      <c r="G540" s="326">
        <f t="shared" si="250"/>
        <v>1</v>
      </c>
      <c r="H540" s="327">
        <f t="shared" si="251"/>
        <v>0</v>
      </c>
      <c r="I540" s="325">
        <f t="shared" si="252"/>
        <v>107270.28909328893</v>
      </c>
      <c r="J540" s="328">
        <f t="shared" si="253"/>
        <v>1.5707870045491148</v>
      </c>
      <c r="K540" s="336">
        <f t="shared" si="273"/>
        <v>20.803640619049411</v>
      </c>
      <c r="L540" s="337">
        <f t="shared" si="274"/>
        <v>1.522709286828374</v>
      </c>
      <c r="M540" s="325">
        <f t="shared" si="254"/>
        <v>1.1164227102877284</v>
      </c>
      <c r="N540" s="337">
        <f t="shared" si="255"/>
        <v>0.46075272211107254</v>
      </c>
      <c r="O540" s="343">
        <f t="shared" si="256"/>
        <v>1.1047917007520742</v>
      </c>
      <c r="P540" s="691">
        <f t="shared" si="257"/>
        <v>0.43906857471230476</v>
      </c>
      <c r="Q540" s="336">
        <f t="shared" si="272"/>
        <v>15.47321313220912</v>
      </c>
      <c r="R540" s="692">
        <f t="shared" si="258"/>
        <v>0.215931152732208</v>
      </c>
      <c r="S540" s="329">
        <f t="shared" si="259"/>
        <v>1.0051512420352993</v>
      </c>
      <c r="T540" s="330">
        <f t="shared" si="260"/>
        <v>0.69193271984559845</v>
      </c>
      <c r="U540" s="331">
        <f t="shared" si="261"/>
        <v>-6.5778550981364923</v>
      </c>
      <c r="V540" s="332">
        <f t="shared" si="262"/>
        <v>-139.65574951428189</v>
      </c>
      <c r="W540" s="334">
        <f t="shared" si="263"/>
        <v>40.344250485718106</v>
      </c>
      <c r="Y540" s="307">
        <f t="shared" si="264"/>
        <v>80820.5</v>
      </c>
      <c r="Z540" s="307">
        <f t="shared" si="265"/>
        <v>6531953220.25</v>
      </c>
      <c r="AB540" s="333">
        <f t="shared" si="266"/>
        <v>22.503848988480236</v>
      </c>
      <c r="AC540" s="334">
        <f t="shared" si="267"/>
        <v>-29.153836723461403</v>
      </c>
      <c r="AE540" s="333">
        <f t="shared" si="268"/>
        <v>27.823698090618624</v>
      </c>
      <c r="AF540" s="334">
        <f t="shared" si="269"/>
        <v>-123.28674533631855</v>
      </c>
      <c r="AH540">
        <f t="shared" si="270"/>
        <v>0</v>
      </c>
      <c r="AI540">
        <f t="shared" si="275"/>
        <v>0</v>
      </c>
    </row>
    <row r="541" spans="1:35" x14ac:dyDescent="0.2">
      <c r="A541" s="335">
        <v>81283</v>
      </c>
      <c r="B541" s="352">
        <f t="shared" si="271"/>
        <v>81.283000000000001</v>
      </c>
      <c r="C541" s="325">
        <f t="shared" si="246"/>
        <v>103.10569074011593</v>
      </c>
      <c r="D541" s="326">
        <f t="shared" si="247"/>
        <v>1.5610973890231203</v>
      </c>
      <c r="E541" s="326">
        <f t="shared" si="248"/>
        <v>1.0052030836925756</v>
      </c>
      <c r="F541" s="327">
        <f t="shared" si="249"/>
        <v>0.10179020915848527</v>
      </c>
      <c r="G541" s="326">
        <f t="shared" si="250"/>
        <v>1</v>
      </c>
      <c r="H541" s="327">
        <f t="shared" si="251"/>
        <v>0</v>
      </c>
      <c r="I541" s="325">
        <f t="shared" si="252"/>
        <v>107884.14954578978</v>
      </c>
      <c r="J541" s="328">
        <f t="shared" si="253"/>
        <v>1.5707870575926624</v>
      </c>
      <c r="K541" s="336">
        <f t="shared" si="273"/>
        <v>20.922416365356217</v>
      </c>
      <c r="L541" s="337">
        <f t="shared" si="274"/>
        <v>1.5229824839076984</v>
      </c>
      <c r="M541" s="325">
        <f t="shared" si="254"/>
        <v>1.117688601468003</v>
      </c>
      <c r="N541" s="337">
        <f t="shared" si="255"/>
        <v>0.46302918803743126</v>
      </c>
      <c r="O541" s="343">
        <f t="shared" si="256"/>
        <v>1.1059368488469852</v>
      </c>
      <c r="P541" s="691">
        <f t="shared" si="257"/>
        <v>0.4412681955661476</v>
      </c>
      <c r="Q541" s="336">
        <f t="shared" si="272"/>
        <v>15.47717236057402</v>
      </c>
      <c r="R541" s="692">
        <f t="shared" si="258"/>
        <v>0.21713012586773389</v>
      </c>
      <c r="S541" s="329">
        <f t="shared" si="259"/>
        <v>1.0055051700935915</v>
      </c>
      <c r="T541" s="330">
        <f t="shared" si="260"/>
        <v>0.69638929557578055</v>
      </c>
      <c r="U541" s="331">
        <f t="shared" si="261"/>
        <v>-6.633144012344518</v>
      </c>
      <c r="V541" s="332">
        <f t="shared" si="262"/>
        <v>-139.93876327142272</v>
      </c>
      <c r="W541" s="334">
        <f t="shared" si="263"/>
        <v>40.061236728577285</v>
      </c>
      <c r="Y541" s="307">
        <f t="shared" si="264"/>
        <v>81283</v>
      </c>
      <c r="Z541" s="307">
        <f t="shared" si="265"/>
        <v>6606926089</v>
      </c>
      <c r="AB541" s="333">
        <f t="shared" si="266"/>
        <v>22.493891925658104</v>
      </c>
      <c r="AC541" s="334">
        <f t="shared" si="267"/>
        <v>-29.26861861292905</v>
      </c>
      <c r="AE541" s="333">
        <f t="shared" si="268"/>
        <v>27.771589958709868</v>
      </c>
      <c r="AF541" s="334">
        <f t="shared" si="269"/>
        <v>-123.5123100950961</v>
      </c>
      <c r="AH541">
        <f t="shared" si="270"/>
        <v>0</v>
      </c>
      <c r="AI541">
        <f t="shared" si="275"/>
        <v>0</v>
      </c>
    </row>
    <row r="542" spans="1:35" x14ac:dyDescent="0.2">
      <c r="A542" s="335">
        <v>81756.25</v>
      </c>
      <c r="B542" s="352">
        <f t="shared" si="271"/>
        <v>81.756249999999994</v>
      </c>
      <c r="C542" s="325">
        <f t="shared" si="246"/>
        <v>103.70594161023337</v>
      </c>
      <c r="D542" s="326">
        <f t="shared" si="247"/>
        <v>1.5611535283023374</v>
      </c>
      <c r="E542" s="326">
        <f t="shared" si="248"/>
        <v>1.0052636882967192</v>
      </c>
      <c r="F542" s="327">
        <f t="shared" si="249"/>
        <v>0.10237873658087908</v>
      </c>
      <c r="G542" s="326">
        <f t="shared" si="250"/>
        <v>1</v>
      </c>
      <c r="H542" s="327">
        <f t="shared" si="251"/>
        <v>0</v>
      </c>
      <c r="I542" s="325">
        <f t="shared" si="252"/>
        <v>108512.27810610586</v>
      </c>
      <c r="J542" s="328">
        <f t="shared" si="253"/>
        <v>1.5707871112478868</v>
      </c>
      <c r="K542" s="336">
        <f t="shared" si="273"/>
        <v>21.043954443211703</v>
      </c>
      <c r="L542" s="337">
        <f t="shared" si="274"/>
        <v>1.5232588386538557</v>
      </c>
      <c r="M542" s="325">
        <f t="shared" si="254"/>
        <v>1.1189898980260586</v>
      </c>
      <c r="N542" s="337">
        <f t="shared" si="255"/>
        <v>0.46535322243762262</v>
      </c>
      <c r="O542" s="343">
        <f t="shared" si="256"/>
        <v>1.1071141411829946</v>
      </c>
      <c r="P542" s="691">
        <f t="shared" si="257"/>
        <v>0.44351422133166568</v>
      </c>
      <c r="Q542" s="336">
        <f t="shared" si="272"/>
        <v>15.481245944009505</v>
      </c>
      <c r="R542" s="692">
        <f t="shared" si="258"/>
        <v>0.21835634028656387</v>
      </c>
      <c r="S542" s="329">
        <f t="shared" si="259"/>
        <v>1.0058762711694953</v>
      </c>
      <c r="T542" s="330">
        <f t="shared" si="260"/>
        <v>0.70095594217843671</v>
      </c>
      <c r="U542" s="331">
        <f t="shared" si="261"/>
        <v>-6.6895113494497549</v>
      </c>
      <c r="V542" s="332">
        <f t="shared" si="262"/>
        <v>-140.22880484507135</v>
      </c>
      <c r="W542" s="334">
        <f t="shared" si="263"/>
        <v>39.771195154928648</v>
      </c>
      <c r="Y542" s="307">
        <f t="shared" si="264"/>
        <v>81756.25</v>
      </c>
      <c r="Z542" s="307">
        <f t="shared" si="265"/>
        <v>6684084414.0625</v>
      </c>
      <c r="AB542" s="333">
        <f t="shared" si="266"/>
        <v>22.483670519759485</v>
      </c>
      <c r="AC542" s="334">
        <f t="shared" si="267"/>
        <v>-29.385945089252001</v>
      </c>
      <c r="AE542" s="333">
        <f t="shared" si="268"/>
        <v>27.718488459425863</v>
      </c>
      <c r="AF542" s="334">
        <f t="shared" si="269"/>
        <v>-123.74345607855335</v>
      </c>
      <c r="AH542">
        <f t="shared" si="270"/>
        <v>0</v>
      </c>
      <c r="AI542">
        <f t="shared" si="275"/>
        <v>0</v>
      </c>
    </row>
    <row r="543" spans="1:35" x14ac:dyDescent="0.2">
      <c r="A543" s="335">
        <v>82229.5</v>
      </c>
      <c r="B543" s="352">
        <f t="shared" si="271"/>
        <v>82.229500000000002</v>
      </c>
      <c r="C543" s="325">
        <f t="shared" si="246"/>
        <v>104.30619280343062</v>
      </c>
      <c r="D543" s="326">
        <f t="shared" si="247"/>
        <v>1.5612090214519359</v>
      </c>
      <c r="E543" s="326">
        <f t="shared" si="248"/>
        <v>1.0053246410464944</v>
      </c>
      <c r="F543" s="327">
        <f t="shared" si="249"/>
        <v>0.10296719284233491</v>
      </c>
      <c r="G543" s="326">
        <f t="shared" si="250"/>
        <v>1</v>
      </c>
      <c r="H543" s="327">
        <f t="shared" si="251"/>
        <v>0</v>
      </c>
      <c r="I543" s="325">
        <f t="shared" si="252"/>
        <v>109140.40666642223</v>
      </c>
      <c r="J543" s="328">
        <f t="shared" si="253"/>
        <v>1.5707871642855149</v>
      </c>
      <c r="K543" s="336">
        <f t="shared" si="273"/>
        <v>21.165494109777274</v>
      </c>
      <c r="L543" s="337">
        <f t="shared" si="274"/>
        <v>1.5235320195695468</v>
      </c>
      <c r="M543" s="325">
        <f t="shared" si="254"/>
        <v>1.120297224341045</v>
      </c>
      <c r="N543" s="337">
        <f t="shared" si="255"/>
        <v>0.46767184529162859</v>
      </c>
      <c r="O543" s="343">
        <f t="shared" si="256"/>
        <v>1.1082970066203892</v>
      </c>
      <c r="P543" s="691">
        <f t="shared" si="257"/>
        <v>0.44575546409765976</v>
      </c>
      <c r="Q543" s="336">
        <f t="shared" si="272"/>
        <v>15.485342096061029</v>
      </c>
      <c r="R543" s="692">
        <f t="shared" si="258"/>
        <v>0.21958191776717015</v>
      </c>
      <c r="S543" s="329">
        <f t="shared" si="259"/>
        <v>1.0062565341090643</v>
      </c>
      <c r="T543" s="330">
        <f t="shared" si="260"/>
        <v>0.70552911310907207</v>
      </c>
      <c r="U543" s="331">
        <f t="shared" si="261"/>
        <v>-6.7456738849537441</v>
      </c>
      <c r="V543" s="332">
        <f t="shared" si="262"/>
        <v>-140.51929659666106</v>
      </c>
      <c r="W543" s="334">
        <f t="shared" si="263"/>
        <v>39.480703403338936</v>
      </c>
      <c r="Y543" s="307">
        <f t="shared" si="264"/>
        <v>82229.5</v>
      </c>
      <c r="Z543" s="307">
        <f t="shared" si="265"/>
        <v>6761690670.25</v>
      </c>
      <c r="AB543" s="333">
        <f t="shared" si="266"/>
        <v>22.473416079236415</v>
      </c>
      <c r="AC543" s="334">
        <f t="shared" si="267"/>
        <v>-29.503143318522664</v>
      </c>
      <c r="AE543" s="333">
        <f t="shared" si="268"/>
        <v>27.665602998584269</v>
      </c>
      <c r="AF543" s="334">
        <f t="shared" si="269"/>
        <v>-123.97494293518959</v>
      </c>
      <c r="AH543">
        <f t="shared" si="270"/>
        <v>0</v>
      </c>
      <c r="AI543">
        <f t="shared" si="275"/>
        <v>0</v>
      </c>
    </row>
    <row r="544" spans="1:35" x14ac:dyDescent="0.2">
      <c r="A544" s="335">
        <v>82702.75</v>
      </c>
      <c r="B544" s="352">
        <f t="shared" si="271"/>
        <v>82.702749999999995</v>
      </c>
      <c r="C544" s="325">
        <f t="shared" si="246"/>
        <v>104.90644431416193</v>
      </c>
      <c r="D544" s="326">
        <f t="shared" si="247"/>
        <v>1.5612638795626033</v>
      </c>
      <c r="E544" s="326">
        <f t="shared" si="248"/>
        <v>1.0053859418785807</v>
      </c>
      <c r="F544" s="327">
        <f t="shared" si="249"/>
        <v>0.10355557754829046</v>
      </c>
      <c r="G544" s="326">
        <f t="shared" si="250"/>
        <v>1</v>
      </c>
      <c r="H544" s="327">
        <f t="shared" si="251"/>
        <v>0</v>
      </c>
      <c r="I544" s="325">
        <f t="shared" si="252"/>
        <v>109768.53522673892</v>
      </c>
      <c r="J544" s="328">
        <f t="shared" si="253"/>
        <v>1.5707872167161483</v>
      </c>
      <c r="K544" s="336">
        <f t="shared" si="273"/>
        <v>21.287035337840397</v>
      </c>
      <c r="L544" s="337">
        <f t="shared" si="274"/>
        <v>1.5238020809778967</v>
      </c>
      <c r="M544" s="325">
        <f t="shared" si="254"/>
        <v>1.1216105593284782</v>
      </c>
      <c r="N544" s="337">
        <f t="shared" si="255"/>
        <v>0.46998505063597529</v>
      </c>
      <c r="O544" s="343">
        <f t="shared" si="256"/>
        <v>1.1094854273340711</v>
      </c>
      <c r="P544" s="691">
        <f t="shared" si="257"/>
        <v>0.44799191668194294</v>
      </c>
      <c r="Q544" s="336">
        <f t="shared" si="272"/>
        <v>15.489460798841035</v>
      </c>
      <c r="R544" s="692">
        <f t="shared" si="258"/>
        <v>0.22080685530000554</v>
      </c>
      <c r="S544" s="329">
        <f t="shared" si="259"/>
        <v>1.006646072568125</v>
      </c>
      <c r="T544" s="330">
        <f t="shared" si="260"/>
        <v>0.71010877092031843</v>
      </c>
      <c r="U544" s="331">
        <f t="shared" si="261"/>
        <v>-6.8016358345148928</v>
      </c>
      <c r="V544" s="332">
        <f t="shared" si="262"/>
        <v>-140.8102338241865</v>
      </c>
      <c r="W544" s="334">
        <f t="shared" si="263"/>
        <v>39.189766175813503</v>
      </c>
      <c r="Y544" s="307">
        <f t="shared" si="264"/>
        <v>82702.75</v>
      </c>
      <c r="Z544" s="307">
        <f t="shared" si="265"/>
        <v>6839744857.5625</v>
      </c>
      <c r="AB544" s="333">
        <f t="shared" si="266"/>
        <v>22.463128858719593</v>
      </c>
      <c r="AC544" s="334">
        <f t="shared" si="267"/>
        <v>-29.620209847180799</v>
      </c>
      <c r="AE544" s="333">
        <f t="shared" si="268"/>
        <v>27.612929344530592</v>
      </c>
      <c r="AF544" s="334">
        <f t="shared" si="269"/>
        <v>-124.20676917748504</v>
      </c>
      <c r="AH544">
        <f t="shared" si="270"/>
        <v>0</v>
      </c>
      <c r="AI544">
        <f t="shared" si="275"/>
        <v>0</v>
      </c>
    </row>
    <row r="545" spans="1:35" x14ac:dyDescent="0.2">
      <c r="A545" s="335">
        <v>83176</v>
      </c>
      <c r="B545" s="352">
        <f t="shared" si="271"/>
        <v>83.176000000000002</v>
      </c>
      <c r="C545" s="325">
        <f t="shared" si="246"/>
        <v>105.50669613700774</v>
      </c>
      <c r="D545" s="326">
        <f t="shared" si="247"/>
        <v>1.5613181134726544</v>
      </c>
      <c r="E545" s="326">
        <f t="shared" si="248"/>
        <v>1.0054475907293117</v>
      </c>
      <c r="F545" s="327">
        <f t="shared" si="249"/>
        <v>0.1041438903044776</v>
      </c>
      <c r="G545" s="326">
        <f t="shared" si="250"/>
        <v>1</v>
      </c>
      <c r="H545" s="327">
        <f t="shared" si="251"/>
        <v>0</v>
      </c>
      <c r="I545" s="325">
        <f t="shared" si="252"/>
        <v>110396.66378705591</v>
      </c>
      <c r="J545" s="328">
        <f t="shared" si="253"/>
        <v>1.5707872685501481</v>
      </c>
      <c r="K545" s="336">
        <f t="shared" si="273"/>
        <v>21.408578100806185</v>
      </c>
      <c r="L545" s="337">
        <f t="shared" si="274"/>
        <v>1.5240690759702415</v>
      </c>
      <c r="M545" s="325">
        <f t="shared" si="254"/>
        <v>1.1229298819058315</v>
      </c>
      <c r="N545" s="337">
        <f t="shared" si="255"/>
        <v>0.47229283276693101</v>
      </c>
      <c r="O545" s="343">
        <f t="shared" si="256"/>
        <v>1.1106793854916968</v>
      </c>
      <c r="P545" s="691">
        <f t="shared" si="257"/>
        <v>0.45022357212466779</v>
      </c>
      <c r="Q545" s="336">
        <f t="shared" si="272"/>
        <v>15.493602034382571</v>
      </c>
      <c r="R545" s="692">
        <f t="shared" si="258"/>
        <v>0.22203114988616307</v>
      </c>
      <c r="S545" s="329">
        <f t="shared" si="259"/>
        <v>1.0070450004880773</v>
      </c>
      <c r="T545" s="330">
        <f t="shared" si="260"/>
        <v>0.71469487675600529</v>
      </c>
      <c r="U545" s="331">
        <f t="shared" si="261"/>
        <v>-6.8574013544878509</v>
      </c>
      <c r="V545" s="332">
        <f t="shared" si="262"/>
        <v>-141.10161180376224</v>
      </c>
      <c r="W545" s="334">
        <f t="shared" si="263"/>
        <v>38.898388196237761</v>
      </c>
      <c r="Y545" s="307">
        <f t="shared" si="264"/>
        <v>83176</v>
      </c>
      <c r="Z545" s="307">
        <f t="shared" si="265"/>
        <v>6918246976</v>
      </c>
      <c r="AB545" s="333">
        <f t="shared" si="266"/>
        <v>22.45280911341165</v>
      </c>
      <c r="AC545" s="334">
        <f t="shared" si="267"/>
        <v>-29.737141307110814</v>
      </c>
      <c r="AE545" s="333">
        <f t="shared" si="268"/>
        <v>27.560463323847348</v>
      </c>
      <c r="AF545" s="334">
        <f t="shared" si="269"/>
        <v>-124.43893322272469</v>
      </c>
      <c r="AH545">
        <f t="shared" si="270"/>
        <v>0</v>
      </c>
      <c r="AI545">
        <f t="shared" si="275"/>
        <v>0</v>
      </c>
    </row>
    <row r="546" spans="1:35" x14ac:dyDescent="0.2">
      <c r="A546" s="335">
        <v>83660.5</v>
      </c>
      <c r="B546" s="352">
        <f t="shared" si="271"/>
        <v>83.660499999999999</v>
      </c>
      <c r="C546" s="325">
        <f t="shared" si="246"/>
        <v>106.12121733842041</v>
      </c>
      <c r="D546" s="326">
        <f t="shared" si="247"/>
        <v>1.5613730010445994</v>
      </c>
      <c r="E546" s="326">
        <f t="shared" si="248"/>
        <v>1.0055110655433024</v>
      </c>
      <c r="F546" s="327">
        <f t="shared" si="249"/>
        <v>0.10474611336141046</v>
      </c>
      <c r="G546" s="326">
        <f t="shared" si="250"/>
        <v>1</v>
      </c>
      <c r="H546" s="327">
        <f t="shared" si="251"/>
        <v>0</v>
      </c>
      <c r="I546" s="325">
        <f t="shared" si="252"/>
        <v>111039.72408810972</v>
      </c>
      <c r="J546" s="328">
        <f t="shared" si="253"/>
        <v>1.5707873210088301</v>
      </c>
      <c r="K546" s="336">
        <f t="shared" si="273"/>
        <v>21.533011715836178</v>
      </c>
      <c r="L546" s="337">
        <f t="shared" si="274"/>
        <v>1.5243392954660291</v>
      </c>
      <c r="M546" s="325">
        <f t="shared" si="254"/>
        <v>1.1242867479187455</v>
      </c>
      <c r="N546" s="337">
        <f t="shared" si="255"/>
        <v>0.47464985120218073</v>
      </c>
      <c r="O546" s="343">
        <f t="shared" si="256"/>
        <v>1.1119074440076084</v>
      </c>
      <c r="P546" s="691">
        <f t="shared" si="257"/>
        <v>0.45250330142673301</v>
      </c>
      <c r="Q546" s="336">
        <f t="shared" si="272"/>
        <v>15.497865038260182</v>
      </c>
      <c r="R546" s="692">
        <f t="shared" si="258"/>
        <v>0.22328387897268187</v>
      </c>
      <c r="S546" s="329">
        <f t="shared" si="259"/>
        <v>1.0074632578194398</v>
      </c>
      <c r="T546" s="330">
        <f t="shared" si="260"/>
        <v>0.71939664025242889</v>
      </c>
      <c r="U546" s="331">
        <f t="shared" si="261"/>
        <v>-6.914293310210744</v>
      </c>
      <c r="V546" s="332">
        <f t="shared" si="262"/>
        <v>-141.40036799512458</v>
      </c>
      <c r="W546" s="334">
        <f t="shared" si="263"/>
        <v>38.599632004875417</v>
      </c>
      <c r="Y546" s="307">
        <f t="shared" si="264"/>
        <v>83660.5</v>
      </c>
      <c r="Z546" s="307">
        <f t="shared" si="265"/>
        <v>6999079260.25</v>
      </c>
      <c r="AB546" s="333">
        <f t="shared" si="266"/>
        <v>22.442210622543882</v>
      </c>
      <c r="AC546" s="334">
        <f t="shared" si="267"/>
        <v>-29.85670908483209</v>
      </c>
      <c r="AE546" s="333">
        <f t="shared" si="268"/>
        <v>27.506960889981301</v>
      </c>
      <c r="AF546" s="334">
        <f t="shared" si="269"/>
        <v>-124.67696441434288</v>
      </c>
      <c r="AH546">
        <f t="shared" si="270"/>
        <v>0</v>
      </c>
      <c r="AI546">
        <f t="shared" si="275"/>
        <v>0</v>
      </c>
    </row>
    <row r="547" spans="1:35" x14ac:dyDescent="0.2">
      <c r="A547" s="335">
        <v>84145</v>
      </c>
      <c r="B547" s="352">
        <f t="shared" si="271"/>
        <v>84.144999999999996</v>
      </c>
      <c r="C547" s="325">
        <f t="shared" si="246"/>
        <v>106.73573885585733</v>
      </c>
      <c r="D547" s="326">
        <f t="shared" si="247"/>
        <v>1.5614272565960849</v>
      </c>
      <c r="E547" s="326">
        <f t="shared" si="248"/>
        <v>1.0055749049825005</v>
      </c>
      <c r="F547" s="327">
        <f t="shared" si="249"/>
        <v>0.1053482601718224</v>
      </c>
      <c r="G547" s="326">
        <f t="shared" si="250"/>
        <v>1</v>
      </c>
      <c r="H547" s="327">
        <f t="shared" si="251"/>
        <v>0</v>
      </c>
      <c r="I547" s="325">
        <f t="shared" si="252"/>
        <v>111682.78438916385</v>
      </c>
      <c r="J547" s="328">
        <f t="shared" si="253"/>
        <v>1.5707873728634068</v>
      </c>
      <c r="K547" s="336">
        <f t="shared" si="273"/>
        <v>21.657446885108428</v>
      </c>
      <c r="L547" s="337">
        <f t="shared" si="274"/>
        <v>1.5246064098313097</v>
      </c>
      <c r="M547" s="325">
        <f t="shared" si="254"/>
        <v>1.1256498448688612</v>
      </c>
      <c r="N547" s="337">
        <f t="shared" si="255"/>
        <v>0.47700117424760247</v>
      </c>
      <c r="O547" s="343">
        <f t="shared" si="256"/>
        <v>1.1131412685225439</v>
      </c>
      <c r="P547" s="691">
        <f t="shared" si="257"/>
        <v>0.454777988748294</v>
      </c>
      <c r="Q547" s="336">
        <f t="shared" si="272"/>
        <v>15.502151620557056</v>
      </c>
      <c r="R547" s="692">
        <f t="shared" si="258"/>
        <v>0.22453592785443233</v>
      </c>
      <c r="S547" s="329">
        <f t="shared" si="259"/>
        <v>1.0078915988800348</v>
      </c>
      <c r="T547" s="330">
        <f t="shared" si="260"/>
        <v>0.72410507501870758</v>
      </c>
      <c r="U547" s="331">
        <f t="shared" si="261"/>
        <v>-6.9709880170906775</v>
      </c>
      <c r="V547" s="332">
        <f t="shared" si="262"/>
        <v>-141.69957604439441</v>
      </c>
      <c r="W547" s="334">
        <f t="shared" si="263"/>
        <v>38.300423955605595</v>
      </c>
      <c r="Y547" s="307">
        <f t="shared" si="264"/>
        <v>84145</v>
      </c>
      <c r="Z547" s="307">
        <f t="shared" si="265"/>
        <v>7080381025</v>
      </c>
      <c r="AB547" s="333">
        <f t="shared" si="266"/>
        <v>22.431578585057284</v>
      </c>
      <c r="AC547" s="334">
        <f t="shared" si="267"/>
        <v>-29.976128417013545</v>
      </c>
      <c r="AE547" s="333">
        <f t="shared" si="268"/>
        <v>27.45366740831598</v>
      </c>
      <c r="AF547" s="334">
        <f t="shared" si="269"/>
        <v>-124.91534599806711</v>
      </c>
      <c r="AH547">
        <f t="shared" si="270"/>
        <v>0</v>
      </c>
      <c r="AI547">
        <f t="shared" si="275"/>
        <v>0</v>
      </c>
    </row>
    <row r="548" spans="1:35" x14ac:dyDescent="0.2">
      <c r="A548" s="335">
        <v>84629.5</v>
      </c>
      <c r="B548" s="352">
        <f t="shared" si="271"/>
        <v>84.629499999999993</v>
      </c>
      <c r="C548" s="325">
        <f t="shared" si="246"/>
        <v>107.35026068389134</v>
      </c>
      <c r="D548" s="326">
        <f t="shared" si="247"/>
        <v>1.5614808909807085</v>
      </c>
      <c r="E548" s="326">
        <f t="shared" si="248"/>
        <v>1.005639108977465</v>
      </c>
      <c r="F548" s="327">
        <f t="shared" si="249"/>
        <v>0.10595033031362222</v>
      </c>
      <c r="G548" s="326">
        <f t="shared" si="250"/>
        <v>1</v>
      </c>
      <c r="H548" s="327">
        <f t="shared" si="251"/>
        <v>0</v>
      </c>
      <c r="I548" s="325">
        <f t="shared" si="252"/>
        <v>112325.84469021828</v>
      </c>
      <c r="J548" s="328">
        <f t="shared" si="253"/>
        <v>1.5707874241242532</v>
      </c>
      <c r="K548" s="336">
        <f t="shared" si="273"/>
        <v>21.781883581985799</v>
      </c>
      <c r="L548" s="337">
        <f t="shared" si="274"/>
        <v>1.5248704722450974</v>
      </c>
      <c r="M548" s="325">
        <f t="shared" si="254"/>
        <v>1.127019150147766</v>
      </c>
      <c r="N548" s="337">
        <f t="shared" si="255"/>
        <v>0.47934679661604213</v>
      </c>
      <c r="O548" s="343">
        <f t="shared" si="256"/>
        <v>1.1143808398844395</v>
      </c>
      <c r="P548" s="691">
        <f t="shared" si="257"/>
        <v>0.45704762733632304</v>
      </c>
      <c r="Q548" s="336">
        <f t="shared" si="272"/>
        <v>15.506461761738006</v>
      </c>
      <c r="R548" s="692">
        <f t="shared" si="258"/>
        <v>0.22578729334838363</v>
      </c>
      <c r="S548" s="329">
        <f t="shared" si="259"/>
        <v>1.008330146788232</v>
      </c>
      <c r="T548" s="330">
        <f t="shared" si="260"/>
        <v>0.72882013474638596</v>
      </c>
      <c r="U548" s="331">
        <f t="shared" si="261"/>
        <v>-7.0274897492850785</v>
      </c>
      <c r="V548" s="332">
        <f t="shared" si="262"/>
        <v>-141.99923079961735</v>
      </c>
      <c r="W548" s="334">
        <f t="shared" si="263"/>
        <v>38.000769200382649</v>
      </c>
      <c r="Y548" s="307">
        <f t="shared" si="264"/>
        <v>84629.5</v>
      </c>
      <c r="Z548" s="307">
        <f t="shared" si="265"/>
        <v>7162152270.25</v>
      </c>
      <c r="AB548" s="333">
        <f t="shared" si="266"/>
        <v>22.420913276265118</v>
      </c>
      <c r="AC548" s="334">
        <f t="shared" si="267"/>
        <v>-30.095395954384983</v>
      </c>
      <c r="AE548" s="333">
        <f t="shared" si="268"/>
        <v>27.400578583201849</v>
      </c>
      <c r="AF548" s="334">
        <f t="shared" si="269"/>
        <v>-125.15407596666773</v>
      </c>
      <c r="AH548">
        <f t="shared" si="270"/>
        <v>0</v>
      </c>
      <c r="AI548">
        <f t="shared" si="275"/>
        <v>0</v>
      </c>
    </row>
    <row r="549" spans="1:35" x14ac:dyDescent="0.2">
      <c r="A549" s="335">
        <v>85114</v>
      </c>
      <c r="B549" s="352">
        <f t="shared" si="271"/>
        <v>85.114000000000004</v>
      </c>
      <c r="C549" s="325">
        <f t="shared" si="246"/>
        <v>107.96478281721876</v>
      </c>
      <c r="D549" s="326">
        <f t="shared" si="247"/>
        <v>1.5615339148049725</v>
      </c>
      <c r="E549" s="326">
        <f t="shared" si="248"/>
        <v>1.0057036774583767</v>
      </c>
      <c r="F549" s="327">
        <f t="shared" si="249"/>
        <v>0.10655232336504848</v>
      </c>
      <c r="G549" s="326">
        <f t="shared" si="250"/>
        <v>1</v>
      </c>
      <c r="H549" s="327">
        <f t="shared" si="251"/>
        <v>0</v>
      </c>
      <c r="I549" s="325">
        <f t="shared" si="252"/>
        <v>112968.90499127298</v>
      </c>
      <c r="J549" s="328">
        <f t="shared" si="253"/>
        <v>1.5707874748015087</v>
      </c>
      <c r="K549" s="336">
        <f t="shared" si="273"/>
        <v>21.906321780436059</v>
      </c>
      <c r="L549" s="337">
        <f t="shared" si="274"/>
        <v>1.5251315346798038</v>
      </c>
      <c r="M549" s="325">
        <f t="shared" si="254"/>
        <v>1.1283946411540655</v>
      </c>
      <c r="N549" s="337">
        <f t="shared" si="255"/>
        <v>0.48168671329686746</v>
      </c>
      <c r="O549" s="343">
        <f t="shared" si="256"/>
        <v>1.1156261389373434</v>
      </c>
      <c r="P549" s="691">
        <f t="shared" si="257"/>
        <v>0.45931221067579303</v>
      </c>
      <c r="Q549" s="336">
        <f t="shared" si="272"/>
        <v>15.510795442182257</v>
      </c>
      <c r="R549" s="692">
        <f t="shared" si="258"/>
        <v>0.22703797228333411</v>
      </c>
      <c r="S549" s="329">
        <f t="shared" si="259"/>
        <v>1.0087790249257751</v>
      </c>
      <c r="T549" s="330">
        <f t="shared" si="260"/>
        <v>0.73354177156317624</v>
      </c>
      <c r="U549" s="331">
        <f t="shared" si="261"/>
        <v>-7.0838027207008736</v>
      </c>
      <c r="V549" s="332">
        <f t="shared" si="262"/>
        <v>-142.29932707706661</v>
      </c>
      <c r="W549" s="334">
        <f t="shared" si="263"/>
        <v>37.700672922933393</v>
      </c>
      <c r="Y549" s="307">
        <f t="shared" si="264"/>
        <v>85114</v>
      </c>
      <c r="Z549" s="307">
        <f t="shared" si="265"/>
        <v>7244392996</v>
      </c>
      <c r="AB549" s="333">
        <f t="shared" si="266"/>
        <v>22.410214971853698</v>
      </c>
      <c r="AC549" s="334">
        <f t="shared" si="267"/>
        <v>-30.214508432639416</v>
      </c>
      <c r="AE549" s="333">
        <f t="shared" si="268"/>
        <v>27.347690178258624</v>
      </c>
      <c r="AF549" s="334">
        <f t="shared" si="269"/>
        <v>-125.39315220913763</v>
      </c>
      <c r="AH549">
        <f t="shared" si="270"/>
        <v>0</v>
      </c>
      <c r="AI549">
        <f t="shared" si="275"/>
        <v>0</v>
      </c>
    </row>
    <row r="550" spans="1:35" x14ac:dyDescent="0.2">
      <c r="A550" s="335">
        <v>85609.5</v>
      </c>
      <c r="B550" s="352">
        <f t="shared" si="271"/>
        <v>85.609499999999997</v>
      </c>
      <c r="C550" s="325">
        <f t="shared" si="246"/>
        <v>108.59325725981303</v>
      </c>
      <c r="D550" s="326">
        <f t="shared" si="247"/>
        <v>1.5615875217635773</v>
      </c>
      <c r="E550" s="326">
        <f t="shared" si="248"/>
        <v>1.0057700888099139</v>
      </c>
      <c r="F550" s="327">
        <f t="shared" si="249"/>
        <v>0.10716790378257558</v>
      </c>
      <c r="G550" s="326">
        <f t="shared" si="250"/>
        <v>1</v>
      </c>
      <c r="H550" s="327">
        <f t="shared" si="251"/>
        <v>0</v>
      </c>
      <c r="I550" s="325">
        <f t="shared" si="252"/>
        <v>113626.56521660375</v>
      </c>
      <c r="J550" s="328">
        <f t="shared" si="253"/>
        <v>1.5707875260360415</v>
      </c>
      <c r="K550" s="336">
        <f t="shared" si="273"/>
        <v>22.033586727725964</v>
      </c>
      <c r="L550" s="337">
        <f t="shared" si="274"/>
        <v>1.5253954742436635</v>
      </c>
      <c r="M550" s="325">
        <f t="shared" si="254"/>
        <v>1.129807735494216</v>
      </c>
      <c r="N550" s="337">
        <f t="shared" si="255"/>
        <v>0.48407384861716757</v>
      </c>
      <c r="O550" s="343">
        <f t="shared" si="256"/>
        <v>1.1169056152954395</v>
      </c>
      <c r="P550" s="691">
        <f t="shared" si="257"/>
        <v>0.46162297345062342</v>
      </c>
      <c r="Q550" s="336">
        <f t="shared" si="272"/>
        <v>15.515251840160163</v>
      </c>
      <c r="R550" s="692">
        <f t="shared" si="258"/>
        <v>0.22831633299604132</v>
      </c>
      <c r="S550" s="329">
        <f t="shared" si="259"/>
        <v>1.0092489078496665</v>
      </c>
      <c r="T550" s="330">
        <f t="shared" si="260"/>
        <v>0.73837735880452715</v>
      </c>
      <c r="U550" s="331">
        <f t="shared" si="261"/>
        <v>-7.1412033033087656</v>
      </c>
      <c r="V550" s="332">
        <f t="shared" si="262"/>
        <v>-142.60668792094626</v>
      </c>
      <c r="W550" s="334">
        <f t="shared" si="263"/>
        <v>37.393312079053743</v>
      </c>
      <c r="Y550" s="307">
        <f t="shared" si="264"/>
        <v>85609.5</v>
      </c>
      <c r="Z550" s="307">
        <f t="shared" si="265"/>
        <v>7328986490.25</v>
      </c>
      <c r="AB550" s="333">
        <f t="shared" si="266"/>
        <v>22.399239934901438</v>
      </c>
      <c r="AC550" s="334">
        <f t="shared" si="267"/>
        <v>-30.336161524225048</v>
      </c>
      <c r="AE550" s="333">
        <f t="shared" si="268"/>
        <v>27.293803947922012</v>
      </c>
      <c r="AF550" s="334">
        <f t="shared" si="269"/>
        <v>-125.63801224241951</v>
      </c>
      <c r="AH550">
        <f t="shared" si="270"/>
        <v>0</v>
      </c>
      <c r="AI550">
        <f t="shared" si="275"/>
        <v>0</v>
      </c>
    </row>
    <row r="551" spans="1:35" x14ac:dyDescent="0.2">
      <c r="A551" s="335">
        <v>86105</v>
      </c>
      <c r="B551" s="352">
        <f t="shared" si="271"/>
        <v>86.105000000000004</v>
      </c>
      <c r="C551" s="325">
        <f t="shared" si="246"/>
        <v>109.2217320108811</v>
      </c>
      <c r="D551" s="326">
        <f t="shared" si="247"/>
        <v>1.5616405118007854</v>
      </c>
      <c r="E551" s="326">
        <f t="shared" si="248"/>
        <v>1.0058368812368019</v>
      </c>
      <c r="F551" s="327">
        <f t="shared" si="249"/>
        <v>0.10778340267828797</v>
      </c>
      <c r="G551" s="326">
        <f t="shared" si="250"/>
        <v>1</v>
      </c>
      <c r="H551" s="327">
        <f t="shared" si="251"/>
        <v>0</v>
      </c>
      <c r="I551" s="325">
        <f t="shared" si="252"/>
        <v>114284.22544193479</v>
      </c>
      <c r="J551" s="328">
        <f t="shared" si="253"/>
        <v>1.5707875766809054</v>
      </c>
      <c r="K551" s="336">
        <f t="shared" si="273"/>
        <v>22.160853192335885</v>
      </c>
      <c r="L551" s="337">
        <f t="shared" si="274"/>
        <v>1.525656382294666</v>
      </c>
      <c r="M551" s="325">
        <f t="shared" si="254"/>
        <v>1.1312272518417987</v>
      </c>
      <c r="N551" s="337">
        <f t="shared" si="255"/>
        <v>0.4864550065020708</v>
      </c>
      <c r="O551" s="343">
        <f t="shared" si="256"/>
        <v>1.1181910418435457</v>
      </c>
      <c r="P551" s="691">
        <f t="shared" si="257"/>
        <v>0.46392843579605691</v>
      </c>
      <c r="Q551" s="336">
        <f t="shared" si="272"/>
        <v>15.51973281661555</v>
      </c>
      <c r="R551" s="692">
        <f t="shared" si="258"/>
        <v>0.22959396894987613</v>
      </c>
      <c r="S551" s="329">
        <f t="shared" si="259"/>
        <v>1.0097298572111291</v>
      </c>
      <c r="T551" s="330">
        <f t="shared" si="260"/>
        <v>0.74321971887771843</v>
      </c>
      <c r="U551" s="331">
        <f t="shared" si="261"/>
        <v>-7.1984151835039665</v>
      </c>
      <c r="V551" s="332">
        <f t="shared" si="262"/>
        <v>-142.91449948726554</v>
      </c>
      <c r="W551" s="334">
        <f t="shared" si="263"/>
        <v>37.085500512734455</v>
      </c>
      <c r="Y551" s="307">
        <f t="shared" si="264"/>
        <v>86105</v>
      </c>
      <c r="Z551" s="307">
        <f t="shared" si="265"/>
        <v>7414071025</v>
      </c>
      <c r="AB551" s="333">
        <f t="shared" si="266"/>
        <v>22.388230971249861</v>
      </c>
      <c r="AC551" s="334">
        <f t="shared" si="267"/>
        <v>-30.457645793096635</v>
      </c>
      <c r="AE551" s="333">
        <f t="shared" si="268"/>
        <v>27.240118564325702</v>
      </c>
      <c r="AF551" s="334">
        <f t="shared" si="269"/>
        <v>-125.88322965424523</v>
      </c>
      <c r="AH551">
        <f t="shared" si="270"/>
        <v>0</v>
      </c>
      <c r="AI551">
        <f t="shared" si="275"/>
        <v>0</v>
      </c>
    </row>
    <row r="552" spans="1:35" x14ac:dyDescent="0.2">
      <c r="A552" s="335">
        <v>86600.5</v>
      </c>
      <c r="B552" s="352">
        <f t="shared" si="271"/>
        <v>86.600499999999997</v>
      </c>
      <c r="C552" s="325">
        <f t="shared" si="246"/>
        <v>109.8502070651284</v>
      </c>
      <c r="D552" s="326">
        <f t="shared" si="247"/>
        <v>1.5616928955048899</v>
      </c>
      <c r="E552" s="326">
        <f t="shared" si="248"/>
        <v>1.0059040546631302</v>
      </c>
      <c r="F552" s="327">
        <f t="shared" si="249"/>
        <v>0.10839881960212165</v>
      </c>
      <c r="G552" s="326">
        <f t="shared" si="250"/>
        <v>1</v>
      </c>
      <c r="H552" s="327">
        <f t="shared" si="251"/>
        <v>0</v>
      </c>
      <c r="I552" s="325">
        <f t="shared" si="252"/>
        <v>114941.88566726613</v>
      </c>
      <c r="J552" s="328">
        <f t="shared" si="253"/>
        <v>1.5707876267462224</v>
      </c>
      <c r="K552" s="336">
        <f t="shared" si="273"/>
        <v>22.28812114827387</v>
      </c>
      <c r="L552" s="337">
        <f t="shared" si="274"/>
        <v>1.5259143107279336</v>
      </c>
      <c r="M552" s="325">
        <f t="shared" si="254"/>
        <v>1.1326531660513526</v>
      </c>
      <c r="N552" s="337">
        <f t="shared" si="255"/>
        <v>0.48883018247444571</v>
      </c>
      <c r="O552" s="343">
        <f t="shared" si="256"/>
        <v>1.1194823980850497</v>
      </c>
      <c r="P552" s="691">
        <f t="shared" si="257"/>
        <v>0.46622859150496537</v>
      </c>
      <c r="Q552" s="336">
        <f t="shared" si="272"/>
        <v>15.524238350285639</v>
      </c>
      <c r="R552" s="692">
        <f t="shared" si="258"/>
        <v>0.23087087679131452</v>
      </c>
      <c r="S552" s="329">
        <f t="shared" si="259"/>
        <v>1.0102220057559275</v>
      </c>
      <c r="T552" s="330">
        <f t="shared" si="260"/>
        <v>0.74806879548146521</v>
      </c>
      <c r="U552" s="331">
        <f t="shared" si="261"/>
        <v>-7.2554426804738625</v>
      </c>
      <c r="V552" s="332">
        <f t="shared" si="262"/>
        <v>-143.22275611683676</v>
      </c>
      <c r="W552" s="334">
        <f t="shared" si="263"/>
        <v>36.777243883163237</v>
      </c>
      <c r="Y552" s="307">
        <f t="shared" si="264"/>
        <v>86600.5</v>
      </c>
      <c r="Z552" s="307">
        <f t="shared" si="265"/>
        <v>7499646600.25</v>
      </c>
      <c r="AB552" s="333">
        <f t="shared" si="266"/>
        <v>22.377188376622566</v>
      </c>
      <c r="AC552" s="334">
        <f t="shared" si="267"/>
        <v>-30.578958009941928</v>
      </c>
      <c r="AE552" s="333">
        <f t="shared" si="268"/>
        <v>27.186629681337031</v>
      </c>
      <c r="AF552" s="334">
        <f t="shared" si="269"/>
        <v>-126.12880185124001</v>
      </c>
      <c r="AH552">
        <f t="shared" si="270"/>
        <v>0</v>
      </c>
      <c r="AI552">
        <f t="shared" si="275"/>
        <v>0</v>
      </c>
    </row>
    <row r="553" spans="1:35" x14ac:dyDescent="0.2">
      <c r="A553" s="335">
        <v>87096</v>
      </c>
      <c r="B553" s="352">
        <f t="shared" si="271"/>
        <v>87.096000000000004</v>
      </c>
      <c r="C553" s="325">
        <f t="shared" si="246"/>
        <v>110.47868241738092</v>
      </c>
      <c r="D553" s="326">
        <f t="shared" si="247"/>
        <v>1.5617446832232638</v>
      </c>
      <c r="E553" s="326">
        <f t="shared" si="248"/>
        <v>1.0059716090125754</v>
      </c>
      <c r="F553" s="327">
        <f t="shared" si="249"/>
        <v>0.10901415410438096</v>
      </c>
      <c r="G553" s="326">
        <f t="shared" si="250"/>
        <v>1</v>
      </c>
      <c r="H553" s="327">
        <f t="shared" si="251"/>
        <v>0</v>
      </c>
      <c r="I553" s="325">
        <f t="shared" si="252"/>
        <v>115599.54589259777</v>
      </c>
      <c r="J553" s="328">
        <f t="shared" si="253"/>
        <v>1.5707876762418838</v>
      </c>
      <c r="K553" s="336">
        <f t="shared" si="273"/>
        <v>22.415390570137955</v>
      </c>
      <c r="L553" s="337">
        <f t="shared" si="274"/>
        <v>1.5261693102615999</v>
      </c>
      <c r="M553" s="325">
        <f t="shared" si="254"/>
        <v>1.1340854539902983</v>
      </c>
      <c r="N553" s="337">
        <f t="shared" si="255"/>
        <v>0.49119937234959898</v>
      </c>
      <c r="O553" s="343">
        <f t="shared" si="256"/>
        <v>1.1207796635234699</v>
      </c>
      <c r="P553" s="691">
        <f t="shared" si="257"/>
        <v>0.46852343462336793</v>
      </c>
      <c r="Q553" s="336">
        <f t="shared" si="272"/>
        <v>15.528768419815881</v>
      </c>
      <c r="R553" s="692">
        <f t="shared" si="258"/>
        <v>0.23214705317992188</v>
      </c>
      <c r="S553" s="329">
        <f t="shared" si="259"/>
        <v>1.0107254864588218</v>
      </c>
      <c r="T553" s="330">
        <f t="shared" si="260"/>
        <v>0.75292453059287234</v>
      </c>
      <c r="U553" s="331">
        <f t="shared" si="261"/>
        <v>-7.3122900522385574</v>
      </c>
      <c r="V553" s="332">
        <f t="shared" si="262"/>
        <v>-143.53145210843124</v>
      </c>
      <c r="W553" s="334">
        <f t="shared" si="263"/>
        <v>36.468547891568761</v>
      </c>
      <c r="Y553" s="307">
        <f t="shared" si="264"/>
        <v>87096</v>
      </c>
      <c r="Z553" s="307">
        <f t="shared" si="265"/>
        <v>7585713216</v>
      </c>
      <c r="AB553" s="333">
        <f t="shared" si="266"/>
        <v>22.366112446901351</v>
      </c>
      <c r="AC553" s="334">
        <f t="shared" si="267"/>
        <v>-30.700095029627374</v>
      </c>
      <c r="AE553" s="333">
        <f t="shared" si="268"/>
        <v>27.13333301309909</v>
      </c>
      <c r="AF553" s="334">
        <f t="shared" si="269"/>
        <v>-126.37472612756332</v>
      </c>
      <c r="AH553">
        <f t="shared" si="270"/>
        <v>0</v>
      </c>
      <c r="AI553">
        <f t="shared" si="275"/>
        <v>0</v>
      </c>
    </row>
    <row r="554" spans="1:35" x14ac:dyDescent="0.2">
      <c r="A554" s="335">
        <v>87603.25</v>
      </c>
      <c r="B554" s="352">
        <f t="shared" si="271"/>
        <v>87.603250000000003</v>
      </c>
      <c r="C554" s="325">
        <f t="shared" si="246"/>
        <v>111.12206137352584</v>
      </c>
      <c r="D554" s="326">
        <f t="shared" si="247"/>
        <v>1.5617970922102362</v>
      </c>
      <c r="E554" s="326">
        <f t="shared" si="248"/>
        <v>1.0060411598063213</v>
      </c>
      <c r="F554" s="327">
        <f t="shared" si="249"/>
        <v>0.10964399444701148</v>
      </c>
      <c r="G554" s="326">
        <f t="shared" si="250"/>
        <v>1</v>
      </c>
      <c r="H554" s="327">
        <f t="shared" si="251"/>
        <v>0</v>
      </c>
      <c r="I554" s="325">
        <f t="shared" si="252"/>
        <v>116272.8014915879</v>
      </c>
      <c r="J554" s="328">
        <f t="shared" si="253"/>
        <v>1.5707877263312697</v>
      </c>
      <c r="K554" s="336">
        <f t="shared" si="273"/>
        <v>22.54567947791892</v>
      </c>
      <c r="L554" s="337">
        <f t="shared" si="274"/>
        <v>1.5264273745526618</v>
      </c>
      <c r="M554" s="325">
        <f t="shared" si="254"/>
        <v>1.1355582834311884</v>
      </c>
      <c r="N554" s="337">
        <f t="shared" si="255"/>
        <v>0.49361853905006131</v>
      </c>
      <c r="O554" s="343">
        <f t="shared" si="256"/>
        <v>1.1221137912145269</v>
      </c>
      <c r="P554" s="691">
        <f t="shared" si="257"/>
        <v>0.47086718731624061</v>
      </c>
      <c r="Q554" s="336">
        <f t="shared" si="272"/>
        <v>15.533431305902711</v>
      </c>
      <c r="R554" s="692">
        <f t="shared" si="258"/>
        <v>0.23345273092610974</v>
      </c>
      <c r="S554" s="329">
        <f t="shared" si="259"/>
        <v>1.0112527838972478</v>
      </c>
      <c r="T554" s="330">
        <f t="shared" si="260"/>
        <v>0.75790224663014316</v>
      </c>
      <c r="U554" s="331">
        <f t="shared" si="261"/>
        <v>-7.3703032691770201</v>
      </c>
      <c r="V554" s="332">
        <f t="shared" si="262"/>
        <v>-143.84791745350662</v>
      </c>
      <c r="W554" s="334">
        <f t="shared" si="263"/>
        <v>36.152082546493375</v>
      </c>
      <c r="Y554" s="307">
        <f t="shared" si="264"/>
        <v>87603.25</v>
      </c>
      <c r="Z554" s="307">
        <f t="shared" si="265"/>
        <v>7674329410.5625</v>
      </c>
      <c r="AB554" s="333">
        <f t="shared" si="266"/>
        <v>22.35473964781502</v>
      </c>
      <c r="AC554" s="334">
        <f t="shared" si="267"/>
        <v>-30.823919946833485</v>
      </c>
      <c r="AE554" s="333">
        <f t="shared" si="268"/>
        <v>27.078967192030415</v>
      </c>
      <c r="AF554" s="334">
        <f t="shared" si="269"/>
        <v>-126.62684386876387</v>
      </c>
      <c r="AH554">
        <f t="shared" si="270"/>
        <v>0</v>
      </c>
      <c r="AI554">
        <f t="shared" si="275"/>
        <v>0</v>
      </c>
    </row>
    <row r="555" spans="1:35" x14ac:dyDescent="0.2">
      <c r="A555" s="335">
        <v>88110.5</v>
      </c>
      <c r="B555" s="352">
        <f t="shared" si="271"/>
        <v>88.110500000000002</v>
      </c>
      <c r="C555" s="325">
        <f t="shared" si="246"/>
        <v>111.76544063137594</v>
      </c>
      <c r="D555" s="326">
        <f t="shared" si="247"/>
        <v>1.561848897811277</v>
      </c>
      <c r="E555" s="326">
        <f t="shared" si="248"/>
        <v>1.0061111096401756</v>
      </c>
      <c r="F555" s="327">
        <f t="shared" si="249"/>
        <v>0.11027374746018716</v>
      </c>
      <c r="G555" s="326">
        <f t="shared" si="250"/>
        <v>1</v>
      </c>
      <c r="H555" s="327">
        <f t="shared" si="251"/>
        <v>0</v>
      </c>
      <c r="I555" s="325">
        <f t="shared" si="252"/>
        <v>116946.05709057832</v>
      </c>
      <c r="J555" s="328">
        <f t="shared" si="253"/>
        <v>1.5707877758439293</v>
      </c>
      <c r="K555" s="336">
        <f t="shared" si="273"/>
        <v>22.675969869924423</v>
      </c>
      <c r="L555" s="337">
        <f t="shared" si="274"/>
        <v>1.5266824733161579</v>
      </c>
      <c r="M555" s="325">
        <f t="shared" si="254"/>
        <v>1.137037741337197</v>
      </c>
      <c r="N555" s="337">
        <f t="shared" si="255"/>
        <v>0.4960314244382516</v>
      </c>
      <c r="O555" s="343">
        <f t="shared" si="256"/>
        <v>1.1234540682154635</v>
      </c>
      <c r="P555" s="691">
        <f t="shared" si="257"/>
        <v>0.47320536064916202</v>
      </c>
      <c r="Q555" s="336">
        <f t="shared" si="272"/>
        <v>15.538119859723214</v>
      </c>
      <c r="R555" s="692">
        <f t="shared" si="258"/>
        <v>0.23475763507534175</v>
      </c>
      <c r="S555" s="329">
        <f t="shared" si="259"/>
        <v>1.0117922400001618</v>
      </c>
      <c r="T555" s="330">
        <f t="shared" si="260"/>
        <v>0.76288681212136045</v>
      </c>
      <c r="U555" s="331">
        <f t="shared" si="261"/>
        <v>-7.4281365556752723</v>
      </c>
      <c r="V555" s="332">
        <f t="shared" si="262"/>
        <v>-144.16483101195107</v>
      </c>
      <c r="W555" s="334">
        <f t="shared" si="263"/>
        <v>35.835168988048935</v>
      </c>
      <c r="Y555" s="307">
        <f t="shared" si="264"/>
        <v>88110.5</v>
      </c>
      <c r="Z555" s="307">
        <f t="shared" si="265"/>
        <v>7763460210.25</v>
      </c>
      <c r="AB555" s="333">
        <f t="shared" si="266"/>
        <v>22.343332541686095</v>
      </c>
      <c r="AC555" s="334">
        <f t="shared" si="267"/>
        <v>-30.947554850525929</v>
      </c>
      <c r="AE555" s="333">
        <f t="shared" si="268"/>
        <v>27.02479390939277</v>
      </c>
      <c r="AF555" s="334">
        <f t="shared" si="269"/>
        <v>-126.87932448690984</v>
      </c>
      <c r="AH555">
        <f t="shared" si="270"/>
        <v>0</v>
      </c>
      <c r="AI555">
        <f t="shared" si="275"/>
        <v>0</v>
      </c>
    </row>
    <row r="556" spans="1:35" x14ac:dyDescent="0.2">
      <c r="A556" s="335">
        <v>88617.75</v>
      </c>
      <c r="B556" s="352">
        <f t="shared" si="271"/>
        <v>88.617750000000001</v>
      </c>
      <c r="C556" s="325">
        <f t="shared" si="246"/>
        <v>112.40882018575073</v>
      </c>
      <c r="D556" s="326">
        <f t="shared" si="247"/>
        <v>1.5619001103866672</v>
      </c>
      <c r="E556" s="326">
        <f t="shared" si="248"/>
        <v>1.0061814584309143</v>
      </c>
      <c r="F556" s="327">
        <f t="shared" si="249"/>
        <v>0.11090341266266775</v>
      </c>
      <c r="G556" s="326">
        <f t="shared" si="250"/>
        <v>1</v>
      </c>
      <c r="H556" s="327">
        <f t="shared" si="251"/>
        <v>0</v>
      </c>
      <c r="I556" s="325">
        <f t="shared" si="252"/>
        <v>117619.31268956904</v>
      </c>
      <c r="J556" s="328">
        <f t="shared" si="253"/>
        <v>1.5707878247897655</v>
      </c>
      <c r="K556" s="336">
        <f t="shared" si="273"/>
        <v>22.806261720716698</v>
      </c>
      <c r="L556" s="337">
        <f t="shared" si="274"/>
        <v>1.5269346573446501</v>
      </c>
      <c r="M556" s="325">
        <f t="shared" si="254"/>
        <v>1.1385238018681929</v>
      </c>
      <c r="N556" s="337">
        <f t="shared" si="255"/>
        <v>0.49843802496008655</v>
      </c>
      <c r="O556" s="343">
        <f t="shared" si="256"/>
        <v>1.1248004725443044</v>
      </c>
      <c r="P556" s="691">
        <f t="shared" si="257"/>
        <v>0.47553794904662205</v>
      </c>
      <c r="Q556" s="336">
        <f t="shared" si="272"/>
        <v>15.542834058071577</v>
      </c>
      <c r="R556" s="692">
        <f t="shared" si="258"/>
        <v>0.23606176208672874</v>
      </c>
      <c r="S556" s="329">
        <f t="shared" si="259"/>
        <v>1.0123439980722044</v>
      </c>
      <c r="T556" s="330">
        <f t="shared" si="260"/>
        <v>0.76787815920292002</v>
      </c>
      <c r="U556" s="331">
        <f t="shared" si="261"/>
        <v>-7.4857942877208767</v>
      </c>
      <c r="V556" s="332">
        <f t="shared" si="262"/>
        <v>-144.48218651994907</v>
      </c>
      <c r="W556" s="334">
        <f t="shared" si="263"/>
        <v>35.517813480050933</v>
      </c>
      <c r="Y556" s="307">
        <f t="shared" si="264"/>
        <v>88617.75</v>
      </c>
      <c r="Z556" s="307">
        <f t="shared" si="265"/>
        <v>7853105615.0625</v>
      </c>
      <c r="AB556" s="333">
        <f t="shared" si="266"/>
        <v>22.331891446090598</v>
      </c>
      <c r="AC556" s="334">
        <f t="shared" si="267"/>
        <v>-31.070996627438749</v>
      </c>
      <c r="AE556" s="333">
        <f t="shared" si="268"/>
        <v>26.970808756696979</v>
      </c>
      <c r="AF556" s="334">
        <f t="shared" si="269"/>
        <v>-127.13216471487654</v>
      </c>
      <c r="AH556">
        <f t="shared" si="270"/>
        <v>0</v>
      </c>
      <c r="AI556">
        <f t="shared" si="275"/>
        <v>0</v>
      </c>
    </row>
    <row r="557" spans="1:35" x14ac:dyDescent="0.2">
      <c r="A557" s="335">
        <v>89125</v>
      </c>
      <c r="B557" s="352">
        <f t="shared" si="271"/>
        <v>89.125</v>
      </c>
      <c r="C557" s="325">
        <f t="shared" si="246"/>
        <v>113.05220003158765</v>
      </c>
      <c r="D557" s="326">
        <f t="shared" si="247"/>
        <v>1.5619507400608592</v>
      </c>
      <c r="E557" s="326">
        <f t="shared" si="248"/>
        <v>1.0062522060948624</v>
      </c>
      <c r="F557" s="327">
        <f t="shared" si="249"/>
        <v>0.11153298957362567</v>
      </c>
      <c r="G557" s="326">
        <f t="shared" si="250"/>
        <v>1</v>
      </c>
      <c r="H557" s="327">
        <f t="shared" si="251"/>
        <v>0</v>
      </c>
      <c r="I557" s="325">
        <f t="shared" si="252"/>
        <v>118292.56828856003</v>
      </c>
      <c r="J557" s="328">
        <f t="shared" si="253"/>
        <v>1.5707878731784566</v>
      </c>
      <c r="K557" s="336">
        <f t="shared" si="273"/>
        <v>22.936555005435675</v>
      </c>
      <c r="L557" s="337">
        <f t="shared" si="274"/>
        <v>1.5271839762780748</v>
      </c>
      <c r="M557" s="325">
        <f t="shared" si="254"/>
        <v>1.1400164392037579</v>
      </c>
      <c r="N557" s="337">
        <f t="shared" si="255"/>
        <v>0.50083833737117245</v>
      </c>
      <c r="O557" s="343">
        <f t="shared" si="256"/>
        <v>1.1261529822239453</v>
      </c>
      <c r="P557" s="691">
        <f t="shared" si="257"/>
        <v>0.47786494720281097</v>
      </c>
      <c r="Q557" s="336">
        <f t="shared" si="272"/>
        <v>15.547573877643284</v>
      </c>
      <c r="R557" s="692">
        <f t="shared" si="258"/>
        <v>0.23736510843391551</v>
      </c>
      <c r="S557" s="329">
        <f t="shared" si="259"/>
        <v>1.0129082016000825</v>
      </c>
      <c r="T557" s="330">
        <f t="shared" si="260"/>
        <v>0.77287621811728924</v>
      </c>
      <c r="U557" s="331">
        <f t="shared" si="261"/>
        <v>-7.543280778717353</v>
      </c>
      <c r="V557" s="332">
        <f t="shared" si="262"/>
        <v>-144.79997766078699</v>
      </c>
      <c r="W557" s="334">
        <f t="shared" si="263"/>
        <v>35.200022339213007</v>
      </c>
      <c r="Y557" s="307">
        <f t="shared" si="264"/>
        <v>89125</v>
      </c>
      <c r="Z557" s="307">
        <f t="shared" si="265"/>
        <v>7943265625</v>
      </c>
      <c r="AB557" s="333">
        <f t="shared" si="266"/>
        <v>22.320416678532968</v>
      </c>
      <c r="AC557" s="334">
        <f t="shared" si="267"/>
        <v>-31.194242248077501</v>
      </c>
      <c r="AE557" s="333">
        <f t="shared" si="268"/>
        <v>26.917007387232847</v>
      </c>
      <c r="AF557" s="334">
        <f t="shared" si="269"/>
        <v>-127.38536116348949</v>
      </c>
      <c r="AH557">
        <f t="shared" si="270"/>
        <v>0</v>
      </c>
      <c r="AI557">
        <f t="shared" si="275"/>
        <v>0</v>
      </c>
    </row>
    <row r="558" spans="1:35" x14ac:dyDescent="0.2">
      <c r="A558" s="335">
        <v>89644</v>
      </c>
      <c r="B558" s="352">
        <f t="shared" si="271"/>
        <v>89.644000000000005</v>
      </c>
      <c r="C558" s="325">
        <f t="shared" si="246"/>
        <v>113.71048350205145</v>
      </c>
      <c r="D558" s="326">
        <f t="shared" si="247"/>
        <v>1.5620019495352411</v>
      </c>
      <c r="E558" s="326">
        <f t="shared" si="248"/>
        <v>1.006325005318002</v>
      </c>
      <c r="F558" s="327">
        <f t="shared" si="249"/>
        <v>0.11217705819578525</v>
      </c>
      <c r="G558" s="326">
        <f t="shared" si="250"/>
        <v>1</v>
      </c>
      <c r="H558" s="327">
        <f t="shared" si="251"/>
        <v>0</v>
      </c>
      <c r="I558" s="325">
        <f t="shared" si="252"/>
        <v>118981.41926120954</v>
      </c>
      <c r="J558" s="328">
        <f t="shared" si="253"/>
        <v>1.5707879221212406</v>
      </c>
      <c r="K558" s="336">
        <f t="shared" si="273"/>
        <v>23.069867878265047</v>
      </c>
      <c r="L558" s="337">
        <f t="shared" si="274"/>
        <v>1.5274361556502485</v>
      </c>
      <c r="M558" s="325">
        <f t="shared" si="254"/>
        <v>1.1415504323492094</v>
      </c>
      <c r="N558" s="337">
        <f t="shared" si="255"/>
        <v>0.50328773955986639</v>
      </c>
      <c r="O558" s="343">
        <f t="shared" si="256"/>
        <v>1.1275431178109447</v>
      </c>
      <c r="P558" s="691">
        <f t="shared" si="257"/>
        <v>0.4802400569902126</v>
      </c>
      <c r="Q558" s="336">
        <f t="shared" si="272"/>
        <v>15.552449984892682</v>
      </c>
      <c r="R558" s="692">
        <f t="shared" si="258"/>
        <v>0.2386978339911581</v>
      </c>
      <c r="S558" s="329">
        <f t="shared" si="259"/>
        <v>1.013498505462723</v>
      </c>
      <c r="T558" s="330">
        <f t="shared" si="260"/>
        <v>0.77799692476989313</v>
      </c>
      <c r="U558" s="331">
        <f t="shared" si="261"/>
        <v>-7.6019260911070194</v>
      </c>
      <c r="V558" s="332">
        <f t="shared" si="262"/>
        <v>-145.12557439469674</v>
      </c>
      <c r="W558" s="334">
        <f t="shared" si="263"/>
        <v>34.874425605303259</v>
      </c>
      <c r="Y558" s="307">
        <f t="shared" si="264"/>
        <v>89644</v>
      </c>
      <c r="Z558" s="307">
        <f t="shared" si="265"/>
        <v>8036046736</v>
      </c>
      <c r="AB558" s="333">
        <f t="shared" si="266"/>
        <v>22.308641588135693</v>
      </c>
      <c r="AC558" s="334">
        <f t="shared" si="267"/>
        <v>-31.320136646472772</v>
      </c>
      <c r="AE558" s="333">
        <f t="shared" si="268"/>
        <v>26.862145504772549</v>
      </c>
      <c r="AF558" s="334">
        <f t="shared" si="269"/>
        <v>-127.64478771609132</v>
      </c>
      <c r="AH558">
        <f t="shared" si="270"/>
        <v>0</v>
      </c>
      <c r="AI558">
        <f t="shared" si="275"/>
        <v>0</v>
      </c>
    </row>
    <row r="559" spans="1:35" x14ac:dyDescent="0.2">
      <c r="A559" s="335">
        <v>90163</v>
      </c>
      <c r="B559" s="352">
        <f t="shared" si="271"/>
        <v>90.162999999999997</v>
      </c>
      <c r="C559" s="325">
        <f t="shared" si="246"/>
        <v>114.36876726727807</v>
      </c>
      <c r="D559" s="326">
        <f t="shared" si="247"/>
        <v>1.5620525695067562</v>
      </c>
      <c r="E559" s="326">
        <f t="shared" si="248"/>
        <v>1.0063982219288037</v>
      </c>
      <c r="F559" s="327">
        <f t="shared" si="249"/>
        <v>0.11282103337160525</v>
      </c>
      <c r="G559" s="326">
        <f t="shared" si="250"/>
        <v>1</v>
      </c>
      <c r="H559" s="327">
        <f t="shared" si="251"/>
        <v>0</v>
      </c>
      <c r="I559" s="325">
        <f t="shared" si="252"/>
        <v>119670.27023385934</v>
      </c>
      <c r="J559" s="328">
        <f t="shared" si="253"/>
        <v>1.5707879705005718</v>
      </c>
      <c r="K559" s="336">
        <f t="shared" si="273"/>
        <v>23.203182201351098</v>
      </c>
      <c r="L559" s="337">
        <f t="shared" si="274"/>
        <v>1.5276854372353994</v>
      </c>
      <c r="M559" s="325">
        <f t="shared" si="254"/>
        <v>1.1430912559019009</v>
      </c>
      <c r="N559" s="337">
        <f t="shared" si="255"/>
        <v>0.50573055305521453</v>
      </c>
      <c r="O559" s="343">
        <f t="shared" si="256"/>
        <v>1.128939598348442</v>
      </c>
      <c r="P559" s="691">
        <f t="shared" si="257"/>
        <v>0.48260930416845421</v>
      </c>
      <c r="Q559" s="336">
        <f t="shared" si="272"/>
        <v>15.557352864426807</v>
      </c>
      <c r="R559" s="692">
        <f t="shared" si="258"/>
        <v>0.24002973487652135</v>
      </c>
      <c r="S559" s="329">
        <f t="shared" si="259"/>
        <v>1.0141021424429606</v>
      </c>
      <c r="T559" s="330">
        <f t="shared" si="260"/>
        <v>0.78312450399185585</v>
      </c>
      <c r="U559" s="331">
        <f t="shared" si="261"/>
        <v>-7.6604010768518025</v>
      </c>
      <c r="V559" s="332">
        <f t="shared" si="262"/>
        <v>-145.45161362278554</v>
      </c>
      <c r="W559" s="334">
        <f t="shared" si="263"/>
        <v>34.548386377214456</v>
      </c>
      <c r="Y559" s="307">
        <f t="shared" si="264"/>
        <v>90163</v>
      </c>
      <c r="Z559" s="307">
        <f t="shared" si="265"/>
        <v>8129366569</v>
      </c>
      <c r="AB559" s="333">
        <f t="shared" si="266"/>
        <v>22.296831919741059</v>
      </c>
      <c r="AC559" s="334">
        <f t="shared" si="267"/>
        <v>-31.445819539229454</v>
      </c>
      <c r="AE559" s="333">
        <f t="shared" si="268"/>
        <v>26.807467005972736</v>
      </c>
      <c r="AF559" s="334">
        <f t="shared" si="269"/>
        <v>-127.90457961596682</v>
      </c>
      <c r="AH559">
        <f t="shared" si="270"/>
        <v>0</v>
      </c>
      <c r="AI559">
        <f t="shared" si="275"/>
        <v>0</v>
      </c>
    </row>
    <row r="560" spans="1:35" x14ac:dyDescent="0.2">
      <c r="A560" s="335">
        <v>90682</v>
      </c>
      <c r="B560" s="352">
        <f t="shared" si="271"/>
        <v>90.682000000000002</v>
      </c>
      <c r="C560" s="325">
        <f t="shared" si="246"/>
        <v>115.02705132220686</v>
      </c>
      <c r="D560" s="326">
        <f t="shared" si="247"/>
        <v>1.5621026100960751</v>
      </c>
      <c r="E560" s="326">
        <f t="shared" si="248"/>
        <v>1.006471855836178</v>
      </c>
      <c r="F560" s="327">
        <f t="shared" si="249"/>
        <v>0.11346491458741954</v>
      </c>
      <c r="G560" s="326">
        <f t="shared" si="250"/>
        <v>1</v>
      </c>
      <c r="H560" s="327">
        <f t="shared" si="251"/>
        <v>0</v>
      </c>
      <c r="I560" s="325">
        <f t="shared" si="252"/>
        <v>120359.12120650942</v>
      </c>
      <c r="J560" s="328">
        <f t="shared" si="253"/>
        <v>1.5707880183261242</v>
      </c>
      <c r="K560" s="336">
        <f t="shared" si="273"/>
        <v>23.336497949839202</v>
      </c>
      <c r="L560" s="337">
        <f t="shared" si="274"/>
        <v>1.5279318706653393</v>
      </c>
      <c r="M560" s="325">
        <f t="shared" si="254"/>
        <v>1.1446388822781484</v>
      </c>
      <c r="N560" s="337">
        <f t="shared" si="255"/>
        <v>0.50816677536951049</v>
      </c>
      <c r="O560" s="343">
        <f t="shared" si="256"/>
        <v>1.1303424003198466</v>
      </c>
      <c r="P560" s="691">
        <f t="shared" si="257"/>
        <v>0.48497268391701531</v>
      </c>
      <c r="Q560" s="336">
        <f t="shared" si="272"/>
        <v>15.562282490966536</v>
      </c>
      <c r="R560" s="692">
        <f t="shared" si="258"/>
        <v>0.24136080736036647</v>
      </c>
      <c r="S560" s="329">
        <f t="shared" si="259"/>
        <v>1.0147192667042939</v>
      </c>
      <c r="T560" s="330">
        <f t="shared" si="260"/>
        <v>0.78825887491627067</v>
      </c>
      <c r="U560" s="331">
        <f t="shared" si="261"/>
        <v>-7.7187101594246084</v>
      </c>
      <c r="V560" s="332">
        <f t="shared" si="262"/>
        <v>-145.77808839785234</v>
      </c>
      <c r="W560" s="334">
        <f t="shared" si="263"/>
        <v>34.221911602147657</v>
      </c>
      <c r="Y560" s="307">
        <f t="shared" si="264"/>
        <v>90682</v>
      </c>
      <c r="Z560" s="307">
        <f t="shared" si="265"/>
        <v>8223225124</v>
      </c>
      <c r="AB560" s="333">
        <f t="shared" si="266"/>
        <v>22.284988012834322</v>
      </c>
      <c r="AC560" s="334">
        <f t="shared" si="267"/>
        <v>-31.571287940673404</v>
      </c>
      <c r="AE560" s="333">
        <f t="shared" si="268"/>
        <v>26.75296742932246</v>
      </c>
      <c r="AF560" s="334">
        <f t="shared" si="269"/>
        <v>-128.16473283908616</v>
      </c>
      <c r="AH560">
        <f t="shared" si="270"/>
        <v>0</v>
      </c>
      <c r="AI560">
        <f t="shared" si="275"/>
        <v>0</v>
      </c>
    </row>
    <row r="561" spans="1:35" x14ac:dyDescent="0.2">
      <c r="A561" s="335">
        <v>91201</v>
      </c>
      <c r="B561" s="352">
        <f t="shared" si="271"/>
        <v>91.200999999999993</v>
      </c>
      <c r="C561" s="325">
        <f t="shared" si="246"/>
        <v>115.68533566189237</v>
      </c>
      <c r="D561" s="326">
        <f t="shared" si="247"/>
        <v>1.5621520811935217</v>
      </c>
      <c r="E561" s="326">
        <f t="shared" si="248"/>
        <v>1.0065459069485427</v>
      </c>
      <c r="F561" s="327">
        <f t="shared" si="249"/>
        <v>0.11410870133002347</v>
      </c>
      <c r="G561" s="326">
        <f t="shared" si="250"/>
        <v>1</v>
      </c>
      <c r="H561" s="327">
        <f t="shared" si="251"/>
        <v>0</v>
      </c>
      <c r="I561" s="325">
        <f t="shared" si="252"/>
        <v>121047.97217915974</v>
      </c>
      <c r="J561" s="328">
        <f t="shared" si="253"/>
        <v>1.5707880656073525</v>
      </c>
      <c r="K561" s="336">
        <f t="shared" si="273"/>
        <v>23.469815099439202</v>
      </c>
      <c r="L561" s="337">
        <f t="shared" si="274"/>
        <v>1.528175504445574</v>
      </c>
      <c r="M561" s="325">
        <f t="shared" si="254"/>
        <v>1.1461932839217908</v>
      </c>
      <c r="N561" s="337">
        <f t="shared" si="255"/>
        <v>0.51059640434141118</v>
      </c>
      <c r="O561" s="343">
        <f t="shared" si="256"/>
        <v>1.1317515002189737</v>
      </c>
      <c r="P561" s="691">
        <f t="shared" si="257"/>
        <v>0.48733019170140263</v>
      </c>
      <c r="Q561" s="336">
        <f t="shared" si="272"/>
        <v>15.567238839126967</v>
      </c>
      <c r="R561" s="692">
        <f t="shared" si="258"/>
        <v>0.24269104772914857</v>
      </c>
      <c r="S561" s="329">
        <f t="shared" si="259"/>
        <v>1.0153500325287135</v>
      </c>
      <c r="T561" s="330">
        <f t="shared" si="260"/>
        <v>0.79339995460827384</v>
      </c>
      <c r="U561" s="331">
        <f t="shared" si="261"/>
        <v>-7.7768576981321456</v>
      </c>
      <c r="V561" s="332">
        <f t="shared" si="262"/>
        <v>-146.10499170873959</v>
      </c>
      <c r="W561" s="334">
        <f t="shared" si="263"/>
        <v>33.89500829126041</v>
      </c>
      <c r="Y561" s="307">
        <f t="shared" si="264"/>
        <v>91201</v>
      </c>
      <c r="Z561" s="307">
        <f t="shared" si="265"/>
        <v>8317622401</v>
      </c>
      <c r="AB561" s="333">
        <f t="shared" si="266"/>
        <v>22.273110206582096</v>
      </c>
      <c r="AC561" s="334">
        <f t="shared" si="267"/>
        <v>-31.696538948349698</v>
      </c>
      <c r="AE561" s="333">
        <f t="shared" si="268"/>
        <v>26.698642376760723</v>
      </c>
      <c r="AF561" s="334">
        <f t="shared" si="269"/>
        <v>-128.42524322970993</v>
      </c>
      <c r="AH561">
        <f t="shared" si="270"/>
        <v>0</v>
      </c>
      <c r="AI561">
        <f t="shared" si="275"/>
        <v>0</v>
      </c>
    </row>
    <row r="562" spans="1:35" x14ac:dyDescent="0.2">
      <c r="A562" s="335">
        <v>91732</v>
      </c>
      <c r="B562" s="352">
        <f t="shared" si="271"/>
        <v>91.731999999999999</v>
      </c>
      <c r="C562" s="325">
        <f t="shared" si="246"/>
        <v>116.35884073840663</v>
      </c>
      <c r="D562" s="326">
        <f t="shared" si="247"/>
        <v>1.5622021168162286</v>
      </c>
      <c r="E562" s="326">
        <f t="shared" si="248"/>
        <v>1.0066221019153723</v>
      </c>
      <c r="F562" s="327">
        <f t="shared" si="249"/>
        <v>0.11476727500549261</v>
      </c>
      <c r="G562" s="326">
        <f t="shared" si="250"/>
        <v>1</v>
      </c>
      <c r="H562" s="327">
        <f t="shared" si="251"/>
        <v>0</v>
      </c>
      <c r="I562" s="325">
        <f t="shared" si="252"/>
        <v>121752.75034192945</v>
      </c>
      <c r="J562" s="328">
        <f t="shared" si="253"/>
        <v>1.5707881134280757</v>
      </c>
      <c r="K562" s="336">
        <f t="shared" si="273"/>
        <v>23.606216151808969</v>
      </c>
      <c r="L562" s="337">
        <f t="shared" si="274"/>
        <v>1.5284219233207281</v>
      </c>
      <c r="M562" s="325">
        <f t="shared" si="254"/>
        <v>1.1477906088379781</v>
      </c>
      <c r="N562" s="337">
        <f t="shared" si="255"/>
        <v>0.51307538401482777</v>
      </c>
      <c r="O562" s="343">
        <f t="shared" si="256"/>
        <v>1.1331996739960017</v>
      </c>
      <c r="P562" s="691">
        <f t="shared" si="257"/>
        <v>0.48973612671893052</v>
      </c>
      <c r="Q562" s="336">
        <f t="shared" si="272"/>
        <v>15.572337413872592</v>
      </c>
      <c r="R562" s="692">
        <f t="shared" si="258"/>
        <v>0.24405118004768017</v>
      </c>
      <c r="S562" s="329">
        <f t="shared" si="259"/>
        <v>1.0160096618681926</v>
      </c>
      <c r="T562" s="330">
        <f t="shared" si="260"/>
        <v>0.79866675776964813</v>
      </c>
      <c r="U562" s="331">
        <f t="shared" si="261"/>
        <v>-7.8361869790720826</v>
      </c>
      <c r="V562" s="332">
        <f t="shared" si="262"/>
        <v>-146.43988961001537</v>
      </c>
      <c r="W562" s="334">
        <f t="shared" si="263"/>
        <v>33.560110389984629</v>
      </c>
      <c r="Y562" s="307">
        <f t="shared" si="264"/>
        <v>91732</v>
      </c>
      <c r="Z562" s="307">
        <f t="shared" si="265"/>
        <v>8414759824</v>
      </c>
      <c r="AB562" s="333">
        <f t="shared" si="266"/>
        <v>22.260923038197507</v>
      </c>
      <c r="AC562" s="334">
        <f t="shared" si="267"/>
        <v>-31.824457999668265</v>
      </c>
      <c r="AE562" s="333">
        <f t="shared" si="268"/>
        <v>26.643237355893945</v>
      </c>
      <c r="AF562" s="334">
        <f t="shared" si="269"/>
        <v>-128.6921421605914</v>
      </c>
      <c r="AH562">
        <f t="shared" si="270"/>
        <v>0</v>
      </c>
      <c r="AI562">
        <f t="shared" si="275"/>
        <v>0</v>
      </c>
    </row>
    <row r="563" spans="1:35" x14ac:dyDescent="0.2">
      <c r="A563" s="335">
        <v>92263</v>
      </c>
      <c r="B563" s="352">
        <f t="shared" si="271"/>
        <v>92.263000000000005</v>
      </c>
      <c r="C563" s="325">
        <f t="shared" si="246"/>
        <v>117.0323461028797</v>
      </c>
      <c r="D563" s="326">
        <f t="shared" si="247"/>
        <v>1.56225157654254</v>
      </c>
      <c r="E563" s="326">
        <f t="shared" si="248"/>
        <v>1.0066987334074213</v>
      </c>
      <c r="F563" s="327">
        <f t="shared" si="249"/>
        <v>0.1154257487031889</v>
      </c>
      <c r="G563" s="326">
        <f t="shared" si="250"/>
        <v>1</v>
      </c>
      <c r="H563" s="327">
        <f t="shared" si="251"/>
        <v>0</v>
      </c>
      <c r="I563" s="325">
        <f t="shared" si="252"/>
        <v>122457.52850469944</v>
      </c>
      <c r="J563" s="328">
        <f t="shared" si="253"/>
        <v>1.5707881606983551</v>
      </c>
      <c r="K563" s="336">
        <f t="shared" si="273"/>
        <v>23.742618621131527</v>
      </c>
      <c r="L563" s="337">
        <f t="shared" si="274"/>
        <v>1.528665510834297</v>
      </c>
      <c r="M563" s="325">
        <f t="shared" si="254"/>
        <v>1.1493949676879078</v>
      </c>
      <c r="N563" s="337">
        <f t="shared" si="255"/>
        <v>0.51554745838119975</v>
      </c>
      <c r="O563" s="343">
        <f t="shared" si="256"/>
        <v>1.1346543905595587</v>
      </c>
      <c r="P563" s="691">
        <f t="shared" si="257"/>
        <v>0.49213590640052102</v>
      </c>
      <c r="Q563" s="336">
        <f t="shared" si="272"/>
        <v>15.577463906110561</v>
      </c>
      <c r="R563" s="692">
        <f t="shared" si="258"/>
        <v>0.2454104335143594</v>
      </c>
      <c r="S563" s="329">
        <f t="shared" si="259"/>
        <v>1.0166838979084873</v>
      </c>
      <c r="T563" s="330">
        <f t="shared" si="260"/>
        <v>0.80394040127019439</v>
      </c>
      <c r="U563" s="331">
        <f t="shared" si="261"/>
        <v>-7.8953561901561153</v>
      </c>
      <c r="V563" s="332">
        <f t="shared" si="262"/>
        <v>-146.77522103457795</v>
      </c>
      <c r="W563" s="334">
        <f t="shared" si="263"/>
        <v>33.224778965422047</v>
      </c>
      <c r="Y563" s="307">
        <f t="shared" si="264"/>
        <v>92263</v>
      </c>
      <c r="Z563" s="307">
        <f t="shared" si="265"/>
        <v>8512461169</v>
      </c>
      <c r="AB563" s="333">
        <f t="shared" si="266"/>
        <v>22.248701101758645</v>
      </c>
      <c r="AC563" s="334">
        <f t="shared" si="267"/>
        <v>-31.952143599567684</v>
      </c>
      <c r="AE563" s="333">
        <f t="shared" si="268"/>
        <v>26.5880059080806</v>
      </c>
      <c r="AF563" s="334">
        <f t="shared" si="269"/>
        <v>-128.95940574590986</v>
      </c>
      <c r="AH563">
        <f t="shared" si="270"/>
        <v>0</v>
      </c>
      <c r="AI563">
        <f t="shared" si="275"/>
        <v>0</v>
      </c>
    </row>
    <row r="564" spans="1:35" x14ac:dyDescent="0.2">
      <c r="A564" s="335">
        <v>92794</v>
      </c>
      <c r="B564" s="352">
        <f t="shared" si="271"/>
        <v>92.793999999999997</v>
      </c>
      <c r="C564" s="325">
        <f t="shared" si="246"/>
        <v>117.70585175036857</v>
      </c>
      <c r="D564" s="326">
        <f t="shared" si="247"/>
        <v>1.5623004702579433</v>
      </c>
      <c r="E564" s="326">
        <f t="shared" si="248"/>
        <v>1.0067758013250103</v>
      </c>
      <c r="F564" s="327">
        <f t="shared" si="249"/>
        <v>0.11608412187499544</v>
      </c>
      <c r="G564" s="326">
        <f t="shared" si="250"/>
        <v>1</v>
      </c>
      <c r="H564" s="327">
        <f t="shared" si="251"/>
        <v>0</v>
      </c>
      <c r="I564" s="325">
        <f t="shared" si="252"/>
        <v>123162.30666746967</v>
      </c>
      <c r="J564" s="328">
        <f t="shared" si="253"/>
        <v>1.57078820742764</v>
      </c>
      <c r="K564" s="336">
        <f t="shared" si="273"/>
        <v>23.879022483125002</v>
      </c>
      <c r="L564" s="337">
        <f t="shared" si="274"/>
        <v>1.5289063154777855</v>
      </c>
      <c r="M564" s="325">
        <f t="shared" si="254"/>
        <v>1.1510063310583087</v>
      </c>
      <c r="N564" s="337">
        <f t="shared" si="255"/>
        <v>0.51801262616471333</v>
      </c>
      <c r="O564" s="343">
        <f t="shared" si="256"/>
        <v>1.1361156247769038</v>
      </c>
      <c r="P564" s="691">
        <f t="shared" si="257"/>
        <v>0.49452952680336787</v>
      </c>
      <c r="Q564" s="336">
        <f t="shared" si="272"/>
        <v>15.582618288314272</v>
      </c>
      <c r="R564" s="692">
        <f t="shared" si="258"/>
        <v>0.24676880420461947</v>
      </c>
      <c r="S564" s="329">
        <f t="shared" si="259"/>
        <v>1.0173729061293608</v>
      </c>
      <c r="T564" s="330">
        <f t="shared" si="260"/>
        <v>0.80922078959567667</v>
      </c>
      <c r="U564" s="331">
        <f t="shared" si="261"/>
        <v>-7.954369798043988</v>
      </c>
      <c r="V564" s="332">
        <f t="shared" si="262"/>
        <v>-147.11097825779541</v>
      </c>
      <c r="W564" s="334">
        <f t="shared" si="263"/>
        <v>32.889021742204591</v>
      </c>
      <c r="Y564" s="307">
        <f t="shared" si="264"/>
        <v>92794</v>
      </c>
      <c r="Z564" s="307">
        <f t="shared" si="265"/>
        <v>8610726436</v>
      </c>
      <c r="AB564" s="333">
        <f t="shared" si="266"/>
        <v>22.23644475911329</v>
      </c>
      <c r="AC564" s="334">
        <f t="shared" si="267"/>
        <v>-32.079592897132031</v>
      </c>
      <c r="AE564" s="333">
        <f t="shared" si="268"/>
        <v>26.532943523069946</v>
      </c>
      <c r="AF564" s="334">
        <f t="shared" si="269"/>
        <v>-129.22702911090411</v>
      </c>
      <c r="AH564">
        <f t="shared" si="270"/>
        <v>0</v>
      </c>
      <c r="AI564">
        <f t="shared" si="275"/>
        <v>0</v>
      </c>
    </row>
    <row r="565" spans="1:35" x14ac:dyDescent="0.2">
      <c r="A565" s="335">
        <v>93325</v>
      </c>
      <c r="B565" s="352">
        <f t="shared" si="271"/>
        <v>93.325000000000003</v>
      </c>
      <c r="C565" s="325">
        <f t="shared" si="246"/>
        <v>118.37935767604267</v>
      </c>
      <c r="D565" s="326">
        <f t="shared" si="247"/>
        <v>1.5623488076229672</v>
      </c>
      <c r="E565" s="326">
        <f t="shared" si="248"/>
        <v>1.0068533055679232</v>
      </c>
      <c r="F565" s="327">
        <f t="shared" si="249"/>
        <v>0.11674239397331121</v>
      </c>
      <c r="G565" s="326">
        <f t="shared" si="250"/>
        <v>1</v>
      </c>
      <c r="H565" s="327">
        <f t="shared" si="251"/>
        <v>0</v>
      </c>
      <c r="I565" s="325">
        <f t="shared" si="252"/>
        <v>123867.0848302402</v>
      </c>
      <c r="J565" s="328">
        <f t="shared" si="253"/>
        <v>1.5707882536251649</v>
      </c>
      <c r="K565" s="336">
        <f t="shared" si="273"/>
        <v>24.015427714058944</v>
      </c>
      <c r="L565" s="337">
        <f t="shared" si="274"/>
        <v>1.5291443846422978</v>
      </c>
      <c r="M565" s="325">
        <f t="shared" si="254"/>
        <v>1.1526246695723301</v>
      </c>
      <c r="N565" s="337">
        <f t="shared" si="255"/>
        <v>0.52047088643244466</v>
      </c>
      <c r="O565" s="343">
        <f t="shared" si="256"/>
        <v>1.1375833515321141</v>
      </c>
      <c r="P565" s="691">
        <f t="shared" si="257"/>
        <v>0.49691698428718889</v>
      </c>
      <c r="Q565" s="336">
        <f t="shared" si="272"/>
        <v>15.587800532843884</v>
      </c>
      <c r="R565" s="692">
        <f t="shared" si="258"/>
        <v>0.24812628821170116</v>
      </c>
      <c r="S565" s="329">
        <f t="shared" si="259"/>
        <v>1.0180768520463281</v>
      </c>
      <c r="T565" s="330">
        <f t="shared" si="260"/>
        <v>0.81450782498803509</v>
      </c>
      <c r="U565" s="331">
        <f t="shared" si="261"/>
        <v>-8.0132322033172905</v>
      </c>
      <c r="V565" s="332">
        <f t="shared" si="262"/>
        <v>-147.44715347992445</v>
      </c>
      <c r="W565" s="334">
        <f t="shared" si="263"/>
        <v>32.552846520075548</v>
      </c>
      <c r="Y565" s="307">
        <f t="shared" si="264"/>
        <v>93325</v>
      </c>
      <c r="Z565" s="307">
        <f t="shared" si="265"/>
        <v>8709555625</v>
      </c>
      <c r="AB565" s="333">
        <f t="shared" si="266"/>
        <v>22.224154371525433</v>
      </c>
      <c r="AC565" s="334">
        <f t="shared" si="267"/>
        <v>-32.206803124127532</v>
      </c>
      <c r="AE565" s="333">
        <f t="shared" si="268"/>
        <v>26.478045756062532</v>
      </c>
      <c r="AF565" s="334">
        <f t="shared" si="269"/>
        <v>-129.49500723933269</v>
      </c>
      <c r="AH565">
        <f t="shared" si="270"/>
        <v>0</v>
      </c>
      <c r="AI565">
        <f t="shared" si="275"/>
        <v>0</v>
      </c>
    </row>
    <row r="566" spans="1:35" x14ac:dyDescent="0.2">
      <c r="A566" s="335">
        <v>93868.5</v>
      </c>
      <c r="B566" s="352">
        <f t="shared" si="271"/>
        <v>93.868499999999997</v>
      </c>
      <c r="C566" s="325">
        <f t="shared" si="246"/>
        <v>119.0687185441423</v>
      </c>
      <c r="D566" s="326">
        <f t="shared" si="247"/>
        <v>1.5623977165769245</v>
      </c>
      <c r="E566" s="326">
        <f t="shared" si="248"/>
        <v>1.0069330860466903</v>
      </c>
      <c r="F566" s="327">
        <f t="shared" si="249"/>
        <v>0.11741605687766957</v>
      </c>
      <c r="G566" s="326">
        <f t="shared" si="250"/>
        <v>1</v>
      </c>
      <c r="H566" s="327">
        <f t="shared" si="251"/>
        <v>0</v>
      </c>
      <c r="I566" s="325">
        <f t="shared" si="252"/>
        <v>124588.45381605173</v>
      </c>
      <c r="J566" s="328">
        <f t="shared" si="253"/>
        <v>1.5707883003689367</v>
      </c>
      <c r="K566" s="336">
        <f t="shared" si="273"/>
        <v>24.155045384371579</v>
      </c>
      <c r="L566" s="337">
        <f t="shared" si="274"/>
        <v>1.5293852735830327</v>
      </c>
      <c r="M566" s="325">
        <f t="shared" si="254"/>
        <v>1.1542882973199144</v>
      </c>
      <c r="N566" s="337">
        <f t="shared" si="255"/>
        <v>0.52297986139373542</v>
      </c>
      <c r="O566" s="343">
        <f t="shared" si="256"/>
        <v>1.1390923266921016</v>
      </c>
      <c r="P566" s="691">
        <f t="shared" si="257"/>
        <v>0.49935425796061367</v>
      </c>
      <c r="Q566" s="336">
        <f t="shared" si="272"/>
        <v>15.593133594866023</v>
      </c>
      <c r="R566" s="692">
        <f t="shared" si="258"/>
        <v>0.2495148057598999</v>
      </c>
      <c r="S566" s="329">
        <f t="shared" si="259"/>
        <v>1.0188130112536671</v>
      </c>
      <c r="T566" s="330">
        <f t="shared" si="260"/>
        <v>0.81992609902486469</v>
      </c>
      <c r="U566" s="331">
        <f t="shared" si="261"/>
        <v>-8.0733281994423116</v>
      </c>
      <c r="V566" s="332">
        <f t="shared" si="262"/>
        <v>-147.79166708533904</v>
      </c>
      <c r="W566" s="334">
        <f t="shared" si="263"/>
        <v>32.208332914660957</v>
      </c>
      <c r="Y566" s="307">
        <f t="shared" si="264"/>
        <v>93868.5</v>
      </c>
      <c r="Z566" s="307">
        <f t="shared" si="265"/>
        <v>8811295292.25</v>
      </c>
      <c r="AB566" s="333">
        <f t="shared" si="266"/>
        <v>22.211539782054409</v>
      </c>
      <c r="AC566" s="334">
        <f t="shared" si="267"/>
        <v>-32.336757559047342</v>
      </c>
      <c r="AE566" s="333">
        <f t="shared" si="268"/>
        <v>26.422021573771552</v>
      </c>
      <c r="AF566" s="334">
        <f t="shared" si="269"/>
        <v>-129.76965570961005</v>
      </c>
      <c r="AH566">
        <f t="shared" si="270"/>
        <v>0</v>
      </c>
      <c r="AI566">
        <f t="shared" si="275"/>
        <v>0</v>
      </c>
    </row>
    <row r="567" spans="1:35" x14ac:dyDescent="0.2">
      <c r="A567" s="335">
        <v>94412</v>
      </c>
      <c r="B567" s="352">
        <f t="shared" si="271"/>
        <v>94.412000000000006</v>
      </c>
      <c r="C567" s="325">
        <f t="shared" si="246"/>
        <v>119.7580796937855</v>
      </c>
      <c r="D567" s="326">
        <f t="shared" si="247"/>
        <v>1.5624460624636389</v>
      </c>
      <c r="E567" s="326">
        <f t="shared" si="248"/>
        <v>1.0070133234210237</v>
      </c>
      <c r="F567" s="327">
        <f t="shared" si="249"/>
        <v>0.11808961273467765</v>
      </c>
      <c r="G567" s="326">
        <f t="shared" si="250"/>
        <v>1</v>
      </c>
      <c r="H567" s="327">
        <f t="shared" si="251"/>
        <v>0</v>
      </c>
      <c r="I567" s="325">
        <f t="shared" si="252"/>
        <v>125309.82280186351</v>
      </c>
      <c r="J567" s="328">
        <f t="shared" si="253"/>
        <v>1.5707883465745305</v>
      </c>
      <c r="K567" s="336">
        <f t="shared" si="273"/>
        <v>24.29466444023042</v>
      </c>
      <c r="L567" s="337">
        <f t="shared" si="274"/>
        <v>1.5296233938071786</v>
      </c>
      <c r="M567" s="325">
        <f t="shared" si="254"/>
        <v>1.1559591703195111</v>
      </c>
      <c r="N567" s="337">
        <f t="shared" si="255"/>
        <v>0.52548159890531609</v>
      </c>
      <c r="O567" s="343">
        <f t="shared" si="256"/>
        <v>1.1406080504784804</v>
      </c>
      <c r="P567" s="691">
        <f t="shared" si="257"/>
        <v>0.50178506838520542</v>
      </c>
      <c r="Q567" s="336">
        <f t="shared" si="272"/>
        <v>15.59849578748465</v>
      </c>
      <c r="R567" s="692">
        <f t="shared" si="258"/>
        <v>0.25090238616290977</v>
      </c>
      <c r="S567" s="329">
        <f t="shared" si="259"/>
        <v>1.0195651706078908</v>
      </c>
      <c r="T567" s="330">
        <f t="shared" si="260"/>
        <v>0.82535112235643626</v>
      </c>
      <c r="U567" s="331">
        <f t="shared" si="261"/>
        <v>-8.1332749114079022</v>
      </c>
      <c r="V567" s="332">
        <f t="shared" si="262"/>
        <v>-148.13660182087531</v>
      </c>
      <c r="W567" s="334">
        <f t="shared" si="263"/>
        <v>31.863398179124687</v>
      </c>
      <c r="Y567" s="307">
        <f t="shared" si="264"/>
        <v>94412</v>
      </c>
      <c r="Z567" s="307">
        <f t="shared" si="265"/>
        <v>8913625744</v>
      </c>
      <c r="AB567" s="333">
        <f t="shared" si="266"/>
        <v>22.198890289655125</v>
      </c>
      <c r="AC567" s="334">
        <f t="shared" si="267"/>
        <v>-32.466455923583936</v>
      </c>
      <c r="AE567" s="333">
        <f t="shared" si="268"/>
        <v>26.366160634475769</v>
      </c>
      <c r="AF567" s="334">
        <f t="shared" si="269"/>
        <v>-130.04466475797602</v>
      </c>
      <c r="AH567">
        <f t="shared" si="270"/>
        <v>0</v>
      </c>
      <c r="AI567">
        <f t="shared" si="275"/>
        <v>0</v>
      </c>
    </row>
    <row r="568" spans="1:35" x14ac:dyDescent="0.2">
      <c r="A568" s="335">
        <v>94955.5</v>
      </c>
      <c r="B568" s="352">
        <f t="shared" si="271"/>
        <v>94.955500000000001</v>
      </c>
      <c r="C568" s="325">
        <f t="shared" si="246"/>
        <v>120.44744112013814</v>
      </c>
      <c r="D568" s="326">
        <f t="shared" si="247"/>
        <v>1.562493854950755</v>
      </c>
      <c r="E568" s="326">
        <f t="shared" si="248"/>
        <v>1.0070940175817178</v>
      </c>
      <c r="F568" s="327">
        <f t="shared" si="249"/>
        <v>0.11876306095884065</v>
      </c>
      <c r="G568" s="326">
        <f t="shared" si="250"/>
        <v>1</v>
      </c>
      <c r="H568" s="327">
        <f t="shared" si="251"/>
        <v>0</v>
      </c>
      <c r="I568" s="325">
        <f t="shared" si="252"/>
        <v>126031.19178767558</v>
      </c>
      <c r="J568" s="328">
        <f t="shared" si="253"/>
        <v>1.5707883922511869</v>
      </c>
      <c r="K568" s="336">
        <f t="shared" si="273"/>
        <v>24.434284857884169</v>
      </c>
      <c r="L568" s="337">
        <f t="shared" si="274"/>
        <v>1.5298587927498282</v>
      </c>
      <c r="M568" s="325">
        <f t="shared" si="254"/>
        <v>1.1576372571988685</v>
      </c>
      <c r="N568" s="337">
        <f t="shared" si="255"/>
        <v>0.52797609905829856</v>
      </c>
      <c r="O568" s="343">
        <f t="shared" si="256"/>
        <v>1.1421304960229024</v>
      </c>
      <c r="P568" s="691">
        <f t="shared" si="257"/>
        <v>0.50420941262384478</v>
      </c>
      <c r="Q568" s="336">
        <f t="shared" si="272"/>
        <v>15.603887080697564</v>
      </c>
      <c r="R568" s="692">
        <f t="shared" si="258"/>
        <v>0.25228902528975672</v>
      </c>
      <c r="S568" s="329">
        <f t="shared" si="259"/>
        <v>1.0203335075469577</v>
      </c>
      <c r="T568" s="330">
        <f t="shared" si="260"/>
        <v>0.83078278290970975</v>
      </c>
      <c r="U568" s="331">
        <f t="shared" si="261"/>
        <v>-8.1930768490573893</v>
      </c>
      <c r="V568" s="332">
        <f t="shared" si="262"/>
        <v>-148.48194907219903</v>
      </c>
      <c r="W568" s="334">
        <f t="shared" si="263"/>
        <v>31.518050927800971</v>
      </c>
      <c r="Y568" s="307">
        <f t="shared" si="264"/>
        <v>94955.5</v>
      </c>
      <c r="Z568" s="307">
        <f t="shared" si="265"/>
        <v>9016546980.25</v>
      </c>
      <c r="AB568" s="333">
        <f t="shared" si="266"/>
        <v>22.186206279460929</v>
      </c>
      <c r="AC568" s="334">
        <f t="shared" si="267"/>
        <v>-32.595895505656451</v>
      </c>
      <c r="AE568" s="333">
        <f t="shared" si="268"/>
        <v>26.310458379107196</v>
      </c>
      <c r="AF568" s="334">
        <f t="shared" si="269"/>
        <v>-130.32002855057999</v>
      </c>
      <c r="AH568">
        <f t="shared" si="270"/>
        <v>0</v>
      </c>
      <c r="AI568">
        <f t="shared" si="275"/>
        <v>0</v>
      </c>
    </row>
    <row r="569" spans="1:35" x14ac:dyDescent="0.2">
      <c r="A569" s="335">
        <v>95499</v>
      </c>
      <c r="B569" s="352">
        <f t="shared" si="271"/>
        <v>95.498999999999995</v>
      </c>
      <c r="C569" s="325">
        <f t="shared" si="246"/>
        <v>121.13680281847614</v>
      </c>
      <c r="D569" s="326">
        <f t="shared" si="247"/>
        <v>1.5625411034858625</v>
      </c>
      <c r="E569" s="326">
        <f t="shared" si="248"/>
        <v>1.0071751684189802</v>
      </c>
      <c r="F569" s="327">
        <f t="shared" si="249"/>
        <v>0.11943640096524137</v>
      </c>
      <c r="G569" s="326">
        <f t="shared" si="250"/>
        <v>1</v>
      </c>
      <c r="H569" s="327">
        <f t="shared" si="251"/>
        <v>0</v>
      </c>
      <c r="I569" s="325">
        <f t="shared" si="252"/>
        <v>126752.56077348789</v>
      </c>
      <c r="J569" s="328">
        <f t="shared" si="253"/>
        <v>1.5707884374079375</v>
      </c>
      <c r="K569" s="336">
        <f t="shared" si="273"/>
        <v>24.573906614121082</v>
      </c>
      <c r="L569" s="337">
        <f t="shared" si="274"/>
        <v>1.530091516769247</v>
      </c>
      <c r="M569" s="325">
        <f t="shared" si="254"/>
        <v>1.1593225266323204</v>
      </c>
      <c r="N569" s="337">
        <f t="shared" si="255"/>
        <v>0.5304633623035433</v>
      </c>
      <c r="O569" s="343">
        <f t="shared" si="256"/>
        <v>1.1436596364812519</v>
      </c>
      <c r="P569" s="691">
        <f t="shared" si="257"/>
        <v>0.50662728805905299</v>
      </c>
      <c r="Q569" s="336">
        <f t="shared" si="272"/>
        <v>15.609307444381319</v>
      </c>
      <c r="R569" s="692">
        <f t="shared" si="258"/>
        <v>0.25367471902919164</v>
      </c>
      <c r="S569" s="329">
        <f t="shared" si="259"/>
        <v>1.0211181994392073</v>
      </c>
      <c r="T569" s="330">
        <f t="shared" si="260"/>
        <v>0.83622096619013619</v>
      </c>
      <c r="U569" s="331">
        <f t="shared" si="261"/>
        <v>-8.2527384537479982</v>
      </c>
      <c r="V569" s="332">
        <f t="shared" si="262"/>
        <v>-148.82770013870618</v>
      </c>
      <c r="W569" s="334">
        <f t="shared" si="263"/>
        <v>31.172299861293823</v>
      </c>
      <c r="Y569" s="307">
        <f t="shared" si="264"/>
        <v>95499</v>
      </c>
      <c r="Z569" s="307">
        <f t="shared" si="265"/>
        <v>9120059001</v>
      </c>
      <c r="AB569" s="333">
        <f t="shared" si="266"/>
        <v>22.173488135735518</v>
      </c>
      <c r="AC569" s="334">
        <f t="shared" si="267"/>
        <v>-32.725073675481774</v>
      </c>
      <c r="AE569" s="333">
        <f t="shared" si="268"/>
        <v>26.254910316546265</v>
      </c>
      <c r="AF569" s="334">
        <f t="shared" si="269"/>
        <v>-130.59574110218787</v>
      </c>
      <c r="AH569">
        <f t="shared" si="270"/>
        <v>0</v>
      </c>
      <c r="AI569">
        <f t="shared" si="275"/>
        <v>0</v>
      </c>
    </row>
    <row r="570" spans="1:35" x14ac:dyDescent="0.2">
      <c r="A570" s="335">
        <v>96611.5</v>
      </c>
      <c r="B570" s="352">
        <f t="shared" si="271"/>
        <v>96.611500000000007</v>
      </c>
      <c r="C570" s="325">
        <f t="shared" si="246"/>
        <v>122.54787060114576</v>
      </c>
      <c r="D570" s="326">
        <f t="shared" si="247"/>
        <v>1.5626361597252021</v>
      </c>
      <c r="E570" s="326">
        <f t="shared" si="248"/>
        <v>1.0073427011718954</v>
      </c>
      <c r="F570" s="327">
        <f t="shared" si="249"/>
        <v>0.12081433290418955</v>
      </c>
      <c r="G570" s="326">
        <f t="shared" si="250"/>
        <v>1</v>
      </c>
      <c r="H570" s="327">
        <f t="shared" si="251"/>
        <v>0</v>
      </c>
      <c r="I570" s="325">
        <f t="shared" si="252"/>
        <v>128229.14402411648</v>
      </c>
      <c r="J570" s="328">
        <f t="shared" si="253"/>
        <v>1.5707885282557452</v>
      </c>
      <c r="K570" s="336">
        <f t="shared" si="273"/>
        <v>24.859704996721632</v>
      </c>
      <c r="L570" s="337">
        <f t="shared" si="274"/>
        <v>1.5305597318030137</v>
      </c>
      <c r="M570" s="325">
        <f t="shared" si="254"/>
        <v>1.1627944017079632</v>
      </c>
      <c r="N570" s="337">
        <f t="shared" si="255"/>
        <v>0.53553202275280554</v>
      </c>
      <c r="O570" s="343">
        <f t="shared" si="256"/>
        <v>1.1468104264054153</v>
      </c>
      <c r="P570" s="691">
        <f t="shared" si="257"/>
        <v>0.51155629948220993</v>
      </c>
      <c r="Q570" s="336">
        <f t="shared" si="272"/>
        <v>15.620493010922422</v>
      </c>
      <c r="R570" s="692">
        <f t="shared" si="258"/>
        <v>0.25650815537592303</v>
      </c>
      <c r="S570" s="329">
        <f t="shared" si="259"/>
        <v>1.022776146288551</v>
      </c>
      <c r="T570" s="330">
        <f t="shared" si="260"/>
        <v>0.84737232814711749</v>
      </c>
      <c r="U570" s="331">
        <f t="shared" si="261"/>
        <v>-8.3744415854315903</v>
      </c>
      <c r="V570" s="332">
        <f t="shared" si="262"/>
        <v>-149.53664645609877</v>
      </c>
      <c r="W570" s="334">
        <f t="shared" si="263"/>
        <v>30.463353543901235</v>
      </c>
      <c r="Y570" s="307">
        <f t="shared" si="264"/>
        <v>96611.5</v>
      </c>
      <c r="Z570" s="307">
        <f t="shared" si="265"/>
        <v>9333781932.25</v>
      </c>
      <c r="AB570" s="333">
        <f t="shared" si="266"/>
        <v>22.147350306485709</v>
      </c>
      <c r="AC570" s="334">
        <f t="shared" si="267"/>
        <v>-32.988664987167155</v>
      </c>
      <c r="AE570" s="333">
        <f t="shared" si="268"/>
        <v>26.141670277327297</v>
      </c>
      <c r="AF570" s="334">
        <f t="shared" si="269"/>
        <v>-131.16116371556424</v>
      </c>
      <c r="AH570">
        <f t="shared" si="270"/>
        <v>0</v>
      </c>
      <c r="AI570">
        <f t="shared" si="275"/>
        <v>0</v>
      </c>
    </row>
    <row r="571" spans="1:35" x14ac:dyDescent="0.2">
      <c r="A571" s="335">
        <v>97724</v>
      </c>
      <c r="B571" s="352">
        <f t="shared" si="271"/>
        <v>97.724000000000004</v>
      </c>
      <c r="C571" s="325">
        <f t="shared" si="246"/>
        <v>123.95893946591012</v>
      </c>
      <c r="D571" s="326">
        <f t="shared" si="247"/>
        <v>1.5627290518471448</v>
      </c>
      <c r="E571" s="326">
        <f t="shared" si="248"/>
        <v>1.0075121459246008</v>
      </c>
      <c r="F571" s="327">
        <f t="shared" si="249"/>
        <v>0.12219180397290079</v>
      </c>
      <c r="G571" s="326">
        <f t="shared" si="250"/>
        <v>1</v>
      </c>
      <c r="H571" s="327">
        <f t="shared" si="251"/>
        <v>0</v>
      </c>
      <c r="I571" s="325">
        <f t="shared" si="252"/>
        <v>129705.7272747461</v>
      </c>
      <c r="J571" s="328">
        <f t="shared" si="253"/>
        <v>1.5707886170351117</v>
      </c>
      <c r="K571" s="336">
        <f t="shared" si="273"/>
        <v>25.145508705313993</v>
      </c>
      <c r="L571" s="337">
        <f t="shared" si="274"/>
        <v>1.531017303476391</v>
      </c>
      <c r="M571" s="325">
        <f t="shared" si="254"/>
        <v>1.1662959722005581</v>
      </c>
      <c r="N571" s="337">
        <f t="shared" si="255"/>
        <v>0.54057037672019848</v>
      </c>
      <c r="O571" s="343">
        <f t="shared" si="256"/>
        <v>1.1499889251967439</v>
      </c>
      <c r="P571" s="691">
        <f t="shared" si="257"/>
        <v>0.51645818248155129</v>
      </c>
      <c r="Q571" s="336">
        <f t="shared" si="272"/>
        <v>15.631799991275541</v>
      </c>
      <c r="R571" s="692">
        <f t="shared" si="258"/>
        <v>0.25933757871722035</v>
      </c>
      <c r="S571" s="329">
        <f t="shared" si="259"/>
        <v>1.0245048794259028</v>
      </c>
      <c r="T571" s="330">
        <f t="shared" si="260"/>
        <v>0.85854949325879548</v>
      </c>
      <c r="U571" s="331">
        <f t="shared" si="261"/>
        <v>-8.4956116365996746</v>
      </c>
      <c r="V571" s="332">
        <f t="shared" si="262"/>
        <v>-150.24717128001078</v>
      </c>
      <c r="W571" s="334">
        <f t="shared" si="263"/>
        <v>29.752828719989225</v>
      </c>
      <c r="Y571" s="307">
        <f t="shared" si="264"/>
        <v>97724</v>
      </c>
      <c r="Z571" s="307">
        <f t="shared" si="265"/>
        <v>9549980176</v>
      </c>
      <c r="AB571" s="333">
        <f t="shared" si="266"/>
        <v>22.121074341717524</v>
      </c>
      <c r="AC571" s="334">
        <f t="shared" si="267"/>
        <v>-33.251129566465416</v>
      </c>
      <c r="AE571" s="333">
        <f t="shared" si="268"/>
        <v>26.029020741475357</v>
      </c>
      <c r="AF571" s="334">
        <f t="shared" si="269"/>
        <v>-131.72796715193076</v>
      </c>
      <c r="AH571">
        <f t="shared" si="270"/>
        <v>0</v>
      </c>
      <c r="AI571">
        <f t="shared" si="275"/>
        <v>0</v>
      </c>
    </row>
    <row r="572" spans="1:35" x14ac:dyDescent="0.2">
      <c r="A572" s="335">
        <v>98862</v>
      </c>
      <c r="B572" s="352">
        <f t="shared" si="271"/>
        <v>98.861999999999995</v>
      </c>
      <c r="C572" s="325">
        <f t="shared" si="246"/>
        <v>125.4023530131207</v>
      </c>
      <c r="D572" s="326">
        <f t="shared" si="247"/>
        <v>1.5628219102500396</v>
      </c>
      <c r="E572" s="326">
        <f t="shared" si="248"/>
        <v>1.0076874518143584</v>
      </c>
      <c r="F572" s="327">
        <f t="shared" si="249"/>
        <v>0.12360036649292579</v>
      </c>
      <c r="G572" s="326">
        <f t="shared" si="250"/>
        <v>1</v>
      </c>
      <c r="H572" s="327">
        <f t="shared" si="251"/>
        <v>0</v>
      </c>
      <c r="I572" s="325">
        <f t="shared" si="252"/>
        <v>131216.15580437993</v>
      </c>
      <c r="J572" s="328">
        <f t="shared" si="253"/>
        <v>1.570788705782119</v>
      </c>
      <c r="K572" s="336">
        <f t="shared" si="273"/>
        <v>25.437868743613031</v>
      </c>
      <c r="L572" s="337">
        <f t="shared" si="274"/>
        <v>1.5314747250272385</v>
      </c>
      <c r="M572" s="325">
        <f t="shared" si="254"/>
        <v>1.1699082496196158</v>
      </c>
      <c r="N572" s="337">
        <f t="shared" si="255"/>
        <v>0.54569287838797287</v>
      </c>
      <c r="O572" s="343">
        <f t="shared" si="256"/>
        <v>1.1532687094353569</v>
      </c>
      <c r="P572" s="691">
        <f t="shared" si="257"/>
        <v>0.52144434428729736</v>
      </c>
      <c r="Q572" s="336">
        <f t="shared" si="272"/>
        <v>15.643491488805061</v>
      </c>
      <c r="R572" s="692">
        <f t="shared" si="258"/>
        <v>0.26222766827497201</v>
      </c>
      <c r="S572" s="329">
        <f t="shared" si="259"/>
        <v>1.0263480558363232</v>
      </c>
      <c r="T572" s="330">
        <f t="shared" si="260"/>
        <v>0.87000842994585281</v>
      </c>
      <c r="U572" s="331">
        <f t="shared" si="261"/>
        <v>-8.6190445280556656</v>
      </c>
      <c r="V572" s="332">
        <f t="shared" si="262"/>
        <v>-150.97553409097421</v>
      </c>
      <c r="W572" s="334">
        <f t="shared" si="263"/>
        <v>29.024465909025793</v>
      </c>
      <c r="Y572" s="307">
        <f t="shared" si="264"/>
        <v>98862</v>
      </c>
      <c r="Z572" s="307">
        <f t="shared" si="265"/>
        <v>9773695044</v>
      </c>
      <c r="AB572" s="333">
        <f t="shared" si="266"/>
        <v>22.09405656942852</v>
      </c>
      <c r="AC572" s="334">
        <f t="shared" si="267"/>
        <v>-33.518424053390135</v>
      </c>
      <c r="AE572" s="333">
        <f t="shared" si="268"/>
        <v>25.914362616141347</v>
      </c>
      <c r="AF572" s="334">
        <f t="shared" si="269"/>
        <v>-132.30913156947128</v>
      </c>
      <c r="AH572">
        <f t="shared" si="270"/>
        <v>0</v>
      </c>
      <c r="AI572">
        <f t="shared" si="275"/>
        <v>0</v>
      </c>
    </row>
    <row r="573" spans="1:35" x14ac:dyDescent="0.2">
      <c r="A573" s="335">
        <v>100000</v>
      </c>
      <c r="B573" s="352">
        <f t="shared" si="271"/>
        <v>100</v>
      </c>
      <c r="C573" s="325">
        <f t="shared" si="246"/>
        <v>126.84576761702708</v>
      </c>
      <c r="D573" s="326">
        <f t="shared" si="247"/>
        <v>1.5629126553285615</v>
      </c>
      <c r="E573" s="326">
        <f t="shared" si="248"/>
        <v>1.0078647563069434</v>
      </c>
      <c r="F573" s="327">
        <f t="shared" si="249"/>
        <v>0.12500843621459273</v>
      </c>
      <c r="G573" s="326">
        <f t="shared" si="250"/>
        <v>1</v>
      </c>
      <c r="H573" s="327">
        <f t="shared" si="251"/>
        <v>0</v>
      </c>
      <c r="I573" s="325">
        <f t="shared" si="252"/>
        <v>132726.5843340148</v>
      </c>
      <c r="J573" s="328">
        <f t="shared" si="253"/>
        <v>1.5707887925092445</v>
      </c>
      <c r="K573" s="336">
        <f t="shared" si="273"/>
        <v>25.730233983437099</v>
      </c>
      <c r="L573" s="337">
        <f t="shared" si="274"/>
        <v>1.5319217515711172</v>
      </c>
      <c r="M573" s="325">
        <f t="shared" si="254"/>
        <v>1.1735510360061934</v>
      </c>
      <c r="N573" s="337">
        <f t="shared" si="255"/>
        <v>0.55078371172828533</v>
      </c>
      <c r="O573" s="343">
        <f t="shared" si="256"/>
        <v>1.1565770029902722</v>
      </c>
      <c r="P573" s="691">
        <f t="shared" si="257"/>
        <v>0.52640210375433727</v>
      </c>
      <c r="Q573" s="336">
        <f t="shared" si="272"/>
        <v>15.655309470922054</v>
      </c>
      <c r="R573" s="692">
        <f t="shared" si="258"/>
        <v>0.26511348614522384</v>
      </c>
      <c r="S573" s="329">
        <f t="shared" si="259"/>
        <v>1.0282685035258157</v>
      </c>
      <c r="T573" s="330">
        <f t="shared" si="260"/>
        <v>0.88149204596611574</v>
      </c>
      <c r="U573" s="331">
        <f t="shared" si="261"/>
        <v>-8.7419935634916097</v>
      </c>
      <c r="V573" s="332">
        <f t="shared" si="262"/>
        <v>-151.70538167153182</v>
      </c>
      <c r="W573" s="334">
        <f t="shared" si="263"/>
        <v>28.294618328468175</v>
      </c>
      <c r="Y573" s="307">
        <f t="shared" si="264"/>
        <v>100000</v>
      </c>
      <c r="Z573" s="307">
        <f t="shared" si="265"/>
        <v>10000000000</v>
      </c>
      <c r="AB573" s="333">
        <f t="shared" si="266"/>
        <v>22.066901125926982</v>
      </c>
      <c r="AC573" s="334">
        <f t="shared" si="267"/>
        <v>-33.784499553102243</v>
      </c>
      <c r="AE573" s="333">
        <f t="shared" si="268"/>
        <v>25.800247485330633</v>
      </c>
      <c r="AF573" s="334">
        <f t="shared" si="269"/>
        <v>-132.89161715934594</v>
      </c>
      <c r="AH573">
        <f t="shared" si="270"/>
        <v>0</v>
      </c>
      <c r="AI573">
        <f t="shared" si="275"/>
        <v>0</v>
      </c>
    </row>
    <row r="574" spans="1:35" x14ac:dyDescent="0.2">
      <c r="A574" s="335">
        <v>101165</v>
      </c>
      <c r="B574" s="352">
        <f t="shared" si="271"/>
        <v>101.16500000000001</v>
      </c>
      <c r="C574" s="325">
        <f t="shared" si="246"/>
        <v>128.32342949474116</v>
      </c>
      <c r="D574" s="326">
        <f t="shared" si="247"/>
        <v>1.5630034387344192</v>
      </c>
      <c r="E574" s="326">
        <f t="shared" si="248"/>
        <v>1.0080483366886206</v>
      </c>
      <c r="F574" s="327">
        <f t="shared" si="249"/>
        <v>0.12644939753436873</v>
      </c>
      <c r="G574" s="326">
        <f t="shared" si="250"/>
        <v>1</v>
      </c>
      <c r="H574" s="327">
        <f t="shared" si="251"/>
        <v>0</v>
      </c>
      <c r="I574" s="325">
        <f t="shared" si="252"/>
        <v>134272.84904141881</v>
      </c>
      <c r="J574" s="328">
        <f t="shared" si="253"/>
        <v>1.5707888792728759</v>
      </c>
      <c r="K574" s="336">
        <f t="shared" si="273"/>
        <v>26.029541037752342</v>
      </c>
      <c r="L574" s="337">
        <f t="shared" si="274"/>
        <v>1.5323689818372923</v>
      </c>
      <c r="M574" s="325">
        <f t="shared" si="254"/>
        <v>1.1773115581797053</v>
      </c>
      <c r="N574" s="337">
        <f t="shared" si="255"/>
        <v>0.55596255781473936</v>
      </c>
      <c r="O574" s="343">
        <f t="shared" si="256"/>
        <v>1.1599930658368298</v>
      </c>
      <c r="P574" s="691">
        <f t="shared" si="257"/>
        <v>0.53144806947022594</v>
      </c>
      <c r="Q574" s="336">
        <f t="shared" si="272"/>
        <v>15.667538567592693</v>
      </c>
      <c r="R574" s="692">
        <f t="shared" si="258"/>
        <v>0.2680633098072272</v>
      </c>
      <c r="S574" s="329">
        <f t="shared" si="259"/>
        <v>1.0303162408561282</v>
      </c>
      <c r="T574" s="330">
        <f t="shared" si="260"/>
        <v>0.89327239123624991</v>
      </c>
      <c r="U574" s="331">
        <f t="shared" si="261"/>
        <v>-8.8673956217429737</v>
      </c>
      <c r="V574" s="332">
        <f t="shared" si="262"/>
        <v>-152.45399273653521</v>
      </c>
      <c r="W574" s="334">
        <f t="shared" si="263"/>
        <v>27.546007263464787</v>
      </c>
      <c r="Y574" s="307">
        <f t="shared" si="264"/>
        <v>101165</v>
      </c>
      <c r="Z574" s="307">
        <f t="shared" si="265"/>
        <v>10234357225</v>
      </c>
      <c r="AB574" s="333">
        <f t="shared" si="266"/>
        <v>22.038962377388263</v>
      </c>
      <c r="AC574" s="334">
        <f t="shared" si="267"/>
        <v>-34.05560614138124</v>
      </c>
      <c r="AE574" s="333">
        <f t="shared" si="268"/>
        <v>25.683949673944795</v>
      </c>
      <c r="AF574" s="334">
        <f t="shared" si="269"/>
        <v>-133.4892217291551</v>
      </c>
      <c r="AH574">
        <f t="shared" si="270"/>
        <v>0</v>
      </c>
      <c r="AI574">
        <f t="shared" si="275"/>
        <v>0</v>
      </c>
    </row>
    <row r="575" spans="1:35" x14ac:dyDescent="0.2">
      <c r="A575" s="335">
        <v>102330</v>
      </c>
      <c r="B575" s="352">
        <f t="shared" si="271"/>
        <v>102.33</v>
      </c>
      <c r="C575" s="325">
        <f t="shared" si="246"/>
        <v>129.80109240596965</v>
      </c>
      <c r="D575" s="326">
        <f t="shared" si="247"/>
        <v>1.5630921551742329</v>
      </c>
      <c r="E575" s="326">
        <f t="shared" si="248"/>
        <v>1.0082340093863882</v>
      </c>
      <c r="F575" s="327">
        <f t="shared" si="249"/>
        <v>0.127889831119742</v>
      </c>
      <c r="G575" s="326">
        <f t="shared" si="250"/>
        <v>1</v>
      </c>
      <c r="H575" s="327">
        <f t="shared" si="251"/>
        <v>0</v>
      </c>
      <c r="I575" s="325">
        <f t="shared" si="252"/>
        <v>135819.11374882379</v>
      </c>
      <c r="J575" s="328">
        <f t="shared" si="253"/>
        <v>1.5707889640609456</v>
      </c>
      <c r="K575" s="336">
        <f t="shared" si="273"/>
        <v>26.328853179992709</v>
      </c>
      <c r="L575" s="337">
        <f t="shared" si="274"/>
        <v>1.5328060437669271</v>
      </c>
      <c r="M575" s="325">
        <f t="shared" si="254"/>
        <v>1.1811034548128674</v>
      </c>
      <c r="N575" s="337">
        <f t="shared" si="255"/>
        <v>0.56110828812225622</v>
      </c>
      <c r="O575" s="343">
        <f t="shared" si="256"/>
        <v>1.1634384902800019</v>
      </c>
      <c r="P575" s="691">
        <f t="shared" si="257"/>
        <v>0.53646427588111067</v>
      </c>
      <c r="Q575" s="336">
        <f t="shared" si="272"/>
        <v>15.679899613132626</v>
      </c>
      <c r="R575" s="692">
        <f t="shared" si="258"/>
        <v>0.27100858044592463</v>
      </c>
      <c r="S575" s="329">
        <f t="shared" si="259"/>
        <v>1.0324483696807389</v>
      </c>
      <c r="T575" s="330">
        <f t="shared" si="260"/>
        <v>0.90507592656401981</v>
      </c>
      <c r="U575" s="331">
        <f t="shared" si="261"/>
        <v>-8.9923648354480328</v>
      </c>
      <c r="V575" s="332">
        <f t="shared" si="262"/>
        <v>-153.20397361125981</v>
      </c>
      <c r="W575" s="334">
        <f t="shared" si="263"/>
        <v>26.796026388740188</v>
      </c>
      <c r="Y575" s="307">
        <f t="shared" si="264"/>
        <v>102330</v>
      </c>
      <c r="Z575" s="307">
        <f t="shared" si="265"/>
        <v>10471428900</v>
      </c>
      <c r="AB575" s="333">
        <f t="shared" si="266"/>
        <v>22.010886612581317</v>
      </c>
      <c r="AC575" s="334">
        <f t="shared" si="267"/>
        <v>-34.325397824867409</v>
      </c>
      <c r="AE575" s="333">
        <f t="shared" si="268"/>
        <v>25.568145645360886</v>
      </c>
      <c r="AF575" s="334">
        <f t="shared" si="269"/>
        <v>-134.08806679991815</v>
      </c>
      <c r="AH575">
        <f t="shared" si="270"/>
        <v>0</v>
      </c>
      <c r="AI575">
        <f t="shared" si="275"/>
        <v>0</v>
      </c>
    </row>
    <row r="576" spans="1:35" x14ac:dyDescent="0.2">
      <c r="A576" s="335">
        <v>103520</v>
      </c>
      <c r="B576" s="352">
        <f t="shared" si="271"/>
        <v>103.52</v>
      </c>
      <c r="C576" s="325">
        <f t="shared" si="246"/>
        <v>131.31046585247108</v>
      </c>
      <c r="D576" s="326">
        <f t="shared" si="247"/>
        <v>1.5631807139811498</v>
      </c>
      <c r="E576" s="326">
        <f t="shared" si="248"/>
        <v>1.0084258254220919</v>
      </c>
      <c r="F576" s="327">
        <f t="shared" si="249"/>
        <v>0.12936062454362693</v>
      </c>
      <c r="G576" s="326">
        <f t="shared" si="250"/>
        <v>1</v>
      </c>
      <c r="H576" s="327">
        <f t="shared" si="251"/>
        <v>0</v>
      </c>
      <c r="I576" s="325">
        <f t="shared" si="252"/>
        <v>137398.56010231143</v>
      </c>
      <c r="J576" s="328">
        <f t="shared" si="253"/>
        <v>1.5707890486982465</v>
      </c>
      <c r="K576" s="336">
        <f t="shared" si="273"/>
        <v>26.634593404090651</v>
      </c>
      <c r="L576" s="337">
        <f t="shared" si="274"/>
        <v>1.5332423430044302</v>
      </c>
      <c r="M576" s="325">
        <f t="shared" si="254"/>
        <v>1.1850088010229225</v>
      </c>
      <c r="N576" s="337">
        <f t="shared" si="255"/>
        <v>0.56633030108825144</v>
      </c>
      <c r="O576" s="343">
        <f t="shared" si="256"/>
        <v>1.1669878939167857</v>
      </c>
      <c r="P576" s="691">
        <f t="shared" si="257"/>
        <v>0.54155741493519016</v>
      </c>
      <c r="Q576" s="336">
        <f t="shared" si="272"/>
        <v>15.692661819780604</v>
      </c>
      <c r="R576" s="692">
        <f t="shared" si="258"/>
        <v>0.27401231425158046</v>
      </c>
      <c r="S576" s="329">
        <f t="shared" si="259"/>
        <v>1.0347151601380551</v>
      </c>
      <c r="T576" s="330">
        <f t="shared" si="260"/>
        <v>0.91715521994927485</v>
      </c>
      <c r="U576" s="331">
        <f t="shared" si="261"/>
        <v>-9.1196060083914752</v>
      </c>
      <c r="V576" s="332">
        <f t="shared" si="262"/>
        <v>-153.97136187829639</v>
      </c>
      <c r="W576" s="334">
        <f t="shared" si="263"/>
        <v>26.028638121703608</v>
      </c>
      <c r="Y576" s="307">
        <f t="shared" si="264"/>
        <v>103520</v>
      </c>
      <c r="Z576" s="307">
        <f t="shared" si="265"/>
        <v>10716390400</v>
      </c>
      <c r="AB576" s="333">
        <f t="shared" si="266"/>
        <v>21.982070681516124</v>
      </c>
      <c r="AC576" s="334">
        <f t="shared" si="267"/>
        <v>-34.59960387314127</v>
      </c>
      <c r="AE576" s="333">
        <f t="shared" si="268"/>
        <v>25.450328695181298</v>
      </c>
      <c r="AF576" s="334">
        <f t="shared" si="269"/>
        <v>-134.70096312124477</v>
      </c>
      <c r="AH576">
        <f t="shared" si="270"/>
        <v>0</v>
      </c>
      <c r="AI576">
        <f t="shared" si="275"/>
        <v>0</v>
      </c>
    </row>
    <row r="577" spans="1:35" x14ac:dyDescent="0.2">
      <c r="A577" s="335">
        <v>104710</v>
      </c>
      <c r="B577" s="352">
        <f t="shared" si="271"/>
        <v>104.71</v>
      </c>
      <c r="C577" s="325">
        <f t="shared" si="246"/>
        <v>132.81984030539024</v>
      </c>
      <c r="D577" s="326">
        <f t="shared" si="247"/>
        <v>1.5632672600111168</v>
      </c>
      <c r="E577" s="326">
        <f t="shared" si="248"/>
        <v>1.0086198220856391</v>
      </c>
      <c r="F577" s="327">
        <f t="shared" si="249"/>
        <v>0.13083085536584821</v>
      </c>
      <c r="G577" s="326">
        <f t="shared" si="250"/>
        <v>1</v>
      </c>
      <c r="H577" s="327">
        <f t="shared" si="251"/>
        <v>0</v>
      </c>
      <c r="I577" s="325">
        <f t="shared" si="252"/>
        <v>138978.0064558</v>
      </c>
      <c r="J577" s="328">
        <f t="shared" si="253"/>
        <v>1.5707891314117888</v>
      </c>
      <c r="K577" s="336">
        <f t="shared" si="273"/>
        <v>26.940338583191412</v>
      </c>
      <c r="L577" s="337">
        <f t="shared" si="274"/>
        <v>1.5336687392249131</v>
      </c>
      <c r="M577" s="325">
        <f t="shared" si="254"/>
        <v>1.1889462489352405</v>
      </c>
      <c r="N577" s="337">
        <f t="shared" si="255"/>
        <v>0.57151786713014363</v>
      </c>
      <c r="O577" s="343">
        <f t="shared" si="256"/>
        <v>1.1705673852590071</v>
      </c>
      <c r="P577" s="691">
        <f t="shared" si="257"/>
        <v>0.54661953589925949</v>
      </c>
      <c r="Q577" s="336">
        <f t="shared" si="272"/>
        <v>15.7055610395948</v>
      </c>
      <c r="R577" s="692">
        <f t="shared" si="258"/>
        <v>0.27701121799085349</v>
      </c>
      <c r="S577" s="329">
        <f t="shared" si="259"/>
        <v>1.0370736032636139</v>
      </c>
      <c r="T577" s="330">
        <f t="shared" si="260"/>
        <v>0.92925566241777291</v>
      </c>
      <c r="U577" s="331">
        <f t="shared" si="261"/>
        <v>-9.2464694859423382</v>
      </c>
      <c r="V577" s="332">
        <f t="shared" si="262"/>
        <v>-154.73997290033699</v>
      </c>
      <c r="W577" s="334">
        <f t="shared" si="263"/>
        <v>25.260027099663006</v>
      </c>
      <c r="Y577" s="307">
        <f t="shared" si="264"/>
        <v>104710</v>
      </c>
      <c r="Z577" s="307">
        <f t="shared" si="265"/>
        <v>10964184100</v>
      </c>
      <c r="AB577" s="333">
        <f t="shared" si="266"/>
        <v>21.953119416812239</v>
      </c>
      <c r="AC577" s="334">
        <f t="shared" si="267"/>
        <v>-34.87240354890168</v>
      </c>
      <c r="AE577" s="333">
        <f t="shared" si="268"/>
        <v>25.33295189484868</v>
      </c>
      <c r="AF577" s="334">
        <f t="shared" si="269"/>
        <v>-135.31498810685957</v>
      </c>
      <c r="AH577">
        <f t="shared" si="270"/>
        <v>0</v>
      </c>
      <c r="AI577">
        <f t="shared" si="275"/>
        <v>0</v>
      </c>
    </row>
    <row r="578" spans="1:35" x14ac:dyDescent="0.2">
      <c r="A578" s="335">
        <v>105930</v>
      </c>
      <c r="B578" s="352">
        <f t="shared" si="271"/>
        <v>105.93</v>
      </c>
      <c r="C578" s="325">
        <f t="shared" si="246"/>
        <v>134.36726722439585</v>
      </c>
      <c r="D578" s="326">
        <f t="shared" si="247"/>
        <v>1.5633539693505274</v>
      </c>
      <c r="E578" s="326">
        <f t="shared" si="248"/>
        <v>1.0088209718858381</v>
      </c>
      <c r="F578" s="327">
        <f t="shared" si="249"/>
        <v>0.13233756046329484</v>
      </c>
      <c r="G578" s="326">
        <f t="shared" si="250"/>
        <v>1</v>
      </c>
      <c r="H578" s="327">
        <f t="shared" si="251"/>
        <v>0</v>
      </c>
      <c r="I578" s="325">
        <f t="shared" si="252"/>
        <v>140597.2707845876</v>
      </c>
      <c r="J578" s="328">
        <f t="shared" si="253"/>
        <v>1.5707892142813007</v>
      </c>
      <c r="K578" s="336">
        <f t="shared" si="273"/>
        <v>27.253796593325408</v>
      </c>
      <c r="L578" s="337">
        <f t="shared" si="274"/>
        <v>1.5340959530288094</v>
      </c>
      <c r="M578" s="325">
        <f t="shared" si="254"/>
        <v>1.1930159533164386</v>
      </c>
      <c r="N578" s="337">
        <f t="shared" si="255"/>
        <v>0.57680051794557807</v>
      </c>
      <c r="O578" s="343">
        <f t="shared" si="256"/>
        <v>1.1742680628612239</v>
      </c>
      <c r="P578" s="691">
        <f t="shared" si="257"/>
        <v>0.55177709911954487</v>
      </c>
      <c r="Q578" s="336">
        <f t="shared" si="272"/>
        <v>15.718927334921567</v>
      </c>
      <c r="R578" s="692">
        <f t="shared" si="258"/>
        <v>0.28008066875028081</v>
      </c>
      <c r="S578" s="329">
        <f t="shared" si="259"/>
        <v>1.0395885360387749</v>
      </c>
      <c r="T578" s="330">
        <f t="shared" si="260"/>
        <v>0.94168142728547177</v>
      </c>
      <c r="U578" s="331">
        <f t="shared" si="261"/>
        <v>-9.3761761423089478</v>
      </c>
      <c r="V578" s="332">
        <f t="shared" si="262"/>
        <v>-155.52911778688804</v>
      </c>
      <c r="W578" s="334">
        <f t="shared" si="263"/>
        <v>24.470882213111963</v>
      </c>
      <c r="Y578" s="307">
        <f t="shared" si="264"/>
        <v>105930</v>
      </c>
      <c r="Z578" s="307">
        <f t="shared" si="265"/>
        <v>11221164900</v>
      </c>
      <c r="AB578" s="333">
        <f t="shared" si="266"/>
        <v>21.92330177345152</v>
      </c>
      <c r="AC578" s="334">
        <f t="shared" si="267"/>
        <v>-35.150604345745606</v>
      </c>
      <c r="AE578" s="333">
        <f t="shared" si="268"/>
        <v>25.213035310631327</v>
      </c>
      <c r="AF578" s="334">
        <f t="shared" si="269"/>
        <v>-135.94557222785923</v>
      </c>
      <c r="AH578">
        <f t="shared" si="270"/>
        <v>0</v>
      </c>
      <c r="AI578">
        <f t="shared" si="275"/>
        <v>0</v>
      </c>
    </row>
    <row r="579" spans="1:35" x14ac:dyDescent="0.2">
      <c r="A579" s="335">
        <v>107150</v>
      </c>
      <c r="B579" s="352">
        <f t="shared" si="271"/>
        <v>107.15</v>
      </c>
      <c r="C579" s="325">
        <f t="shared" si="246"/>
        <v>135.9146951306393</v>
      </c>
      <c r="D579" s="326">
        <f t="shared" si="247"/>
        <v>1.5634387042690125</v>
      </c>
      <c r="E579" s="326">
        <f t="shared" si="248"/>
        <v>1.0090244109551749</v>
      </c>
      <c r="F579" s="327">
        <f t="shared" si="249"/>
        <v>0.13384366141621684</v>
      </c>
      <c r="G579" s="326">
        <f t="shared" si="250"/>
        <v>1</v>
      </c>
      <c r="H579" s="327">
        <f t="shared" si="251"/>
        <v>0</v>
      </c>
      <c r="I579" s="325">
        <f t="shared" si="252"/>
        <v>142216.53511337613</v>
      </c>
      <c r="J579" s="328">
        <f t="shared" si="253"/>
        <v>1.5707892952637232</v>
      </c>
      <c r="K579" s="336">
        <f t="shared" si="273"/>
        <v>27.567259464475416</v>
      </c>
      <c r="L579" s="337">
        <f t="shared" si="274"/>
        <v>1.5345134513486358</v>
      </c>
      <c r="M579" s="325">
        <f t="shared" si="254"/>
        <v>1.1971187235746494</v>
      </c>
      <c r="N579" s="337">
        <f t="shared" si="255"/>
        <v>0.5820471048966156</v>
      </c>
      <c r="O579" s="343">
        <f t="shared" si="256"/>
        <v>1.1779997797934869</v>
      </c>
      <c r="P579" s="691">
        <f t="shared" si="257"/>
        <v>0.55690212126297012</v>
      </c>
      <c r="Q579" s="336">
        <f t="shared" si="272"/>
        <v>15.73243691875571</v>
      </c>
      <c r="R579" s="692">
        <f t="shared" si="258"/>
        <v>0.28314495928115968</v>
      </c>
      <c r="S579" s="329">
        <f t="shared" si="259"/>
        <v>1.0422036193121951</v>
      </c>
      <c r="T579" s="330">
        <f t="shared" si="260"/>
        <v>0.95412594289033636</v>
      </c>
      <c r="U579" s="331">
        <f t="shared" si="261"/>
        <v>-9.5055597332255601</v>
      </c>
      <c r="V579" s="332">
        <f t="shared" si="262"/>
        <v>-156.31931754842384</v>
      </c>
      <c r="W579" s="334">
        <f t="shared" si="263"/>
        <v>23.68068245157616</v>
      </c>
      <c r="Y579" s="307">
        <f t="shared" si="264"/>
        <v>107150</v>
      </c>
      <c r="Z579" s="307">
        <f t="shared" si="265"/>
        <v>11481122500</v>
      </c>
      <c r="AB579" s="333">
        <f t="shared" si="266"/>
        <v>21.893349938568413</v>
      </c>
      <c r="AC579" s="334">
        <f t="shared" si="267"/>
        <v>-35.427295383475808</v>
      </c>
      <c r="AE579" s="333">
        <f t="shared" si="268"/>
        <v>25.093506210840513</v>
      </c>
      <c r="AF579" s="334">
        <f t="shared" si="269"/>
        <v>-136.57715217590788</v>
      </c>
      <c r="AH579">
        <f t="shared" si="270"/>
        <v>0</v>
      </c>
      <c r="AI579">
        <f t="shared" si="275"/>
        <v>0</v>
      </c>
    </row>
    <row r="580" spans="1:35" x14ac:dyDescent="0.2">
      <c r="A580" s="335">
        <v>108400</v>
      </c>
      <c r="B580" s="352">
        <f t="shared" si="271"/>
        <v>108.4</v>
      </c>
      <c r="C580" s="325">
        <f t="shared" si="246"/>
        <v>137.50017553187078</v>
      </c>
      <c r="D580" s="326">
        <f t="shared" si="247"/>
        <v>1.5635235446930111</v>
      </c>
      <c r="E580" s="326">
        <f t="shared" si="248"/>
        <v>1.0092352255783565</v>
      </c>
      <c r="F580" s="327">
        <f t="shared" si="249"/>
        <v>0.13538616426671921</v>
      </c>
      <c r="G580" s="326">
        <f t="shared" si="250"/>
        <v>1</v>
      </c>
      <c r="H580" s="327">
        <f t="shared" si="251"/>
        <v>0</v>
      </c>
      <c r="I580" s="325">
        <f t="shared" si="252"/>
        <v>143875.61741746368</v>
      </c>
      <c r="J580" s="328">
        <f t="shared" si="253"/>
        <v>1.5707893763468781</v>
      </c>
      <c r="K580" s="336">
        <f t="shared" si="273"/>
        <v>27.888435309398993</v>
      </c>
      <c r="L580" s="337">
        <f t="shared" si="274"/>
        <v>1.5349314816623036</v>
      </c>
      <c r="M580" s="325">
        <f t="shared" si="254"/>
        <v>1.2013563228761823</v>
      </c>
      <c r="N580" s="337">
        <f t="shared" si="255"/>
        <v>0.58738538724082556</v>
      </c>
      <c r="O580" s="343">
        <f t="shared" si="256"/>
        <v>1.1818551463945901</v>
      </c>
      <c r="P580" s="691">
        <f t="shared" si="257"/>
        <v>0.5621194595427611</v>
      </c>
      <c r="Q580" s="336">
        <f t="shared" si="272"/>
        <v>15.74642693724666</v>
      </c>
      <c r="R580" s="692">
        <f t="shared" si="258"/>
        <v>0.28627920566997972</v>
      </c>
      <c r="S580" s="329">
        <f t="shared" si="259"/>
        <v>1.0449888779791676</v>
      </c>
      <c r="T580" s="330">
        <f t="shared" si="260"/>
        <v>0.96689400169164419</v>
      </c>
      <c r="U580" s="331">
        <f t="shared" si="261"/>
        <v>-9.6378267349340305</v>
      </c>
      <c r="V580" s="332">
        <f t="shared" si="262"/>
        <v>-157.12991747376918</v>
      </c>
      <c r="W580" s="334">
        <f t="shared" si="263"/>
        <v>22.870082526230817</v>
      </c>
      <c r="Y580" s="307">
        <f t="shared" si="264"/>
        <v>108400</v>
      </c>
      <c r="Z580" s="307">
        <f t="shared" si="265"/>
        <v>11750560000</v>
      </c>
      <c r="AB580" s="333">
        <f t="shared" si="266"/>
        <v>21.862526598521036</v>
      </c>
      <c r="AC580" s="334">
        <f t="shared" si="267"/>
        <v>-35.70920970501124</v>
      </c>
      <c r="AE580" s="333">
        <f t="shared" si="268"/>
        <v>24.971402187981365</v>
      </c>
      <c r="AF580" s="334">
        <f t="shared" si="269"/>
        <v>-137.2251901535447</v>
      </c>
      <c r="AH580">
        <f t="shared" si="270"/>
        <v>0</v>
      </c>
      <c r="AI580">
        <f t="shared" si="275"/>
        <v>0</v>
      </c>
    </row>
    <row r="581" spans="1:35" x14ac:dyDescent="0.2">
      <c r="A581" s="335">
        <v>109650</v>
      </c>
      <c r="B581" s="352">
        <f t="shared" si="271"/>
        <v>109.65</v>
      </c>
      <c r="C581" s="325">
        <f t="shared" si="246"/>
        <v>139.08565690025031</v>
      </c>
      <c r="D581" s="326">
        <f t="shared" si="247"/>
        <v>1.563606450871972</v>
      </c>
      <c r="E581" s="326">
        <f t="shared" si="248"/>
        <v>1.0094484404837842</v>
      </c>
      <c r="F581" s="327">
        <f t="shared" si="249"/>
        <v>0.1369280191720183</v>
      </c>
      <c r="G581" s="326">
        <f t="shared" si="250"/>
        <v>1</v>
      </c>
      <c r="H581" s="327">
        <f t="shared" si="251"/>
        <v>0</v>
      </c>
      <c r="I581" s="325">
        <f t="shared" si="252"/>
        <v>145534.69972155217</v>
      </c>
      <c r="J581" s="328">
        <f t="shared" si="253"/>
        <v>1.5707894555813515</v>
      </c>
      <c r="K581" s="336">
        <f t="shared" si="273"/>
        <v>28.209615916835318</v>
      </c>
      <c r="L581" s="337">
        <f t="shared" si="274"/>
        <v>1.5353399930769842</v>
      </c>
      <c r="M581" s="325">
        <f t="shared" si="254"/>
        <v>1.2056279163082719</v>
      </c>
      <c r="N581" s="337">
        <f t="shared" si="255"/>
        <v>0.5926859922057568</v>
      </c>
      <c r="O581" s="343">
        <f t="shared" si="256"/>
        <v>1.1857424741122984</v>
      </c>
      <c r="P581" s="691">
        <f t="shared" si="257"/>
        <v>0.56730272919525826</v>
      </c>
      <c r="Q581" s="336">
        <f t="shared" si="272"/>
        <v>15.760566591941343</v>
      </c>
      <c r="R581" s="692">
        <f t="shared" si="258"/>
        <v>0.28940794723104607</v>
      </c>
      <c r="S581" s="329">
        <f t="shared" si="259"/>
        <v>1.0478833080416612</v>
      </c>
      <c r="T581" s="330">
        <f t="shared" si="260"/>
        <v>0.97967779749972095</v>
      </c>
      <c r="U581" s="331">
        <f t="shared" si="261"/>
        <v>-9.769828150629511</v>
      </c>
      <c r="V581" s="332">
        <f t="shared" si="262"/>
        <v>-157.94136848079449</v>
      </c>
      <c r="W581" s="334">
        <f t="shared" si="263"/>
        <v>22.058631519205505</v>
      </c>
      <c r="Y581" s="307">
        <f t="shared" si="264"/>
        <v>109650</v>
      </c>
      <c r="Z581" s="307">
        <f t="shared" si="265"/>
        <v>12023122500</v>
      </c>
      <c r="AB581" s="333">
        <f t="shared" si="266"/>
        <v>21.831570870061562</v>
      </c>
      <c r="AC581" s="334">
        <f t="shared" si="267"/>
        <v>-35.989510558544985</v>
      </c>
      <c r="AE581" s="333">
        <f t="shared" si="268"/>
        <v>24.849630054753298</v>
      </c>
      <c r="AF581" s="334">
        <f t="shared" si="269"/>
        <v>-137.87405609570081</v>
      </c>
      <c r="AH581">
        <f t="shared" si="270"/>
        <v>0</v>
      </c>
      <c r="AI581">
        <f t="shared" si="275"/>
        <v>0</v>
      </c>
    </row>
    <row r="582" spans="1:35" x14ac:dyDescent="0.2">
      <c r="A582" s="335">
        <v>110925</v>
      </c>
      <c r="B582" s="352">
        <f t="shared" si="271"/>
        <v>110.925</v>
      </c>
      <c r="C582" s="325">
        <f t="shared" si="246"/>
        <v>140.7028488584472</v>
      </c>
      <c r="D582" s="326">
        <f t="shared" si="247"/>
        <v>1.5636890903248137</v>
      </c>
      <c r="E582" s="326">
        <f t="shared" si="248"/>
        <v>1.0096683908810091</v>
      </c>
      <c r="F582" s="327">
        <f t="shared" si="249"/>
        <v>0.13850003648780504</v>
      </c>
      <c r="G582" s="326">
        <f t="shared" si="250"/>
        <v>1</v>
      </c>
      <c r="H582" s="327">
        <f t="shared" si="251"/>
        <v>0</v>
      </c>
      <c r="I582" s="325">
        <f t="shared" si="252"/>
        <v>147226.96367172332</v>
      </c>
      <c r="J582" s="328">
        <f t="shared" si="253"/>
        <v>1.5707895345608176</v>
      </c>
      <c r="K582" s="336">
        <f t="shared" si="273"/>
        <v>28.537224875997033</v>
      </c>
      <c r="L582" s="337">
        <f t="shared" si="274"/>
        <v>1.5357472015246569</v>
      </c>
      <c r="M582" s="325">
        <f t="shared" si="254"/>
        <v>1.210019588985658</v>
      </c>
      <c r="N582" s="337">
        <f t="shared" si="255"/>
        <v>0.59805390065278241</v>
      </c>
      <c r="O582" s="343">
        <f t="shared" si="256"/>
        <v>1.1897401498135562</v>
      </c>
      <c r="P582" s="691">
        <f t="shared" si="257"/>
        <v>0.57255462570307458</v>
      </c>
      <c r="Q582" s="336">
        <f t="shared" si="272"/>
        <v>15.775142778068661</v>
      </c>
      <c r="R582" s="692">
        <f t="shared" si="258"/>
        <v>0.29259354741169119</v>
      </c>
      <c r="S582" s="329">
        <f t="shared" si="259"/>
        <v>1.0509501786563715</v>
      </c>
      <c r="T582" s="330">
        <f t="shared" si="260"/>
        <v>0.99273133383902468</v>
      </c>
      <c r="U582" s="331">
        <f t="shared" si="261"/>
        <v>-9.9042322682850905</v>
      </c>
      <c r="V582" s="332">
        <f t="shared" si="262"/>
        <v>-158.76978759587013</v>
      </c>
      <c r="W582" s="334">
        <f t="shared" si="263"/>
        <v>21.230212404129873</v>
      </c>
      <c r="Y582" s="307">
        <f t="shared" si="264"/>
        <v>110925</v>
      </c>
      <c r="Z582" s="307">
        <f t="shared" si="265"/>
        <v>12304355625</v>
      </c>
      <c r="AB582" s="333">
        <f t="shared" si="266"/>
        <v>21.799864017633375</v>
      </c>
      <c r="AC582" s="334">
        <f t="shared" si="267"/>
        <v>-36.273742257453321</v>
      </c>
      <c r="AE582" s="333">
        <f t="shared" si="268"/>
        <v>24.725727417114282</v>
      </c>
      <c r="AF582" s="334">
        <f t="shared" si="269"/>
        <v>-138.53663357077372</v>
      </c>
      <c r="AH582">
        <f t="shared" si="270"/>
        <v>0</v>
      </c>
      <c r="AI582">
        <f t="shared" si="275"/>
        <v>0</v>
      </c>
    </row>
    <row r="583" spans="1:35" x14ac:dyDescent="0.2">
      <c r="A583" s="335">
        <v>112200</v>
      </c>
      <c r="B583" s="352">
        <f t="shared" si="271"/>
        <v>112.2</v>
      </c>
      <c r="C583" s="325">
        <f t="shared" si="246"/>
        <v>142.32004175570563</v>
      </c>
      <c r="D583" s="326">
        <f t="shared" si="247"/>
        <v>1.5637698517020728</v>
      </c>
      <c r="E583" s="326">
        <f t="shared" si="248"/>
        <v>1.0098908353191183</v>
      </c>
      <c r="F583" s="327">
        <f t="shared" si="249"/>
        <v>0.14007136516191915</v>
      </c>
      <c r="G583" s="326">
        <f t="shared" si="250"/>
        <v>1</v>
      </c>
      <c r="H583" s="327">
        <f t="shared" si="251"/>
        <v>0</v>
      </c>
      <c r="I583" s="325">
        <f t="shared" si="252"/>
        <v>148919.22762189541</v>
      </c>
      <c r="J583" s="328">
        <f t="shared" si="253"/>
        <v>1.5707896117452957</v>
      </c>
      <c r="K583" s="336">
        <f t="shared" si="273"/>
        <v>28.864838459750139</v>
      </c>
      <c r="L583" s="337">
        <f t="shared" si="274"/>
        <v>1.5361451664711334</v>
      </c>
      <c r="M583" s="325">
        <f t="shared" si="254"/>
        <v>1.2144458749528759</v>
      </c>
      <c r="N583" s="337">
        <f t="shared" si="255"/>
        <v>0.60338283293350048</v>
      </c>
      <c r="O583" s="343">
        <f t="shared" si="256"/>
        <v>1.1937704211111353</v>
      </c>
      <c r="P583" s="691">
        <f t="shared" si="257"/>
        <v>0.57777120358529255</v>
      </c>
      <c r="Q583" s="336">
        <f t="shared" si="272"/>
        <v>15.789873797943676</v>
      </c>
      <c r="R583" s="692">
        <f t="shared" si="258"/>
        <v>0.29577332951110463</v>
      </c>
      <c r="S583" s="329">
        <f t="shared" si="259"/>
        <v>1.0541348275382607</v>
      </c>
      <c r="T583" s="330">
        <f t="shared" si="260"/>
        <v>1.005796842201887</v>
      </c>
      <c r="U583" s="331">
        <f t="shared" si="261"/>
        <v>-10.038432020172765</v>
      </c>
      <c r="V583" s="332">
        <f t="shared" si="262"/>
        <v>-159.59881110544129</v>
      </c>
      <c r="W583" s="334">
        <f t="shared" si="263"/>
        <v>20.401188894558715</v>
      </c>
      <c r="Y583" s="307">
        <f t="shared" si="264"/>
        <v>112200</v>
      </c>
      <c r="Z583" s="307">
        <f t="shared" si="265"/>
        <v>12588840000</v>
      </c>
      <c r="AB583" s="333">
        <f t="shared" si="266"/>
        <v>21.768028244832021</v>
      </c>
      <c r="AC583" s="334">
        <f t="shared" si="267"/>
        <v>-36.55627029728992</v>
      </c>
      <c r="AE583" s="333">
        <f t="shared" si="268"/>
        <v>24.602096721980153</v>
      </c>
      <c r="AF583" s="334">
        <f t="shared" si="269"/>
        <v>-139.19982884272642</v>
      </c>
      <c r="AH583">
        <f t="shared" si="270"/>
        <v>0</v>
      </c>
      <c r="AI583">
        <f t="shared" si="275"/>
        <v>0</v>
      </c>
    </row>
    <row r="584" spans="1:35" x14ac:dyDescent="0.2">
      <c r="A584" s="335">
        <v>113510</v>
      </c>
      <c r="B584" s="352">
        <f t="shared" si="271"/>
        <v>113.51</v>
      </c>
      <c r="C584" s="325">
        <f t="shared" si="246"/>
        <v>143.98162912830068</v>
      </c>
      <c r="D584" s="326">
        <f t="shared" si="247"/>
        <v>1.5638509404575462</v>
      </c>
      <c r="E584" s="326">
        <f t="shared" si="248"/>
        <v>1.0101219820195397</v>
      </c>
      <c r="F584" s="327">
        <f t="shared" si="249"/>
        <v>0.1416851034169048</v>
      </c>
      <c r="G584" s="326">
        <f t="shared" si="250"/>
        <v>1</v>
      </c>
      <c r="H584" s="327">
        <f t="shared" si="251"/>
        <v>0</v>
      </c>
      <c r="I584" s="325">
        <f t="shared" si="252"/>
        <v>150657.94587658287</v>
      </c>
      <c r="J584" s="328">
        <f t="shared" si="253"/>
        <v>1.5707896892425646</v>
      </c>
      <c r="K584" s="336">
        <f t="shared" si="273"/>
        <v>29.201450010722912</v>
      </c>
      <c r="L584" s="337">
        <f t="shared" si="274"/>
        <v>1.5365447552202935</v>
      </c>
      <c r="M584" s="325">
        <f t="shared" si="254"/>
        <v>1.2190293220701778</v>
      </c>
      <c r="N584" s="337">
        <f t="shared" si="255"/>
        <v>0.60881758384075746</v>
      </c>
      <c r="O584" s="343">
        <f t="shared" si="256"/>
        <v>1.1979449315451685</v>
      </c>
      <c r="P584" s="691">
        <f t="shared" si="257"/>
        <v>0.58309427326594065</v>
      </c>
      <c r="Q584" s="336">
        <f t="shared" si="272"/>
        <v>15.805170011736609</v>
      </c>
      <c r="R584" s="692">
        <f t="shared" si="258"/>
        <v>0.29903429266396653</v>
      </c>
      <c r="S584" s="329">
        <f t="shared" si="259"/>
        <v>1.057531754091104</v>
      </c>
      <c r="T584" s="330">
        <f t="shared" si="260"/>
        <v>1.019231071088645</v>
      </c>
      <c r="U584" s="331">
        <f t="shared" si="261"/>
        <v>-10.176138528248824</v>
      </c>
      <c r="V584" s="332">
        <f t="shared" si="262"/>
        <v>-160.45106935498501</v>
      </c>
      <c r="W584" s="334">
        <f t="shared" si="263"/>
        <v>19.548930645014991</v>
      </c>
      <c r="Y584" s="307">
        <f t="shared" si="264"/>
        <v>113510</v>
      </c>
      <c r="Z584" s="307">
        <f t="shared" si="265"/>
        <v>12884520100</v>
      </c>
      <c r="AB584" s="333">
        <f t="shared" si="266"/>
        <v>21.735188863692741</v>
      </c>
      <c r="AC584" s="334">
        <f t="shared" si="267"/>
        <v>-36.844768278708926</v>
      </c>
      <c r="AE584" s="333">
        <f t="shared" si="268"/>
        <v>24.475319042766571</v>
      </c>
      <c r="AF584" s="334">
        <f t="shared" si="269"/>
        <v>-139.88173911193468</v>
      </c>
      <c r="AH584">
        <f t="shared" si="270"/>
        <v>0</v>
      </c>
      <c r="AI584">
        <f t="shared" si="275"/>
        <v>0</v>
      </c>
    </row>
    <row r="585" spans="1:35" x14ac:dyDescent="0.2">
      <c r="A585" s="335">
        <v>114820</v>
      </c>
      <c r="B585" s="352">
        <f t="shared" si="271"/>
        <v>114.82</v>
      </c>
      <c r="C585" s="325">
        <f t="shared" si="246"/>
        <v>145.64321742602868</v>
      </c>
      <c r="D585" s="326">
        <f t="shared" si="247"/>
        <v>1.5639301789917415</v>
      </c>
      <c r="E585" s="326">
        <f t="shared" si="248"/>
        <v>1.0103557580226896</v>
      </c>
      <c r="F585" s="327">
        <f t="shared" si="249"/>
        <v>0.14329809909760685</v>
      </c>
      <c r="G585" s="326">
        <f t="shared" si="250"/>
        <v>1</v>
      </c>
      <c r="H585" s="327">
        <f t="shared" si="251"/>
        <v>0</v>
      </c>
      <c r="I585" s="325">
        <f t="shared" si="252"/>
        <v>152396.66413127125</v>
      </c>
      <c r="J585" s="328">
        <f t="shared" si="253"/>
        <v>1.5707897649714755</v>
      </c>
      <c r="K585" s="336">
        <f t="shared" si="273"/>
        <v>29.538066118055582</v>
      </c>
      <c r="L585" s="337">
        <f t="shared" si="274"/>
        <v>1.5369352365955775</v>
      </c>
      <c r="M585" s="325">
        <f t="shared" si="254"/>
        <v>1.2236485047145873</v>
      </c>
      <c r="N585" s="337">
        <f t="shared" si="255"/>
        <v>0.61421146150121853</v>
      </c>
      <c r="O585" s="343">
        <f t="shared" si="256"/>
        <v>1.2021531495329281</v>
      </c>
      <c r="P585" s="691">
        <f t="shared" si="257"/>
        <v>0.58838022432773263</v>
      </c>
      <c r="Q585" s="336">
        <f t="shared" si="272"/>
        <v>15.820628747760168</v>
      </c>
      <c r="R585" s="692">
        <f t="shared" si="258"/>
        <v>0.30228901841353495</v>
      </c>
      <c r="S585" s="329">
        <f t="shared" si="259"/>
        <v>1.0610574273162434</v>
      </c>
      <c r="T585" s="330">
        <f t="shared" si="260"/>
        <v>1.0326729841312454</v>
      </c>
      <c r="U585" s="331">
        <f t="shared" si="261"/>
        <v>-10.313700296687871</v>
      </c>
      <c r="V585" s="332">
        <f t="shared" si="262"/>
        <v>-161.30365362227775</v>
      </c>
      <c r="W585" s="334">
        <f t="shared" si="263"/>
        <v>18.69634637772225</v>
      </c>
      <c r="Y585" s="307">
        <f t="shared" si="264"/>
        <v>114820</v>
      </c>
      <c r="Z585" s="307">
        <f t="shared" si="265"/>
        <v>13183632400</v>
      </c>
      <c r="AB585" s="333">
        <f t="shared" si="266"/>
        <v>21.702222676202268</v>
      </c>
      <c r="AC585" s="334">
        <f t="shared" si="267"/>
        <v>-37.131446108355576</v>
      </c>
      <c r="AE585" s="333">
        <f t="shared" si="268"/>
        <v>24.348755929287172</v>
      </c>
      <c r="AF585" s="334">
        <f t="shared" si="269"/>
        <v>-140.56402618734433</v>
      </c>
      <c r="AH585">
        <f t="shared" si="270"/>
        <v>0</v>
      </c>
      <c r="AI585">
        <f t="shared" si="275"/>
        <v>0</v>
      </c>
    </row>
    <row r="586" spans="1:35" x14ac:dyDescent="0.2">
      <c r="A586" s="335">
        <v>116155</v>
      </c>
      <c r="B586" s="352">
        <f t="shared" si="271"/>
        <v>116.155</v>
      </c>
      <c r="C586" s="325">
        <f t="shared" si="246"/>
        <v>147.33651634347319</v>
      </c>
      <c r="D586" s="326">
        <f t="shared" si="247"/>
        <v>1.5640090909987709</v>
      </c>
      <c r="E586" s="326">
        <f t="shared" si="248"/>
        <v>1.0105966985584904</v>
      </c>
      <c r="F586" s="327">
        <f t="shared" si="249"/>
        <v>0.14494110501896534</v>
      </c>
      <c r="G586" s="326">
        <f t="shared" si="250"/>
        <v>1</v>
      </c>
      <c r="H586" s="327">
        <f t="shared" si="251"/>
        <v>0</v>
      </c>
      <c r="I586" s="325">
        <f t="shared" si="252"/>
        <v>154168.56403204237</v>
      </c>
      <c r="J586" s="328">
        <f t="shared" si="253"/>
        <v>1.5707898403882399</v>
      </c>
      <c r="K586" s="336">
        <f t="shared" si="273"/>
        <v>29.881110725093571</v>
      </c>
      <c r="L586" s="337">
        <f t="shared" si="274"/>
        <v>1.5373241187145159</v>
      </c>
      <c r="M586" s="325">
        <f t="shared" si="254"/>
        <v>1.228392187296323</v>
      </c>
      <c r="N586" s="337">
        <f t="shared" si="255"/>
        <v>0.61966637937366575</v>
      </c>
      <c r="O586" s="343">
        <f t="shared" si="256"/>
        <v>1.2064759904252396</v>
      </c>
      <c r="P586" s="691">
        <f t="shared" si="257"/>
        <v>0.59372896235288053</v>
      </c>
      <c r="Q586" s="336">
        <f t="shared" si="272"/>
        <v>15.836549209736072</v>
      </c>
      <c r="R586" s="692">
        <f t="shared" si="258"/>
        <v>0.30559939112108686</v>
      </c>
      <c r="S586" s="329">
        <f t="shared" si="259"/>
        <v>1.0647851014225385</v>
      </c>
      <c r="T586" s="330">
        <f t="shared" si="260"/>
        <v>1.0463766586198733</v>
      </c>
      <c r="U586" s="331">
        <f t="shared" si="261"/>
        <v>-10.45377298785224</v>
      </c>
      <c r="V586" s="332">
        <f t="shared" si="262"/>
        <v>-162.1726774140337</v>
      </c>
      <c r="W586" s="334">
        <f t="shared" si="263"/>
        <v>17.8273225859663</v>
      </c>
      <c r="Y586" s="307">
        <f t="shared" si="264"/>
        <v>116155</v>
      </c>
      <c r="Z586" s="307">
        <f t="shared" si="265"/>
        <v>13491984025</v>
      </c>
      <c r="AB586" s="333">
        <f t="shared" si="266"/>
        <v>21.668501678709355</v>
      </c>
      <c r="AC586" s="334">
        <f t="shared" si="267"/>
        <v>-37.421712897287989</v>
      </c>
      <c r="AE586" s="333">
        <f t="shared" si="268"/>
        <v>24.21996284030179</v>
      </c>
      <c r="AF586" s="334">
        <f t="shared" si="269"/>
        <v>-141.2595729201054</v>
      </c>
      <c r="AH586">
        <f t="shared" si="270"/>
        <v>0</v>
      </c>
      <c r="AI586">
        <f t="shared" si="275"/>
        <v>0</v>
      </c>
    </row>
    <row r="587" spans="1:35" x14ac:dyDescent="0.2">
      <c r="A587" s="335">
        <v>117490</v>
      </c>
      <c r="B587" s="352">
        <f t="shared" si="271"/>
        <v>117.49</v>
      </c>
      <c r="C587" s="325">
        <f t="shared" si="246"/>
        <v>149.02981615754854</v>
      </c>
      <c r="D587" s="326">
        <f t="shared" si="247"/>
        <v>1.5640862097854209</v>
      </c>
      <c r="E587" s="326">
        <f t="shared" si="248"/>
        <v>1.0108403658633984</v>
      </c>
      <c r="F587" s="327">
        <f t="shared" si="249"/>
        <v>0.14658332326474749</v>
      </c>
      <c r="G587" s="326">
        <f t="shared" si="250"/>
        <v>1</v>
      </c>
      <c r="H587" s="327">
        <f t="shared" si="251"/>
        <v>0</v>
      </c>
      <c r="I587" s="325">
        <f t="shared" si="252"/>
        <v>155940.46393281431</v>
      </c>
      <c r="J587" s="328">
        <f t="shared" si="253"/>
        <v>1.5707899140911328</v>
      </c>
      <c r="K587" s="336">
        <f t="shared" si="273"/>
        <v>30.224159748451562</v>
      </c>
      <c r="L587" s="337">
        <f t="shared" si="274"/>
        <v>1.5377041731419656</v>
      </c>
      <c r="M587" s="325">
        <f t="shared" si="254"/>
        <v>1.2331721402298195</v>
      </c>
      <c r="N587" s="337">
        <f t="shared" si="255"/>
        <v>0.62507916917881112</v>
      </c>
      <c r="O587" s="343">
        <f t="shared" si="256"/>
        <v>1.2108331003594295</v>
      </c>
      <c r="P587" s="691">
        <f t="shared" si="257"/>
        <v>0.59903935717364698</v>
      </c>
      <c r="Q587" s="336">
        <f t="shared" si="272"/>
        <v>15.852637455987109</v>
      </c>
      <c r="R587" s="692">
        <f t="shared" si="258"/>
        <v>0.30890318751148105</v>
      </c>
      <c r="S587" s="329">
        <f t="shared" si="259"/>
        <v>1.0686510228515844</v>
      </c>
      <c r="T587" s="330">
        <f t="shared" si="260"/>
        <v>1.0600828652598377</v>
      </c>
      <c r="U587" s="331">
        <f t="shared" si="261"/>
        <v>-10.593763663081761</v>
      </c>
      <c r="V587" s="332">
        <f t="shared" si="262"/>
        <v>-163.04170071327934</v>
      </c>
      <c r="W587" s="334">
        <f t="shared" si="263"/>
        <v>16.95829928672066</v>
      </c>
      <c r="Y587" s="307">
        <f t="shared" si="264"/>
        <v>117490</v>
      </c>
      <c r="Z587" s="307">
        <f t="shared" si="265"/>
        <v>13803900100</v>
      </c>
      <c r="AB587" s="333">
        <f t="shared" si="266"/>
        <v>21.634658590310011</v>
      </c>
      <c r="AC587" s="334">
        <f t="shared" si="267"/>
        <v>-37.710071617030323</v>
      </c>
      <c r="AE587" s="333">
        <f t="shared" si="268"/>
        <v>24.091322691187109</v>
      </c>
      <c r="AF587" s="334">
        <f t="shared" si="269"/>
        <v>-141.95520712097795</v>
      </c>
      <c r="AH587">
        <f t="shared" si="270"/>
        <v>0</v>
      </c>
      <c r="AI587">
        <f t="shared" si="275"/>
        <v>0</v>
      </c>
    </row>
    <row r="588" spans="1:35" x14ac:dyDescent="0.2">
      <c r="A588" s="335">
        <v>118860</v>
      </c>
      <c r="B588" s="352">
        <f t="shared" si="271"/>
        <v>118.86</v>
      </c>
      <c r="C588" s="325">
        <f t="shared" si="246"/>
        <v>150.76751050022435</v>
      </c>
      <c r="D588" s="326">
        <f t="shared" si="247"/>
        <v>1.56416354942125</v>
      </c>
      <c r="E588" s="326">
        <f t="shared" si="248"/>
        <v>1.0110932543207496</v>
      </c>
      <c r="F588" s="327">
        <f t="shared" si="249"/>
        <v>0.14826776831039359</v>
      </c>
      <c r="G588" s="326">
        <f t="shared" si="250"/>
        <v>1</v>
      </c>
      <c r="H588" s="327">
        <f t="shared" si="251"/>
        <v>0</v>
      </c>
      <c r="I588" s="325">
        <f t="shared" si="252"/>
        <v>157758.81813810175</v>
      </c>
      <c r="J588" s="328">
        <f t="shared" si="253"/>
        <v>1.570789988005016</v>
      </c>
      <c r="K588" s="336">
        <f t="shared" si="273"/>
        <v>30.576207002048999</v>
      </c>
      <c r="L588" s="337">
        <f t="shared" si="274"/>
        <v>1.5380853251609852</v>
      </c>
      <c r="M588" s="325">
        <f t="shared" si="254"/>
        <v>1.2381146788736546</v>
      </c>
      <c r="N588" s="337">
        <f t="shared" si="255"/>
        <v>0.63059024917027329</v>
      </c>
      <c r="O588" s="343">
        <f t="shared" si="256"/>
        <v>1.2153396835551131</v>
      </c>
      <c r="P588" s="691">
        <f t="shared" si="257"/>
        <v>0.60444923173122311</v>
      </c>
      <c r="Q588" s="336">
        <f t="shared" si="272"/>
        <v>15.869321397008408</v>
      </c>
      <c r="R588" s="692">
        <f t="shared" si="258"/>
        <v>0.31228671209617814</v>
      </c>
      <c r="S588" s="329">
        <f t="shared" si="259"/>
        <v>1.0727643661472694</v>
      </c>
      <c r="T588" s="330">
        <f t="shared" si="260"/>
        <v>1.0741480967840449</v>
      </c>
      <c r="U588" s="331">
        <f t="shared" si="261"/>
        <v>-10.737372565649441</v>
      </c>
      <c r="V588" s="332">
        <f t="shared" si="262"/>
        <v>-163.93332491701267</v>
      </c>
      <c r="W588" s="334">
        <f t="shared" si="263"/>
        <v>16.066675082987331</v>
      </c>
      <c r="Y588" s="307">
        <f t="shared" si="264"/>
        <v>118860</v>
      </c>
      <c r="Z588" s="307">
        <f t="shared" si="265"/>
        <v>14127699600</v>
      </c>
      <c r="AB588" s="333">
        <f t="shared" si="266"/>
        <v>21.599806266683402</v>
      </c>
      <c r="AC588" s="334">
        <f t="shared" si="267"/>
        <v>-38.003999074346815</v>
      </c>
      <c r="AE588" s="333">
        <f t="shared" si="268"/>
        <v>23.959434795530093</v>
      </c>
      <c r="AF588" s="334">
        <f t="shared" si="269"/>
        <v>-142.66900516878985</v>
      </c>
      <c r="AH588">
        <f t="shared" si="270"/>
        <v>0</v>
      </c>
      <c r="AI588">
        <f t="shared" si="275"/>
        <v>0</v>
      </c>
    </row>
    <row r="589" spans="1:35" x14ac:dyDescent="0.2">
      <c r="A589" s="335">
        <v>120230</v>
      </c>
      <c r="B589" s="352">
        <f t="shared" si="271"/>
        <v>120.23</v>
      </c>
      <c r="C589" s="325">
        <f t="shared" ref="C589:C613" si="276">SQRT(1+(A589/pole1)^2)</f>
        <v>152.50520572415297</v>
      </c>
      <c r="D589" s="326">
        <f t="shared" ref="D589:D613" si="277">ATAN(A589/pole1)</f>
        <v>1.5642391265902658</v>
      </c>
      <c r="E589" s="326">
        <f t="shared" ref="E589:E613" si="278">SQRT(1+(A589/Zero1)^2)</f>
        <v>1.0113490101692615</v>
      </c>
      <c r="F589" s="327">
        <f t="shared" ref="F589:F613" si="279">ATAN(A589/Zero1)</f>
        <v>0.14995136618638599</v>
      </c>
      <c r="G589" s="326">
        <f t="shared" ref="G589:G613" si="280">IF(VIN_nom&gt;Vout, 1, SQRT(1+(A589/z_RHP)^2))</f>
        <v>1</v>
      </c>
      <c r="H589" s="327">
        <f t="shared" ref="H589:H613" si="281">IF(VIN_nom&gt;Vout, 0, -ATAN(A589/z_RHP))</f>
        <v>0</v>
      </c>
      <c r="I589" s="325">
        <f t="shared" ref="I589:I613" si="282">SQRT(1+(A589/Pole2)^2)</f>
        <v>159577.17234339003</v>
      </c>
      <c r="J589" s="328">
        <f t="shared" ref="J589:J613" si="283">ATAN(A589/Pole2)</f>
        <v>1.5707900602344274</v>
      </c>
      <c r="K589" s="336">
        <f t="shared" si="273"/>
        <v>30.928258596537148</v>
      </c>
      <c r="L589" s="337">
        <f t="shared" si="274"/>
        <v>1.5384578000438751</v>
      </c>
      <c r="M589" s="325">
        <f t="shared" ref="M589:M613" si="284">SQRT(1+(A589/pole4)^2)</f>
        <v>1.2430945218498057</v>
      </c>
      <c r="N589" s="337">
        <f t="shared" ref="N589:N613" si="285">ATAN(A589/pole4)</f>
        <v>0.63605733927612385</v>
      </c>
      <c r="O589" s="343">
        <f t="shared" ref="O589:O613" si="286">IF(VOUT_setting=1,1,SQRT(1+(A589*zterm1)^2))</f>
        <v>1.2198815723761207</v>
      </c>
      <c r="P589" s="691">
        <f t="shared" ref="P589:P613" si="287">IF(VOUT_setting=1,0,ATAN(((A589*zterm1))))</f>
        <v>0.60981897815512776</v>
      </c>
      <c r="Q589" s="336">
        <f t="shared" si="272"/>
        <v>15.886180943998603</v>
      </c>
      <c r="R589" s="692">
        <f t="shared" ref="R589:R613" si="288">IF(VOUT_setting=1,0,ATAN(A589*$Q$4/(1+Afbr-$Q$5*(A589)^2)))</f>
        <v>0.31566320808337367</v>
      </c>
      <c r="S589" s="329">
        <f t="shared" ref="S589:S613" si="289">SQRT((1-(Z589/pterm2))^2+(A589/pterm1)^2)</f>
        <v>1.0770280057892536</v>
      </c>
      <c r="T589" s="330">
        <f t="shared" ref="T589:T613" si="290">IF((ATAN((A589/pterm1)/(1-A589^2/pterm2))&gt;0),ATAN((A589/pterm1)/(1-A589^2/pterm2)),PI()+ATAN((A589/pterm1)/(1-A589^2/pterm2)))</f>
        <v>1.0882099634605222</v>
      </c>
      <c r="U589" s="331">
        <f t="shared" ref="U589:U613" si="291">20*LOG10(((E589*K589*G589*O589)/(C589*I589*S589*M589*Q589))*Adc)</f>
        <v>-10.880960989737087</v>
      </c>
      <c r="V589" s="332">
        <f t="shared" ref="V589:V613" si="292">((F589+L589+H589+P589)-(D589+J589+T589+N589+R589))*radconv</f>
        <v>-164.82457698221253</v>
      </c>
      <c r="W589" s="334">
        <f t="shared" ref="W589:W613" si="293">IF(V589&gt;0,V589,V589+180)</f>
        <v>15.175423017787466</v>
      </c>
      <c r="Y589" s="307">
        <f t="shared" ref="Y589:Y613" si="294">IF(U589&lt;0,A589,1000000000)</f>
        <v>120230</v>
      </c>
      <c r="Z589" s="307">
        <f t="shared" ref="Z589:Z613" si="295">A589^2</f>
        <v>14455252900</v>
      </c>
      <c r="AB589" s="333">
        <f t="shared" ref="AB589:AB613" si="296">20*LOG10((K589/(I589*M589))*AEA)</f>
        <v>21.564835402316543</v>
      </c>
      <c r="AC589" s="334">
        <f t="shared" ref="AC589:AC613" si="297">(L589-(J589+N589))*radconv</f>
        <v>-38.295903163639522</v>
      </c>
      <c r="AE589" s="333">
        <f t="shared" ref="AE589:AE613" si="298">20*LOG10((E589*G589/(C589*S589))*Acs*Am)</f>
        <v>23.827640374569256</v>
      </c>
      <c r="AF589" s="334">
        <f t="shared" ref="AF589:AF613" si="299">(F589+H589-(D589+T589))*radconv</f>
        <v>-143.38255798236361</v>
      </c>
      <c r="AH589">
        <f t="shared" ref="AH589:AH613" si="300">SUM((U590&lt;0)*(U589&gt;0))*A589</f>
        <v>0</v>
      </c>
      <c r="AI589">
        <f t="shared" si="275"/>
        <v>0</v>
      </c>
    </row>
    <row r="590" spans="1:35" x14ac:dyDescent="0.2">
      <c r="A590" s="335">
        <v>126030</v>
      </c>
      <c r="B590" s="352">
        <f t="shared" ref="B590:B613" si="301">A590/1000</f>
        <v>126.03</v>
      </c>
      <c r="C590" s="325">
        <f t="shared" si="276"/>
        <v>159.86188073700401</v>
      </c>
      <c r="D590" s="326">
        <f t="shared" si="277"/>
        <v>1.5645408860533268</v>
      </c>
      <c r="E590" s="326">
        <f t="shared" si="278"/>
        <v>1.0124634877134366</v>
      </c>
      <c r="F590" s="327">
        <f t="shared" si="279"/>
        <v>0.15706941726980814</v>
      </c>
      <c r="G590" s="326">
        <f t="shared" si="280"/>
        <v>1</v>
      </c>
      <c r="H590" s="327">
        <f t="shared" si="281"/>
        <v>0</v>
      </c>
      <c r="I590" s="325">
        <f t="shared" si="282"/>
        <v>167275.3142344002</v>
      </c>
      <c r="J590" s="328">
        <f t="shared" si="283"/>
        <v>1.5707903486264825</v>
      </c>
      <c r="K590" s="336">
        <f t="shared" si="273"/>
        <v>32.418740838452528</v>
      </c>
      <c r="L590" s="337">
        <f t="shared" si="274"/>
        <v>1.5399450776404873</v>
      </c>
      <c r="M590" s="325">
        <f t="shared" si="284"/>
        <v>1.2645801339427756</v>
      </c>
      <c r="N590" s="337">
        <f t="shared" si="285"/>
        <v>0.65872011958082699</v>
      </c>
      <c r="O590" s="343">
        <f t="shared" si="286"/>
        <v>1.2394921455286623</v>
      </c>
      <c r="P590" s="691">
        <f t="shared" si="287"/>
        <v>0.63211097568950991</v>
      </c>
      <c r="Q590" s="336">
        <f t="shared" si="272"/>
        <v>15.95948965180148</v>
      </c>
      <c r="R590" s="692">
        <f t="shared" si="288"/>
        <v>0.32987884141325657</v>
      </c>
      <c r="S590" s="329">
        <f t="shared" si="289"/>
        <v>1.0967955454242488</v>
      </c>
      <c r="T590" s="330">
        <f t="shared" si="290"/>
        <v>1.1476327718435968</v>
      </c>
      <c r="U590" s="331">
        <f t="shared" si="291"/>
        <v>-11.489293347004107</v>
      </c>
      <c r="V590" s="332">
        <f t="shared" si="292"/>
        <v>-168.58925024706272</v>
      </c>
      <c r="W590" s="334">
        <f t="shared" si="293"/>
        <v>11.410749752937278</v>
      </c>
      <c r="Y590" s="307">
        <f t="shared" si="294"/>
        <v>126030</v>
      </c>
      <c r="Z590" s="307">
        <f t="shared" si="295"/>
        <v>15883560900</v>
      </c>
      <c r="AB590" s="333">
        <f t="shared" si="296"/>
        <v>21.415583066157918</v>
      </c>
      <c r="AC590" s="334">
        <f t="shared" si="297"/>
        <v>-39.509186622914982</v>
      </c>
      <c r="AE590" s="333">
        <f t="shared" si="298"/>
        <v>23.270028082185643</v>
      </c>
      <c r="AF590" s="334">
        <f t="shared" si="299"/>
        <v>-146.39668937119546</v>
      </c>
      <c r="AH590">
        <f t="shared" si="300"/>
        <v>0</v>
      </c>
      <c r="AI590">
        <f t="shared" si="275"/>
        <v>0</v>
      </c>
    </row>
    <row r="591" spans="1:35" x14ac:dyDescent="0.2">
      <c r="A591" s="335">
        <v>131830</v>
      </c>
      <c r="B591" s="352">
        <f t="shared" si="301"/>
        <v>131.83000000000001</v>
      </c>
      <c r="C591" s="325">
        <f t="shared" si="276"/>
        <v>167.21856902584432</v>
      </c>
      <c r="D591" s="326">
        <f t="shared" si="277"/>
        <v>1.5648160940588964</v>
      </c>
      <c r="E591" s="326">
        <f t="shared" si="278"/>
        <v>1.0136291490740494</v>
      </c>
      <c r="F591" s="327">
        <f t="shared" si="279"/>
        <v>0.16417145616730736</v>
      </c>
      <c r="G591" s="326">
        <f t="shared" si="280"/>
        <v>1</v>
      </c>
      <c r="H591" s="327">
        <f t="shared" si="281"/>
        <v>0</v>
      </c>
      <c r="I591" s="325">
        <f t="shared" si="282"/>
        <v>174973.45612542305</v>
      </c>
      <c r="J591" s="328">
        <f t="shared" si="283"/>
        <v>1.570790611642312</v>
      </c>
      <c r="K591" s="336">
        <f t="shared" si="273"/>
        <v>33.909288486330901</v>
      </c>
      <c r="L591" s="337">
        <f t="shared" si="274"/>
        <v>1.5413016057575781</v>
      </c>
      <c r="M591" s="325">
        <f t="shared" si="284"/>
        <v>1.2866933550453892</v>
      </c>
      <c r="N591" s="337">
        <f t="shared" si="285"/>
        <v>0.68061486027256846</v>
      </c>
      <c r="O591" s="343">
        <f t="shared" si="286"/>
        <v>1.2596993106450489</v>
      </c>
      <c r="P591" s="691">
        <f t="shared" si="287"/>
        <v>0.65369823593238052</v>
      </c>
      <c r="Q591" s="336">
        <f t="shared" ref="Q591:Q613" si="302">IF(VOUT_setting=1,1,SQRT((1+Afbr-$Q$5*(A591)^2)^2+(A591*$Q$4)^2))</f>
        <v>16.035892708654131</v>
      </c>
      <c r="R591" s="692">
        <f t="shared" si="288"/>
        <v>0.34396391440453744</v>
      </c>
      <c r="S591" s="329">
        <f t="shared" si="289"/>
        <v>1.1194603590649308</v>
      </c>
      <c r="T591" s="330">
        <f t="shared" si="290"/>
        <v>1.2067000682158819</v>
      </c>
      <c r="U591" s="331">
        <f t="shared" si="291"/>
        <v>-12.099701737529942</v>
      </c>
      <c r="V591" s="332">
        <f t="shared" si="292"/>
        <v>-172.32933274549376</v>
      </c>
      <c r="W591" s="334">
        <f t="shared" si="293"/>
        <v>7.6706672545062418</v>
      </c>
      <c r="Y591" s="307">
        <f t="shared" si="294"/>
        <v>131830</v>
      </c>
      <c r="Z591" s="307">
        <f t="shared" si="295"/>
        <v>17379148900</v>
      </c>
      <c r="AB591" s="333">
        <f t="shared" si="296"/>
        <v>21.264653376877796</v>
      </c>
      <c r="AC591" s="334">
        <f t="shared" si="297"/>
        <v>-40.685954593226604</v>
      </c>
      <c r="AE591" s="333">
        <f t="shared" si="298"/>
        <v>22.711569975488644</v>
      </c>
      <c r="AF591" s="334">
        <f t="shared" si="299"/>
        <v>-149.38984756643887</v>
      </c>
      <c r="AH591">
        <f t="shared" si="300"/>
        <v>0</v>
      </c>
      <c r="AI591">
        <f t="shared" si="275"/>
        <v>0</v>
      </c>
    </row>
    <row r="592" spans="1:35" x14ac:dyDescent="0.2">
      <c r="A592" s="335">
        <v>144540</v>
      </c>
      <c r="B592" s="352">
        <f t="shared" si="301"/>
        <v>144.54</v>
      </c>
      <c r="C592" s="325">
        <f t="shared" si="276"/>
        <v>183.33990215006898</v>
      </c>
      <c r="D592" s="326">
        <f t="shared" si="277"/>
        <v>1.565341949724431</v>
      </c>
      <c r="E592" s="326">
        <f t="shared" si="278"/>
        <v>1.0163616612401605</v>
      </c>
      <c r="F592" s="327">
        <f t="shared" si="279"/>
        <v>0.17967551642641647</v>
      </c>
      <c r="G592" s="326">
        <f t="shared" si="280"/>
        <v>1</v>
      </c>
      <c r="H592" s="327">
        <f t="shared" si="281"/>
        <v>0</v>
      </c>
      <c r="I592" s="325">
        <f t="shared" si="282"/>
        <v>191843.00499354626</v>
      </c>
      <c r="J592" s="328">
        <f t="shared" si="283"/>
        <v>1.5707911141993161</v>
      </c>
      <c r="K592" s="336">
        <f t="shared" si="273"/>
        <v>37.175834036660184</v>
      </c>
      <c r="L592" s="337">
        <f t="shared" si="274"/>
        <v>1.5438938870878747</v>
      </c>
      <c r="M592" s="325">
        <f t="shared" si="284"/>
        <v>1.3371930177809102</v>
      </c>
      <c r="N592" s="337">
        <f t="shared" si="285"/>
        <v>0.72600108194404323</v>
      </c>
      <c r="O592" s="343">
        <f t="shared" si="286"/>
        <v>1.3059305350734873</v>
      </c>
      <c r="P592" s="691">
        <f t="shared" si="287"/>
        <v>0.69860906362239361</v>
      </c>
      <c r="Q592" s="336">
        <f t="shared" si="302"/>
        <v>16.213924939290873</v>
      </c>
      <c r="R592" s="692">
        <f t="shared" si="288"/>
        <v>0.37435676725091799</v>
      </c>
      <c r="S592" s="329">
        <f t="shared" si="289"/>
        <v>1.1799286395988444</v>
      </c>
      <c r="T592" s="330">
        <f t="shared" si="290"/>
        <v>1.3337375673134586</v>
      </c>
      <c r="U592" s="331">
        <f t="shared" si="291"/>
        <v>-13.450560951503391</v>
      </c>
      <c r="V592" s="332">
        <f t="shared" si="292"/>
        <v>-180.36997966403658</v>
      </c>
      <c r="W592" s="334">
        <f t="shared" si="293"/>
        <v>-0.36997966403657756</v>
      </c>
      <c r="Y592" s="307">
        <f t="shared" si="294"/>
        <v>144540</v>
      </c>
      <c r="Z592" s="307">
        <f t="shared" si="295"/>
        <v>20891811600</v>
      </c>
      <c r="AB592" s="333">
        <f t="shared" si="296"/>
        <v>20.929637438819874</v>
      </c>
      <c r="AC592" s="334">
        <f t="shared" si="297"/>
        <v>-43.13789556070779</v>
      </c>
      <c r="AE592" s="333">
        <f t="shared" si="298"/>
        <v>21.478563327581689</v>
      </c>
      <c r="AF592" s="334">
        <f t="shared" si="299"/>
        <v>-155.81037220406824</v>
      </c>
      <c r="AH592">
        <f t="shared" si="300"/>
        <v>0</v>
      </c>
      <c r="AI592">
        <f t="shared" si="275"/>
        <v>0</v>
      </c>
    </row>
    <row r="593" spans="1:35" x14ac:dyDescent="0.2">
      <c r="A593" s="335">
        <v>158490</v>
      </c>
      <c r="B593" s="352">
        <f t="shared" si="301"/>
        <v>158.49</v>
      </c>
      <c r="C593" s="325">
        <f t="shared" si="276"/>
        <v>201.03409680408114</v>
      </c>
      <c r="D593" s="326">
        <f t="shared" si="277"/>
        <v>1.5658220257193349</v>
      </c>
      <c r="E593" s="326">
        <f t="shared" si="278"/>
        <v>1.0196403587885059</v>
      </c>
      <c r="F593" s="327">
        <f t="shared" si="279"/>
        <v>0.19659197670148859</v>
      </c>
      <c r="G593" s="326">
        <f t="shared" si="280"/>
        <v>1</v>
      </c>
      <c r="H593" s="327">
        <f t="shared" si="281"/>
        <v>0</v>
      </c>
      <c r="I593" s="325">
        <f t="shared" si="282"/>
        <v>210358.36350738641</v>
      </c>
      <c r="J593" s="328">
        <f t="shared" si="283"/>
        <v>1.5707915730024478</v>
      </c>
      <c r="K593" s="336">
        <f t="shared" si="273"/>
        <v>40.761306184567424</v>
      </c>
      <c r="L593" s="337">
        <f t="shared" si="274"/>
        <v>1.5462607946268396</v>
      </c>
      <c r="M593" s="325">
        <f t="shared" si="284"/>
        <v>1.3955454306587234</v>
      </c>
      <c r="N593" s="337">
        <f t="shared" si="285"/>
        <v>0.77193012050024834</v>
      </c>
      <c r="O593" s="343">
        <f t="shared" si="286"/>
        <v>1.3594840534865722</v>
      </c>
      <c r="P593" s="691">
        <f t="shared" si="287"/>
        <v>0.74428395261377089</v>
      </c>
      <c r="Q593" s="336">
        <f t="shared" si="302"/>
        <v>16.425619847068599</v>
      </c>
      <c r="R593" s="692">
        <f t="shared" si="288"/>
        <v>0.40693724379134605</v>
      </c>
      <c r="S593" s="329">
        <f t="shared" si="289"/>
        <v>1.2644097057252652</v>
      </c>
      <c r="T593" s="330">
        <f t="shared" si="290"/>
        <v>1.4671414373251603</v>
      </c>
      <c r="U593" s="331">
        <f t="shared" si="291"/>
        <v>-14.958600023525062</v>
      </c>
      <c r="V593" s="332">
        <f t="shared" si="292"/>
        <v>-188.81742091908663</v>
      </c>
      <c r="W593" s="334">
        <f t="shared" si="293"/>
        <v>-8.8174209190866293</v>
      </c>
      <c r="Y593" s="307">
        <f t="shared" si="294"/>
        <v>158490</v>
      </c>
      <c r="Z593" s="307">
        <f t="shared" si="295"/>
        <v>25119080100</v>
      </c>
      <c r="AB593" s="333">
        <f t="shared" si="296"/>
        <v>20.558110995851834</v>
      </c>
      <c r="AC593" s="334">
        <f t="shared" si="297"/>
        <v>-45.633848104926706</v>
      </c>
      <c r="AE593" s="333">
        <f t="shared" si="298"/>
        <v>20.105642059038658</v>
      </c>
      <c r="AF593" s="334">
        <f t="shared" si="299"/>
        <v>-162.51211548439963</v>
      </c>
      <c r="AH593">
        <f t="shared" si="300"/>
        <v>0</v>
      </c>
      <c r="AI593">
        <f t="shared" si="275"/>
        <v>0</v>
      </c>
    </row>
    <row r="594" spans="1:35" x14ac:dyDescent="0.2">
      <c r="A594" s="335">
        <v>173780</v>
      </c>
      <c r="B594" s="352">
        <f t="shared" si="301"/>
        <v>173.78</v>
      </c>
      <c r="C594" s="325">
        <f t="shared" si="276"/>
        <v>220.42799313336516</v>
      </c>
      <c r="D594" s="326">
        <f t="shared" si="277"/>
        <v>1.5662596823515855</v>
      </c>
      <c r="E594" s="326">
        <f t="shared" si="278"/>
        <v>1.0235668617490215</v>
      </c>
      <c r="F594" s="327">
        <f t="shared" si="279"/>
        <v>0.21500303063774104</v>
      </c>
      <c r="G594" s="326">
        <f t="shared" si="280"/>
        <v>1</v>
      </c>
      <c r="H594" s="327">
        <f t="shared" si="281"/>
        <v>0</v>
      </c>
      <c r="I594" s="325">
        <f t="shared" si="282"/>
        <v>230652.25825127214</v>
      </c>
      <c r="J594" s="328">
        <f t="shared" si="283"/>
        <v>1.5707919912639654</v>
      </c>
      <c r="K594" s="336">
        <f t="shared" si="273"/>
        <v>44.691407477108385</v>
      </c>
      <c r="L594" s="337">
        <f t="shared" si="274"/>
        <v>1.5484187933867457</v>
      </c>
      <c r="M594" s="325">
        <f t="shared" si="284"/>
        <v>1.4625974307158442</v>
      </c>
      <c r="N594" s="337">
        <f t="shared" si="285"/>
        <v>0.81795477772199354</v>
      </c>
      <c r="O594" s="343">
        <f t="shared" si="286"/>
        <v>1.4211781111454627</v>
      </c>
      <c r="P594" s="691">
        <f t="shared" si="287"/>
        <v>0.79028677965398197</v>
      </c>
      <c r="Q594" s="336">
        <f t="shared" si="302"/>
        <v>16.676487075829598</v>
      </c>
      <c r="R594" s="692">
        <f t="shared" si="288"/>
        <v>0.44167456532465132</v>
      </c>
      <c r="S594" s="329">
        <f t="shared" si="289"/>
        <v>1.3796827154953017</v>
      </c>
      <c r="T594" s="330">
        <f t="shared" si="290"/>
        <v>1.6033929229968946</v>
      </c>
      <c r="U594" s="331">
        <f t="shared" si="291"/>
        <v>-16.637209080020181</v>
      </c>
      <c r="V594" s="332">
        <f t="shared" si="292"/>
        <v>-197.462188637509</v>
      </c>
      <c r="W594" s="334">
        <f t="shared" si="293"/>
        <v>-17.462188637509001</v>
      </c>
      <c r="Y594" s="307">
        <f t="shared" si="294"/>
        <v>173780</v>
      </c>
      <c r="Z594" s="307">
        <f t="shared" si="295"/>
        <v>30199488400</v>
      </c>
      <c r="AB594" s="333">
        <f t="shared" si="296"/>
        <v>20.150054700893364</v>
      </c>
      <c r="AC594" s="334">
        <f t="shared" si="297"/>
        <v>-48.147246463623581</v>
      </c>
      <c r="AE594" s="333">
        <f t="shared" si="298"/>
        <v>18.581257532226793</v>
      </c>
      <c r="AF594" s="334">
        <f t="shared" si="299"/>
        <v>-169.28895076448975</v>
      </c>
      <c r="AH594">
        <f t="shared" si="300"/>
        <v>0</v>
      </c>
      <c r="AI594">
        <f t="shared" si="275"/>
        <v>0</v>
      </c>
    </row>
    <row r="595" spans="1:35" x14ac:dyDescent="0.2">
      <c r="A595" s="335">
        <v>190550</v>
      </c>
      <c r="B595" s="352">
        <f t="shared" si="301"/>
        <v>190.55</v>
      </c>
      <c r="C595" s="325">
        <f t="shared" si="276"/>
        <v>241.69916768351101</v>
      </c>
      <c r="D595" s="326">
        <f t="shared" si="277"/>
        <v>1.5666589403794435</v>
      </c>
      <c r="E595" s="326">
        <f t="shared" si="278"/>
        <v>1.0282691049281227</v>
      </c>
      <c r="F595" s="327">
        <f t="shared" si="279"/>
        <v>0.23502694339444388</v>
      </c>
      <c r="G595" s="326">
        <f t="shared" si="280"/>
        <v>1</v>
      </c>
      <c r="H595" s="327">
        <f t="shared" si="281"/>
        <v>0</v>
      </c>
      <c r="I595" s="325">
        <f t="shared" si="282"/>
        <v>252910.50644326388</v>
      </c>
      <c r="J595" s="328">
        <f t="shared" si="283"/>
        <v>1.5707923728270916</v>
      </c>
      <c r="K595" s="336">
        <f t="shared" si="273"/>
        <v>49.002123140882468</v>
      </c>
      <c r="L595" s="337">
        <f t="shared" si="274"/>
        <v>1.5503876310401847</v>
      </c>
      <c r="M595" s="325">
        <f t="shared" si="284"/>
        <v>1.5393722404346923</v>
      </c>
      <c r="N595" s="337">
        <f t="shared" si="285"/>
        <v>0.86371780331807979</v>
      </c>
      <c r="O595" s="343">
        <f t="shared" si="286"/>
        <v>1.491997834655534</v>
      </c>
      <c r="P595" s="691">
        <f t="shared" si="287"/>
        <v>0.83626115467578432</v>
      </c>
      <c r="Q595" s="336">
        <f t="shared" si="302"/>
        <v>16.973280606833807</v>
      </c>
      <c r="R595" s="692">
        <f t="shared" si="288"/>
        <v>0.47856750129668069</v>
      </c>
      <c r="S595" s="329">
        <f t="shared" si="289"/>
        <v>1.5336018438968002</v>
      </c>
      <c r="T595" s="330">
        <f t="shared" si="290"/>
        <v>1.73875822717217</v>
      </c>
      <c r="U595" s="331">
        <f t="shared" si="291"/>
        <v>-18.491807339359195</v>
      </c>
      <c r="V595" s="332">
        <f t="shared" si="292"/>
        <v>-206.0825552475587</v>
      </c>
      <c r="W595" s="334">
        <f t="shared" si="293"/>
        <v>-26.082555247558702</v>
      </c>
      <c r="Y595" s="307">
        <f t="shared" si="294"/>
        <v>190550</v>
      </c>
      <c r="Z595" s="307">
        <f t="shared" si="295"/>
        <v>36309302500</v>
      </c>
      <c r="AB595" s="333">
        <f t="shared" si="296"/>
        <v>19.705311909808049</v>
      </c>
      <c r="AC595" s="334">
        <f t="shared" si="297"/>
        <v>-50.656490464763969</v>
      </c>
      <c r="AE595" s="333">
        <f t="shared" si="298"/>
        <v>16.902232803764136</v>
      </c>
      <c r="AF595" s="334">
        <f t="shared" si="299"/>
        <v>-175.92040150345096</v>
      </c>
      <c r="AH595">
        <f t="shared" si="300"/>
        <v>0</v>
      </c>
      <c r="AI595">
        <f t="shared" si="275"/>
        <v>0</v>
      </c>
    </row>
    <row r="596" spans="1:35" x14ac:dyDescent="0.2">
      <c r="A596" s="335">
        <v>208930</v>
      </c>
      <c r="B596" s="352">
        <f t="shared" si="301"/>
        <v>208.93</v>
      </c>
      <c r="C596" s="325">
        <f t="shared" si="276"/>
        <v>265.01251327228056</v>
      </c>
      <c r="D596" s="326">
        <f t="shared" si="277"/>
        <v>1.5670229111143794</v>
      </c>
      <c r="E596" s="326">
        <f t="shared" si="278"/>
        <v>1.0338917121320348</v>
      </c>
      <c r="F596" s="327">
        <f t="shared" si="279"/>
        <v>0.25675434041019762</v>
      </c>
      <c r="G596" s="326">
        <f t="shared" si="280"/>
        <v>1</v>
      </c>
      <c r="H596" s="327">
        <f t="shared" si="281"/>
        <v>0</v>
      </c>
      <c r="I596" s="325">
        <f t="shared" si="282"/>
        <v>277305.65264298947</v>
      </c>
      <c r="J596" s="328">
        <f t="shared" si="283"/>
        <v>1.5707927206657375</v>
      </c>
      <c r="K596" s="336">
        <f t="shared" si="273"/>
        <v>53.726869558060962</v>
      </c>
      <c r="L596" s="337">
        <f t="shared" si="274"/>
        <v>1.5521825911398532</v>
      </c>
      <c r="M596" s="325">
        <f t="shared" si="284"/>
        <v>1.6268497165897542</v>
      </c>
      <c r="N596" s="337">
        <f t="shared" si="285"/>
        <v>0.90880986905392214</v>
      </c>
      <c r="O596" s="343">
        <f t="shared" si="286"/>
        <v>1.57289225895781</v>
      </c>
      <c r="P596" s="691">
        <f t="shared" si="287"/>
        <v>0.88178876485254898</v>
      </c>
      <c r="Q596" s="336">
        <f t="shared" si="302"/>
        <v>17.323232353037717</v>
      </c>
      <c r="R596" s="692">
        <f t="shared" si="288"/>
        <v>0.51752113413913969</v>
      </c>
      <c r="S596" s="329">
        <f t="shared" si="289"/>
        <v>1.7346671778460112</v>
      </c>
      <c r="T596" s="330">
        <f t="shared" si="290"/>
        <v>1.8694761669541928</v>
      </c>
      <c r="U596" s="331">
        <f t="shared" si="291"/>
        <v>-20.513364392358007</v>
      </c>
      <c r="V596" s="332">
        <f t="shared" si="292"/>
        <v>-214.45220754334863</v>
      </c>
      <c r="W596" s="334">
        <f t="shared" si="293"/>
        <v>-34.452207543348635</v>
      </c>
      <c r="Y596" s="307">
        <f t="shared" si="294"/>
        <v>208930</v>
      </c>
      <c r="Z596" s="307">
        <f t="shared" si="295"/>
        <v>43651744900</v>
      </c>
      <c r="AB596" s="333">
        <f t="shared" si="296"/>
        <v>19.224931968209983</v>
      </c>
      <c r="AC596" s="334">
        <f t="shared" si="297"/>
        <v>-53.137251815369865</v>
      </c>
      <c r="AE596" s="333">
        <f t="shared" si="298"/>
        <v>15.079702835846916</v>
      </c>
      <c r="AF596" s="334">
        <f t="shared" si="299"/>
        <v>-182.18595360493583</v>
      </c>
      <c r="AH596">
        <f t="shared" si="300"/>
        <v>0</v>
      </c>
      <c r="AI596">
        <f t="shared" si="275"/>
        <v>0</v>
      </c>
    </row>
    <row r="597" spans="1:35" x14ac:dyDescent="0.2">
      <c r="A597" s="335">
        <v>229090</v>
      </c>
      <c r="B597" s="352">
        <f t="shared" si="301"/>
        <v>229.09</v>
      </c>
      <c r="C597" s="325">
        <f t="shared" si="276"/>
        <v>290.58365931555824</v>
      </c>
      <c r="D597" s="326">
        <f t="shared" si="277"/>
        <v>1.5673549702637668</v>
      </c>
      <c r="E597" s="326">
        <f t="shared" si="278"/>
        <v>1.0406135750220429</v>
      </c>
      <c r="F597" s="327">
        <f t="shared" si="279"/>
        <v>0.28030353138870584</v>
      </c>
      <c r="G597" s="326">
        <f t="shared" si="280"/>
        <v>1</v>
      </c>
      <c r="H597" s="327">
        <f t="shared" si="281"/>
        <v>0</v>
      </c>
      <c r="I597" s="325">
        <f t="shared" si="282"/>
        <v>304063.33204380871</v>
      </c>
      <c r="J597" s="328">
        <f t="shared" si="283"/>
        <v>1.5707930380063628</v>
      </c>
      <c r="K597" s="336">
        <f t="shared" si="273"/>
        <v>58.909346770816406</v>
      </c>
      <c r="L597" s="337">
        <f t="shared" si="274"/>
        <v>1.5538202765162754</v>
      </c>
      <c r="M597" s="325">
        <f t="shared" si="284"/>
        <v>1.7261938720366989</v>
      </c>
      <c r="N597" s="337">
        <f t="shared" si="285"/>
        <v>0.95291538043911483</v>
      </c>
      <c r="O597" s="343">
        <f t="shared" si="286"/>
        <v>1.6649832749302218</v>
      </c>
      <c r="P597" s="691">
        <f t="shared" si="287"/>
        <v>0.9265367099954146</v>
      </c>
      <c r="Q597" s="336">
        <f t="shared" si="302"/>
        <v>17.734972571127294</v>
      </c>
      <c r="R597" s="692">
        <f t="shared" si="288"/>
        <v>0.55844781022982437</v>
      </c>
      <c r="S597" s="329">
        <f t="shared" si="289"/>
        <v>1.9925801014442148</v>
      </c>
      <c r="T597" s="330">
        <f t="shared" si="290"/>
        <v>1.9927201407980144</v>
      </c>
      <c r="U597" s="331">
        <f t="shared" si="291"/>
        <v>-22.686074094609445</v>
      </c>
      <c r="V597" s="332">
        <f t="shared" si="292"/>
        <v>-222.39762622649491</v>
      </c>
      <c r="W597" s="334">
        <f t="shared" si="293"/>
        <v>-42.397626226494907</v>
      </c>
      <c r="Y597" s="307">
        <f t="shared" si="294"/>
        <v>229090</v>
      </c>
      <c r="Z597" s="307">
        <f t="shared" si="295"/>
        <v>52482228100</v>
      </c>
      <c r="AB597" s="333">
        <f t="shared" si="296"/>
        <v>18.709836122534568</v>
      </c>
      <c r="AC597" s="334">
        <f t="shared" si="297"/>
        <v>-55.570497195827201</v>
      </c>
      <c r="AE597" s="333">
        <f t="shared" si="298"/>
        <v>13.131902786274775</v>
      </c>
      <c r="AF597" s="334">
        <f t="shared" si="299"/>
        <v>-187.91706949694878</v>
      </c>
      <c r="AH597">
        <f t="shared" si="300"/>
        <v>0</v>
      </c>
      <c r="AI597">
        <f t="shared" si="275"/>
        <v>0</v>
      </c>
    </row>
    <row r="598" spans="1:35" x14ac:dyDescent="0.2">
      <c r="A598" s="335">
        <v>251190</v>
      </c>
      <c r="B598" s="352">
        <f t="shared" si="301"/>
        <v>251.19</v>
      </c>
      <c r="C598" s="325">
        <f t="shared" si="276"/>
        <v>318.61555142198955</v>
      </c>
      <c r="D598" s="326">
        <f t="shared" si="277"/>
        <v>1.5676577428892344</v>
      </c>
      <c r="E598" s="326">
        <f t="shared" si="278"/>
        <v>1.0486361935092925</v>
      </c>
      <c r="F598" s="327">
        <f t="shared" si="279"/>
        <v>0.30575628071423661</v>
      </c>
      <c r="G598" s="326">
        <f t="shared" si="280"/>
        <v>1</v>
      </c>
      <c r="H598" s="327">
        <f t="shared" si="281"/>
        <v>0</v>
      </c>
      <c r="I598" s="325">
        <f t="shared" si="282"/>
        <v>333395.90718064876</v>
      </c>
      <c r="J598" s="328">
        <f t="shared" si="283"/>
        <v>1.5707933273579555</v>
      </c>
      <c r="K598" s="336">
        <f t="shared" si="273"/>
        <v>64.590685588707998</v>
      </c>
      <c r="L598" s="337">
        <f t="shared" si="274"/>
        <v>1.5553135997658325</v>
      </c>
      <c r="M598" s="325">
        <f t="shared" si="284"/>
        <v>1.8385145750406577</v>
      </c>
      <c r="N598" s="337">
        <f t="shared" si="285"/>
        <v>0.99569792834117588</v>
      </c>
      <c r="O598" s="343">
        <f t="shared" si="286"/>
        <v>1.769344222639085</v>
      </c>
      <c r="P598" s="691">
        <f t="shared" si="287"/>
        <v>0.97014350685090234</v>
      </c>
      <c r="Q598" s="336">
        <f t="shared" si="302"/>
        <v>18.217585111269752</v>
      </c>
      <c r="R598" s="692">
        <f t="shared" si="288"/>
        <v>0.60115467945636558</v>
      </c>
      <c r="S598" s="329">
        <f t="shared" si="289"/>
        <v>2.317966651021572</v>
      </c>
      <c r="T598" s="330">
        <f t="shared" si="290"/>
        <v>2.1065349096346031</v>
      </c>
      <c r="U598" s="331">
        <f t="shared" si="291"/>
        <v>-24.986027721191114</v>
      </c>
      <c r="V598" s="332">
        <f t="shared" si="292"/>
        <v>-229.79189745134698</v>
      </c>
      <c r="W598" s="334">
        <f t="shared" si="293"/>
        <v>-49.791897451346983</v>
      </c>
      <c r="Y598" s="307">
        <f t="shared" si="294"/>
        <v>251190</v>
      </c>
      <c r="Z598" s="307">
        <f t="shared" si="295"/>
        <v>63096416100</v>
      </c>
      <c r="AB598" s="333">
        <f t="shared" si="296"/>
        <v>18.162075463168986</v>
      </c>
      <c r="AC598" s="334">
        <f t="shared" si="297"/>
        <v>-57.936212089111478</v>
      </c>
      <c r="AE598" s="333">
        <f t="shared" si="298"/>
        <v>11.084866399932167</v>
      </c>
      <c r="AF598" s="334">
        <f t="shared" si="299"/>
        <v>-192.99718788358132</v>
      </c>
      <c r="AH598">
        <f t="shared" si="300"/>
        <v>0</v>
      </c>
      <c r="AI598">
        <f t="shared" si="275"/>
        <v>0</v>
      </c>
    </row>
    <row r="599" spans="1:35" x14ac:dyDescent="0.2">
      <c r="A599" s="335">
        <v>275420</v>
      </c>
      <c r="B599" s="352">
        <f t="shared" si="301"/>
        <v>275.42</v>
      </c>
      <c r="C599" s="325">
        <f t="shared" si="276"/>
        <v>349.34918774629466</v>
      </c>
      <c r="D599" s="326">
        <f t="shared" si="277"/>
        <v>1.5679338573783386</v>
      </c>
      <c r="E599" s="326">
        <f t="shared" si="278"/>
        <v>1.0582000151756785</v>
      </c>
      <c r="F599" s="327">
        <f t="shared" si="279"/>
        <v>0.33319887615448673</v>
      </c>
      <c r="G599" s="326">
        <f t="shared" si="280"/>
        <v>1</v>
      </c>
      <c r="H599" s="327">
        <f t="shared" si="281"/>
        <v>0</v>
      </c>
      <c r="I599" s="325">
        <f t="shared" si="282"/>
        <v>365555.55856373586</v>
      </c>
      <c r="J599" s="328">
        <f t="shared" si="283"/>
        <v>1.5707935912326092</v>
      </c>
      <c r="K599" s="336">
        <f t="shared" ref="K599:K613" si="303">SQRT(1+(A599/Zero2)^2)</f>
        <v>70.819730048108966</v>
      </c>
      <c r="L599" s="337">
        <f t="shared" ref="L599:L613" si="304">ATAN(A599/Zero2)</f>
        <v>1.556675498699984</v>
      </c>
      <c r="M599" s="325">
        <f t="shared" si="284"/>
        <v>1.9650603339721344</v>
      </c>
      <c r="N599" s="337">
        <f t="shared" si="285"/>
        <v>1.036901215541139</v>
      </c>
      <c r="O599" s="343">
        <f t="shared" si="286"/>
        <v>1.8871773283120832</v>
      </c>
      <c r="P599" s="691">
        <f t="shared" si="287"/>
        <v>1.0123232207328621</v>
      </c>
      <c r="Q599" s="336">
        <f t="shared" si="302"/>
        <v>18.781366185143703</v>
      </c>
      <c r="R599" s="692">
        <f t="shared" si="288"/>
        <v>0.64542382195459713</v>
      </c>
      <c r="S599" s="329">
        <f t="shared" si="289"/>
        <v>2.7232659362233336</v>
      </c>
      <c r="T599" s="330">
        <f t="shared" si="290"/>
        <v>2.2100911150569758</v>
      </c>
      <c r="U599" s="331">
        <f t="shared" si="291"/>
        <v>-27.389753336899794</v>
      </c>
      <c r="V599" s="332">
        <f t="shared" si="292"/>
        <v>-236.57118022724512</v>
      </c>
      <c r="W599" s="334">
        <f t="shared" si="293"/>
        <v>-56.571180227245122</v>
      </c>
      <c r="Y599" s="307">
        <f t="shared" si="294"/>
        <v>275420</v>
      </c>
      <c r="Z599" s="307">
        <f t="shared" si="295"/>
        <v>75856176400</v>
      </c>
      <c r="AB599" s="333">
        <f t="shared" si="296"/>
        <v>17.583724114022822</v>
      </c>
      <c r="AC599" s="334">
        <f t="shared" si="297"/>
        <v>-60.21897060819694</v>
      </c>
      <c r="AE599" s="333">
        <f t="shared" si="298"/>
        <v>8.964212032344598</v>
      </c>
      <c r="AF599" s="334">
        <f t="shared" si="299"/>
        <v>-197.37399669895106</v>
      </c>
      <c r="AH599">
        <f t="shared" si="300"/>
        <v>0</v>
      </c>
      <c r="AI599">
        <f t="shared" si="275"/>
        <v>0</v>
      </c>
    </row>
    <row r="600" spans="1:35" x14ac:dyDescent="0.2">
      <c r="A600" s="335">
        <v>302000</v>
      </c>
      <c r="B600" s="352">
        <f t="shared" si="301"/>
        <v>302</v>
      </c>
      <c r="C600" s="325">
        <f t="shared" si="276"/>
        <v>383.06361906628877</v>
      </c>
      <c r="D600" s="326">
        <f t="shared" si="277"/>
        <v>1.5681857914006605</v>
      </c>
      <c r="E600" s="326">
        <f t="shared" si="278"/>
        <v>1.0695903812387109</v>
      </c>
      <c r="F600" s="327">
        <f t="shared" si="279"/>
        <v>0.36271386644447046</v>
      </c>
      <c r="G600" s="326">
        <f t="shared" si="280"/>
        <v>1</v>
      </c>
      <c r="H600" s="327">
        <f t="shared" si="281"/>
        <v>0</v>
      </c>
      <c r="I600" s="325">
        <f t="shared" si="282"/>
        <v>400834.28467859526</v>
      </c>
      <c r="J600" s="328">
        <f t="shared" si="283"/>
        <v>1.570793831998323</v>
      </c>
      <c r="K600" s="336">
        <f t="shared" si="303"/>
        <v>77.653037792859209</v>
      </c>
      <c r="L600" s="337">
        <f t="shared" si="304"/>
        <v>1.5579181745668207</v>
      </c>
      <c r="M600" s="325">
        <f t="shared" si="284"/>
        <v>2.1072294227036314</v>
      </c>
      <c r="N600" s="337">
        <f t="shared" si="285"/>
        <v>1.0763358990265892</v>
      </c>
      <c r="O600" s="343">
        <f t="shared" si="286"/>
        <v>2.0198239493630856</v>
      </c>
      <c r="P600" s="691">
        <f t="shared" si="287"/>
        <v>1.0528548572168501</v>
      </c>
      <c r="Q600" s="336">
        <f t="shared" si="302"/>
        <v>19.437875794028706</v>
      </c>
      <c r="R600" s="692">
        <f t="shared" si="288"/>
        <v>0.69100531470370596</v>
      </c>
      <c r="S600" s="329">
        <f t="shared" si="289"/>
        <v>3.2234010752443667</v>
      </c>
      <c r="T600" s="330">
        <f t="shared" si="290"/>
        <v>2.3034053134257673</v>
      </c>
      <c r="U600" s="331">
        <f t="shared" si="291"/>
        <v>-29.876748753632661</v>
      </c>
      <c r="V600" s="332">
        <f t="shared" si="292"/>
        <v>-242.71863044333355</v>
      </c>
      <c r="W600" s="334">
        <f t="shared" si="293"/>
        <v>-62.718630443333552</v>
      </c>
      <c r="Y600" s="307">
        <f t="shared" si="294"/>
        <v>302000</v>
      </c>
      <c r="Z600" s="307">
        <f t="shared" si="295"/>
        <v>91204000000</v>
      </c>
      <c r="AB600" s="333">
        <f t="shared" si="296"/>
        <v>16.97685974744455</v>
      </c>
      <c r="AC600" s="334">
        <f t="shared" si="297"/>
        <v>-62.407225253234678</v>
      </c>
      <c r="AE600" s="333">
        <f t="shared" si="298"/>
        <v>6.7924972918710766</v>
      </c>
      <c r="AF600" s="334">
        <f t="shared" si="299"/>
        <v>-201.04385681853194</v>
      </c>
      <c r="AH600">
        <f t="shared" si="300"/>
        <v>0</v>
      </c>
      <c r="AI600">
        <f t="shared" si="275"/>
        <v>0</v>
      </c>
    </row>
    <row r="601" spans="1:35" x14ac:dyDescent="0.2">
      <c r="A601" s="335">
        <v>331130</v>
      </c>
      <c r="B601" s="352">
        <f t="shared" si="301"/>
        <v>331.13</v>
      </c>
      <c r="C601" s="325">
        <f t="shared" si="276"/>
        <v>420.01252808436215</v>
      </c>
      <c r="D601" s="326">
        <f t="shared" si="277"/>
        <v>1.5684154431833308</v>
      </c>
      <c r="E601" s="326">
        <f t="shared" si="278"/>
        <v>1.0831194408939908</v>
      </c>
      <c r="F601" s="327">
        <f t="shared" si="279"/>
        <v>0.39431690222805177</v>
      </c>
      <c r="G601" s="326">
        <f t="shared" si="280"/>
        <v>1</v>
      </c>
      <c r="H601" s="327">
        <f t="shared" si="281"/>
        <v>0</v>
      </c>
      <c r="I601" s="325">
        <f t="shared" si="282"/>
        <v>439497.53869388672</v>
      </c>
      <c r="J601" s="328">
        <f t="shared" si="283"/>
        <v>1.5707940514692986</v>
      </c>
      <c r="K601" s="336">
        <f t="shared" si="303"/>
        <v>85.142025735182585</v>
      </c>
      <c r="L601" s="337">
        <f t="shared" si="304"/>
        <v>1.5590509756131803</v>
      </c>
      <c r="M601" s="325">
        <f t="shared" si="284"/>
        <v>2.2663030111299385</v>
      </c>
      <c r="N601" s="337">
        <f t="shared" si="285"/>
        <v>1.1138082426540368</v>
      </c>
      <c r="O601" s="343">
        <f t="shared" si="286"/>
        <v>2.1685148916128973</v>
      </c>
      <c r="P601" s="691">
        <f t="shared" si="287"/>
        <v>1.0915110606223981</v>
      </c>
      <c r="Q601" s="336">
        <f t="shared" si="302"/>
        <v>20.198617643139897</v>
      </c>
      <c r="R601" s="692">
        <f t="shared" si="288"/>
        <v>0.73753697184681</v>
      </c>
      <c r="S601" s="329">
        <f t="shared" si="289"/>
        <v>3.8354173804309184</v>
      </c>
      <c r="T601" s="330">
        <f t="shared" si="290"/>
        <v>2.3868937126153469</v>
      </c>
      <c r="U601" s="331">
        <f t="shared" si="291"/>
        <v>-32.426087270692875</v>
      </c>
      <c r="V601" s="332">
        <f t="shared" si="292"/>
        <v>-248.23794612421651</v>
      </c>
      <c r="W601" s="334">
        <f t="shared" si="293"/>
        <v>-68.237946124216506</v>
      </c>
      <c r="Y601" s="307">
        <f t="shared" si="294"/>
        <v>331130</v>
      </c>
      <c r="Z601" s="307">
        <f t="shared" si="295"/>
        <v>109647076900</v>
      </c>
      <c r="AB601" s="333">
        <f t="shared" si="296"/>
        <v>16.344615517069464</v>
      </c>
      <c r="AC601" s="334">
        <f t="shared" si="297"/>
        <v>-64.489340249706757</v>
      </c>
      <c r="AE601" s="333">
        <f t="shared" si="298"/>
        <v>4.5918820840621404</v>
      </c>
      <c r="AF601" s="334">
        <f t="shared" si="299"/>
        <v>-204.02982724151477</v>
      </c>
      <c r="AH601">
        <f t="shared" si="300"/>
        <v>0</v>
      </c>
      <c r="AI601">
        <f t="shared" si="275"/>
        <v>0</v>
      </c>
    </row>
    <row r="602" spans="1:35" x14ac:dyDescent="0.2">
      <c r="A602" s="335">
        <v>363080</v>
      </c>
      <c r="B602" s="352">
        <f t="shared" si="301"/>
        <v>363.08</v>
      </c>
      <c r="C602" s="325">
        <f t="shared" si="276"/>
        <v>460.53838665970289</v>
      </c>
      <c r="D602" s="326">
        <f t="shared" si="277"/>
        <v>1.5686249534310739</v>
      </c>
      <c r="E602" s="326">
        <f t="shared" si="278"/>
        <v>1.0991692273089033</v>
      </c>
      <c r="F602" s="327">
        <f t="shared" si="279"/>
        <v>0.42804735489158985</v>
      </c>
      <c r="G602" s="326">
        <f t="shared" si="280"/>
        <v>1</v>
      </c>
      <c r="H602" s="327">
        <f t="shared" si="281"/>
        <v>0</v>
      </c>
      <c r="I602" s="325">
        <f t="shared" si="282"/>
        <v>481903.68238730071</v>
      </c>
      <c r="J602" s="328">
        <f t="shared" si="283"/>
        <v>1.5707942516914339</v>
      </c>
      <c r="K602" s="336">
        <f t="shared" si="303"/>
        <v>93.356107743798304</v>
      </c>
      <c r="L602" s="337">
        <f t="shared" si="304"/>
        <v>1.5600844499988848</v>
      </c>
      <c r="M602" s="325">
        <f t="shared" si="284"/>
        <v>2.4439329303964588</v>
      </c>
      <c r="N602" s="337">
        <f t="shared" si="285"/>
        <v>1.1492449227774857</v>
      </c>
      <c r="O602" s="343">
        <f t="shared" si="286"/>
        <v>2.334825480189918</v>
      </c>
      <c r="P602" s="691">
        <f t="shared" si="287"/>
        <v>1.1281884045335886</v>
      </c>
      <c r="Q602" s="336">
        <f t="shared" si="302"/>
        <v>21.077220066836883</v>
      </c>
      <c r="R602" s="692">
        <f t="shared" si="288"/>
        <v>0.78470347326951484</v>
      </c>
      <c r="S602" s="329">
        <f t="shared" si="289"/>
        <v>4.5809031636797393</v>
      </c>
      <c r="T602" s="330">
        <f t="shared" si="290"/>
        <v>2.4614210145461182</v>
      </c>
      <c r="U602" s="331">
        <f t="shared" si="291"/>
        <v>-35.024684744455186</v>
      </c>
      <c r="V602" s="332">
        <f t="shared" si="292"/>
        <v>-253.15959188167861</v>
      </c>
      <c r="W602" s="334">
        <f t="shared" si="293"/>
        <v>-73.159591881678608</v>
      </c>
      <c r="Y602" s="307">
        <f t="shared" si="294"/>
        <v>363080</v>
      </c>
      <c r="Z602" s="307">
        <f t="shared" si="295"/>
        <v>131827086400</v>
      </c>
      <c r="AB602" s="333">
        <f t="shared" si="296"/>
        <v>15.689088568644564</v>
      </c>
      <c r="AC602" s="334">
        <f t="shared" si="297"/>
        <v>-66.460510214335471</v>
      </c>
      <c r="AE602" s="333">
        <f t="shared" si="298"/>
        <v>2.3768048905518189</v>
      </c>
      <c r="AF602" s="334">
        <f t="shared" si="299"/>
        <v>-206.37931857760373</v>
      </c>
      <c r="AH602">
        <f t="shared" si="300"/>
        <v>0</v>
      </c>
      <c r="AI602">
        <f t="shared" ref="AI602:AI613" si="305">IF(AH602&gt;0,W602,0)</f>
        <v>0</v>
      </c>
    </row>
    <row r="603" spans="1:35" x14ac:dyDescent="0.2">
      <c r="A603" s="335">
        <v>398110</v>
      </c>
      <c r="B603" s="352">
        <f t="shared" si="301"/>
        <v>398.11</v>
      </c>
      <c r="C603" s="325">
        <f t="shared" si="276"/>
        <v>504.97098269350488</v>
      </c>
      <c r="D603" s="326">
        <f t="shared" si="277"/>
        <v>1.5688160136920071</v>
      </c>
      <c r="E603" s="326">
        <f t="shared" si="278"/>
        <v>1.1181591381522686</v>
      </c>
      <c r="F603" s="327">
        <f t="shared" si="279"/>
        <v>0.46387140791656895</v>
      </c>
      <c r="G603" s="326">
        <f t="shared" si="280"/>
        <v>1</v>
      </c>
      <c r="H603" s="327">
        <f t="shared" si="281"/>
        <v>0</v>
      </c>
      <c r="I603" s="325">
        <f t="shared" si="282"/>
        <v>528397.80487809516</v>
      </c>
      <c r="J603" s="328">
        <f t="shared" si="283"/>
        <v>1.5707944342813571</v>
      </c>
      <c r="K603" s="336">
        <f t="shared" si="303"/>
        <v>102.36212771472997</v>
      </c>
      <c r="L603" s="337">
        <f t="shared" si="304"/>
        <v>1.5610269332765667</v>
      </c>
      <c r="M603" s="325">
        <f t="shared" si="284"/>
        <v>2.6417137092623322</v>
      </c>
      <c r="N603" s="337">
        <f t="shared" si="285"/>
        <v>1.1825755929038211</v>
      </c>
      <c r="O603" s="343">
        <f t="shared" si="286"/>
        <v>2.5202759138143027</v>
      </c>
      <c r="P603" s="691">
        <f t="shared" si="287"/>
        <v>1.1627879785436381</v>
      </c>
      <c r="Q603" s="336">
        <f t="shared" si="302"/>
        <v>22.087322885561615</v>
      </c>
      <c r="R603" s="692">
        <f t="shared" si="288"/>
        <v>0.83211465919859029</v>
      </c>
      <c r="S603" s="329">
        <f t="shared" si="289"/>
        <v>5.485149695842841</v>
      </c>
      <c r="T603" s="330">
        <f t="shared" si="290"/>
        <v>2.527861785988692</v>
      </c>
      <c r="U603" s="331">
        <f t="shared" si="291"/>
        <v>-37.659397712023313</v>
      </c>
      <c r="V603" s="332">
        <f t="shared" si="292"/>
        <v>-257.5145157469683</v>
      </c>
      <c r="W603" s="334">
        <f t="shared" si="293"/>
        <v>-77.5145157469683</v>
      </c>
      <c r="Y603" s="307">
        <f t="shared" si="294"/>
        <v>398110</v>
      </c>
      <c r="Z603" s="307">
        <f t="shared" si="295"/>
        <v>158491572100</v>
      </c>
      <c r="AB603" s="333">
        <f t="shared" si="296"/>
        <v>15.01307539820303</v>
      </c>
      <c r="AC603" s="334">
        <f t="shared" si="297"/>
        <v>-68.316227090596868</v>
      </c>
      <c r="AE603" s="333">
        <f t="shared" si="298"/>
        <v>0.16082679818599774</v>
      </c>
      <c r="AF603" s="334">
        <f t="shared" si="299"/>
        <v>-208.14447427407347</v>
      </c>
      <c r="AH603">
        <f t="shared" si="300"/>
        <v>0</v>
      </c>
      <c r="AI603">
        <f t="shared" si="305"/>
        <v>0</v>
      </c>
    </row>
    <row r="604" spans="1:35" x14ac:dyDescent="0.2">
      <c r="A604" s="335">
        <v>436520</v>
      </c>
      <c r="B604" s="352">
        <f t="shared" si="301"/>
        <v>436.52</v>
      </c>
      <c r="C604" s="325">
        <f t="shared" si="276"/>
        <v>553.69084084313067</v>
      </c>
      <c r="D604" s="326">
        <f t="shared" si="277"/>
        <v>1.568990263790276</v>
      </c>
      <c r="E604" s="326">
        <f t="shared" si="278"/>
        <v>1.1405718043923219</v>
      </c>
      <c r="F604" s="327">
        <f t="shared" si="279"/>
        <v>0.50172714049044975</v>
      </c>
      <c r="G604" s="326">
        <f t="shared" si="280"/>
        <v>1</v>
      </c>
      <c r="H604" s="327">
        <f t="shared" si="281"/>
        <v>0</v>
      </c>
      <c r="I604" s="325">
        <f t="shared" si="282"/>
        <v>579378.08591926005</v>
      </c>
      <c r="J604" s="328">
        <f t="shared" si="283"/>
        <v>1.5707946008062472</v>
      </c>
      <c r="K604" s="336">
        <f t="shared" si="303"/>
        <v>112.23721398845774</v>
      </c>
      <c r="L604" s="337">
        <f t="shared" si="304"/>
        <v>1.5618865080690238</v>
      </c>
      <c r="M604" s="325">
        <f t="shared" si="284"/>
        <v>2.8614602802833029</v>
      </c>
      <c r="N604" s="337">
        <f t="shared" si="285"/>
        <v>1.213788907096234</v>
      </c>
      <c r="O604" s="343">
        <f t="shared" si="286"/>
        <v>2.7265910958834718</v>
      </c>
      <c r="P604" s="691">
        <f t="shared" si="287"/>
        <v>1.1952741902939821</v>
      </c>
      <c r="Q604" s="336">
        <f t="shared" si="302"/>
        <v>23.243810153869749</v>
      </c>
      <c r="R604" s="692">
        <f t="shared" si="288"/>
        <v>0.87939777346233305</v>
      </c>
      <c r="S604" s="329">
        <f t="shared" si="289"/>
        <v>6.5790735222456052</v>
      </c>
      <c r="T604" s="330">
        <f t="shared" si="290"/>
        <v>2.5871288559239614</v>
      </c>
      <c r="U604" s="331">
        <f t="shared" si="291"/>
        <v>-40.320516371110813</v>
      </c>
      <c r="V604" s="332">
        <f t="shared" si="292"/>
        <v>-261.33822957620146</v>
      </c>
      <c r="W604" s="334">
        <f t="shared" si="293"/>
        <v>-81.338229576201456</v>
      </c>
      <c r="Y604" s="307">
        <f t="shared" si="294"/>
        <v>436520</v>
      </c>
      <c r="Z604" s="307">
        <f t="shared" si="295"/>
        <v>190549710400</v>
      </c>
      <c r="AB604" s="333">
        <f t="shared" si="296"/>
        <v>14.31896622720739</v>
      </c>
      <c r="AC604" s="334">
        <f t="shared" si="297"/>
        <v>-70.055377793814969</v>
      </c>
      <c r="AE604" s="333">
        <f t="shared" si="298"/>
        <v>-2.0463363612310657</v>
      </c>
      <c r="AF604" s="334">
        <f t="shared" si="299"/>
        <v>-209.38123733523557</v>
      </c>
      <c r="AH604">
        <f t="shared" si="300"/>
        <v>0</v>
      </c>
      <c r="AI604">
        <f t="shared" si="305"/>
        <v>0</v>
      </c>
    </row>
    <row r="605" spans="1:35" x14ac:dyDescent="0.2">
      <c r="A605" s="335">
        <v>478630</v>
      </c>
      <c r="B605" s="352">
        <f t="shared" si="301"/>
        <v>478.63</v>
      </c>
      <c r="C605" s="325">
        <f t="shared" si="276"/>
        <v>607.10385422216586</v>
      </c>
      <c r="D605" s="326">
        <f t="shared" si="277"/>
        <v>1.569149161412503</v>
      </c>
      <c r="E605" s="326">
        <f t="shared" si="278"/>
        <v>1.1669443770391834</v>
      </c>
      <c r="F605" s="327">
        <f t="shared" si="279"/>
        <v>0.54149541957113911</v>
      </c>
      <c r="G605" s="326">
        <f t="shared" si="280"/>
        <v>1</v>
      </c>
      <c r="H605" s="327">
        <f t="shared" si="281"/>
        <v>0</v>
      </c>
      <c r="I605" s="325">
        <f t="shared" si="282"/>
        <v>635269.25058065145</v>
      </c>
      <c r="J605" s="328">
        <f t="shared" si="283"/>
        <v>1.5707947526592068</v>
      </c>
      <c r="K605" s="336">
        <f t="shared" si="303"/>
        <v>123.06363751293371</v>
      </c>
      <c r="L605" s="337">
        <f t="shared" si="304"/>
        <v>1.5626703602176304</v>
      </c>
      <c r="M605" s="325">
        <f t="shared" si="284"/>
        <v>3.105101322791183</v>
      </c>
      <c r="N605" s="337">
        <f t="shared" si="285"/>
        <v>1.24290154902211</v>
      </c>
      <c r="O605" s="343">
        <f t="shared" si="286"/>
        <v>2.955601149361748</v>
      </c>
      <c r="P605" s="691">
        <f t="shared" si="287"/>
        <v>1.2256433401581843</v>
      </c>
      <c r="Q605" s="336">
        <f t="shared" si="302"/>
        <v>24.56219387551716</v>
      </c>
      <c r="R605" s="692">
        <f t="shared" si="288"/>
        <v>0.92618165958182985</v>
      </c>
      <c r="S605" s="329">
        <f t="shared" si="289"/>
        <v>7.8997450761972772</v>
      </c>
      <c r="T605" s="330">
        <f t="shared" si="290"/>
        <v>2.6400623514663328</v>
      </c>
      <c r="U605" s="331">
        <f t="shared" si="291"/>
        <v>-42.999345135903049</v>
      </c>
      <c r="V605" s="332">
        <f t="shared" si="292"/>
        <v>-264.66526898549535</v>
      </c>
      <c r="W605" s="334">
        <f t="shared" si="293"/>
        <v>-84.665268985495345</v>
      </c>
      <c r="Y605" s="307">
        <f t="shared" si="294"/>
        <v>478630</v>
      </c>
      <c r="Z605" s="307">
        <f t="shared" si="295"/>
        <v>229086676900</v>
      </c>
      <c r="AB605" s="333">
        <f t="shared" si="296"/>
        <v>13.609147144884528</v>
      </c>
      <c r="AC605" s="334">
        <f t="shared" si="297"/>
        <v>-71.678506589154225</v>
      </c>
      <c r="AE605" s="333">
        <f t="shared" si="298"/>
        <v>-4.2366656287850528</v>
      </c>
      <c r="AF605" s="334">
        <f t="shared" si="299"/>
        <v>-210.14465283886673</v>
      </c>
      <c r="AH605">
        <f t="shared" si="300"/>
        <v>0</v>
      </c>
      <c r="AI605">
        <f t="shared" si="305"/>
        <v>0</v>
      </c>
    </row>
    <row r="606" spans="1:35" x14ac:dyDescent="0.2">
      <c r="A606" s="335">
        <v>524810</v>
      </c>
      <c r="B606" s="352">
        <f t="shared" si="301"/>
        <v>524.80999999999995</v>
      </c>
      <c r="C606" s="325">
        <f t="shared" si="276"/>
        <v>665.67933688847893</v>
      </c>
      <c r="D606" s="326">
        <f t="shared" si="277"/>
        <v>1.5692941014429911</v>
      </c>
      <c r="E606" s="326">
        <f t="shared" si="278"/>
        <v>1.1978875457773248</v>
      </c>
      <c r="F606" s="327">
        <f t="shared" si="279"/>
        <v>0.5830216406872536</v>
      </c>
      <c r="G606" s="326">
        <f t="shared" si="280"/>
        <v>1</v>
      </c>
      <c r="H606" s="327">
        <f t="shared" si="281"/>
        <v>0</v>
      </c>
      <c r="I606" s="325">
        <f t="shared" si="282"/>
        <v>696562.38722429052</v>
      </c>
      <c r="J606" s="328">
        <f t="shared" si="283"/>
        <v>1.5707948911733094</v>
      </c>
      <c r="K606" s="336">
        <f t="shared" si="303"/>
        <v>134.93652478766327</v>
      </c>
      <c r="L606" s="337">
        <f t="shared" si="304"/>
        <v>1.5633853670465778</v>
      </c>
      <c r="M606" s="325">
        <f t="shared" si="284"/>
        <v>3.3748567521275992</v>
      </c>
      <c r="N606" s="337">
        <f t="shared" si="285"/>
        <v>1.2699706837483897</v>
      </c>
      <c r="O606" s="343">
        <f t="shared" si="286"/>
        <v>3.2094086836574052</v>
      </c>
      <c r="P606" s="691">
        <f t="shared" si="287"/>
        <v>1.2539368937359228</v>
      </c>
      <c r="Q606" s="336">
        <f t="shared" si="302"/>
        <v>26.059506891457424</v>
      </c>
      <c r="R606" s="692">
        <f t="shared" si="288"/>
        <v>0.97214258166013301</v>
      </c>
      <c r="S606" s="329">
        <f t="shared" si="289"/>
        <v>9.4925250987830587</v>
      </c>
      <c r="T606" s="330">
        <f t="shared" si="290"/>
        <v>2.6874395862049498</v>
      </c>
      <c r="U606" s="331">
        <f t="shared" si="291"/>
        <v>-45.68947896253691</v>
      </c>
      <c r="V606" s="332">
        <f t="shared" si="292"/>
        <v>-267.53106571496573</v>
      </c>
      <c r="W606" s="334">
        <f t="shared" si="293"/>
        <v>-87.531065714965735</v>
      </c>
      <c r="Y606" s="307">
        <f t="shared" si="294"/>
        <v>524810</v>
      </c>
      <c r="Z606" s="307">
        <f t="shared" si="295"/>
        <v>275425536100</v>
      </c>
      <c r="AB606" s="333">
        <f t="shared" si="296"/>
        <v>12.885507549655149</v>
      </c>
      <c r="AC606" s="334">
        <f t="shared" si="297"/>
        <v>-73.188494828418243</v>
      </c>
      <c r="AE606" s="333">
        <f t="shared" si="298"/>
        <v>-6.4047630212158069</v>
      </c>
      <c r="AF606" s="334">
        <f t="shared" si="299"/>
        <v>-210.48819567773168</v>
      </c>
      <c r="AH606">
        <f t="shared" si="300"/>
        <v>0</v>
      </c>
      <c r="AI606">
        <f t="shared" si="305"/>
        <v>0</v>
      </c>
    </row>
    <row r="607" spans="1:35" x14ac:dyDescent="0.2">
      <c r="A607" s="335">
        <v>575440</v>
      </c>
      <c r="B607" s="352">
        <f t="shared" si="301"/>
        <v>575.44000000000005</v>
      </c>
      <c r="C607" s="325">
        <f t="shared" si="276"/>
        <v>729.8992871847305</v>
      </c>
      <c r="D607" s="326">
        <f t="shared" si="277"/>
        <v>1.5694262743364298</v>
      </c>
      <c r="E607" s="326">
        <f t="shared" si="278"/>
        <v>1.23405892100653</v>
      </c>
      <c r="F607" s="327">
        <f t="shared" si="279"/>
        <v>0.6260743033983176</v>
      </c>
      <c r="G607" s="326">
        <f t="shared" si="280"/>
        <v>1</v>
      </c>
      <c r="H607" s="327">
        <f t="shared" si="281"/>
        <v>0</v>
      </c>
      <c r="I607" s="325">
        <f t="shared" si="282"/>
        <v>763761.85687063169</v>
      </c>
      <c r="J607" s="328">
        <f t="shared" si="283"/>
        <v>1.5707950174862542</v>
      </c>
      <c r="K607" s="336">
        <f t="shared" si="303"/>
        <v>147.95357389545964</v>
      </c>
      <c r="L607" s="337">
        <f t="shared" si="304"/>
        <v>1.5640373983853715</v>
      </c>
      <c r="M607" s="325">
        <f t="shared" si="284"/>
        <v>3.6730094256272321</v>
      </c>
      <c r="N607" s="337">
        <f t="shared" si="285"/>
        <v>1.2950591798010327</v>
      </c>
      <c r="O607" s="343">
        <f t="shared" si="286"/>
        <v>3.4901746463989309</v>
      </c>
      <c r="P607" s="691">
        <f t="shared" si="287"/>
        <v>1.2802052056390434</v>
      </c>
      <c r="Q607" s="336">
        <f t="shared" si="302"/>
        <v>27.753020619370272</v>
      </c>
      <c r="R607" s="692">
        <f t="shared" si="288"/>
        <v>1.0169708005160807</v>
      </c>
      <c r="S607" s="329">
        <f t="shared" si="289"/>
        <v>11.411210537877226</v>
      </c>
      <c r="T607" s="330">
        <f t="shared" si="290"/>
        <v>2.7299179991575775</v>
      </c>
      <c r="U607" s="331">
        <f t="shared" si="291"/>
        <v>-48.383851267500944</v>
      </c>
      <c r="V607" s="332">
        <f t="shared" si="292"/>
        <v>-269.96925444724218</v>
      </c>
      <c r="W607" s="334">
        <f t="shared" si="293"/>
        <v>-89.969254447242179</v>
      </c>
      <c r="Y607" s="307">
        <f t="shared" si="294"/>
        <v>575440</v>
      </c>
      <c r="Z607" s="307">
        <f t="shared" si="295"/>
        <v>331131193600</v>
      </c>
      <c r="AB607" s="333">
        <f t="shared" si="296"/>
        <v>12.150133440284709</v>
      </c>
      <c r="AC607" s="334">
        <f t="shared" si="297"/>
        <v>-74.588608361540665</v>
      </c>
      <c r="AE607" s="333">
        <f t="shared" si="298"/>
        <v>-8.545322641429685</v>
      </c>
      <c r="AF607" s="334">
        <f t="shared" si="299"/>
        <v>-210.46286653911801</v>
      </c>
      <c r="AH607">
        <f t="shared" si="300"/>
        <v>0</v>
      </c>
      <c r="AI607">
        <f t="shared" si="305"/>
        <v>0</v>
      </c>
    </row>
    <row r="608" spans="1:35" x14ac:dyDescent="0.2">
      <c r="A608" s="335">
        <v>630960</v>
      </c>
      <c r="B608" s="352">
        <f t="shared" si="301"/>
        <v>630.96</v>
      </c>
      <c r="C608" s="325">
        <f t="shared" si="276"/>
        <v>800.32180856976527</v>
      </c>
      <c r="D608" s="326">
        <f t="shared" si="277"/>
        <v>1.5695468290934727</v>
      </c>
      <c r="E608" s="326">
        <f t="shared" si="278"/>
        <v>1.2761939255222194</v>
      </c>
      <c r="F608" s="327">
        <f t="shared" si="279"/>
        <v>0.67038911487122643</v>
      </c>
      <c r="G608" s="326">
        <f t="shared" si="280"/>
        <v>1</v>
      </c>
      <c r="H608" s="327">
        <f t="shared" si="281"/>
        <v>0</v>
      </c>
      <c r="I608" s="325">
        <f t="shared" si="282"/>
        <v>837451.65649072768</v>
      </c>
      <c r="J608" s="328">
        <f t="shared" si="283"/>
        <v>1.5707951326961183</v>
      </c>
      <c r="K608" s="336">
        <f t="shared" si="303"/>
        <v>162.22790949766244</v>
      </c>
      <c r="L608" s="337">
        <f t="shared" si="304"/>
        <v>1.5646321203027367</v>
      </c>
      <c r="M608" s="325">
        <f t="shared" si="284"/>
        <v>4.0022001544029111</v>
      </c>
      <c r="N608" s="337">
        <f t="shared" si="285"/>
        <v>1.3182580103352224</v>
      </c>
      <c r="O608" s="343">
        <f t="shared" si="286"/>
        <v>3.8003963566919818</v>
      </c>
      <c r="P608" s="691">
        <f t="shared" si="287"/>
        <v>1.3045307579546745</v>
      </c>
      <c r="Q608" s="336">
        <f t="shared" si="302"/>
        <v>29.661870460210633</v>
      </c>
      <c r="R608" s="692">
        <f t="shared" si="288"/>
        <v>1.0604270956891992</v>
      </c>
      <c r="S608" s="329">
        <f t="shared" si="289"/>
        <v>13.721481615041116</v>
      </c>
      <c r="T608" s="330">
        <f t="shared" si="290"/>
        <v>2.7680892604671352</v>
      </c>
      <c r="U608" s="331">
        <f t="shared" si="291"/>
        <v>-51.077355205734456</v>
      </c>
      <c r="V608" s="332">
        <f t="shared" si="292"/>
        <v>-272.01539968189434</v>
      </c>
      <c r="W608" s="334">
        <f t="shared" si="293"/>
        <v>-92.015399681894337</v>
      </c>
      <c r="Y608" s="307">
        <f t="shared" si="294"/>
        <v>630960</v>
      </c>
      <c r="Z608" s="307">
        <f t="shared" si="295"/>
        <v>398110521600</v>
      </c>
      <c r="AB608" s="333">
        <f t="shared" si="296"/>
        <v>11.404564830221959</v>
      </c>
      <c r="AC608" s="334">
        <f t="shared" si="297"/>
        <v>-75.883734987458894</v>
      </c>
      <c r="AE608" s="333">
        <f t="shared" si="298"/>
        <v>-10.655127132529589</v>
      </c>
      <c r="AF608" s="334">
        <f t="shared" si="299"/>
        <v>-210.11777432191553</v>
      </c>
      <c r="AH608">
        <f t="shared" si="300"/>
        <v>0</v>
      </c>
      <c r="AI608">
        <f t="shared" si="305"/>
        <v>0</v>
      </c>
    </row>
    <row r="609" spans="1:35" x14ac:dyDescent="0.2">
      <c r="A609" s="335">
        <v>691830</v>
      </c>
      <c r="B609" s="352">
        <f t="shared" si="301"/>
        <v>691.83</v>
      </c>
      <c r="C609" s="325">
        <f t="shared" si="276"/>
        <v>877.53037294251249</v>
      </c>
      <c r="D609" s="326">
        <f t="shared" si="277"/>
        <v>1.5696567648523505</v>
      </c>
      <c r="E609" s="326">
        <f t="shared" si="278"/>
        <v>1.3250736671346663</v>
      </c>
      <c r="F609" s="327">
        <f t="shared" si="279"/>
        <v>0.71563766593023515</v>
      </c>
      <c r="G609" s="326">
        <f t="shared" si="280"/>
        <v>1</v>
      </c>
      <c r="H609" s="327">
        <f t="shared" si="281"/>
        <v>0</v>
      </c>
      <c r="I609" s="325">
        <f t="shared" si="282"/>
        <v>918242.32837249676</v>
      </c>
      <c r="J609" s="328">
        <f t="shared" si="283"/>
        <v>1.5707952377577556</v>
      </c>
      <c r="K609" s="336">
        <f t="shared" si="303"/>
        <v>177.87779878390748</v>
      </c>
      <c r="L609" s="337">
        <f t="shared" si="304"/>
        <v>1.5651744601290154</v>
      </c>
      <c r="M609" s="325">
        <f t="shared" si="284"/>
        <v>4.3651954165210238</v>
      </c>
      <c r="N609" s="337">
        <f t="shared" si="285"/>
        <v>1.3396589323660539</v>
      </c>
      <c r="O609" s="343">
        <f t="shared" si="286"/>
        <v>4.1426892689194013</v>
      </c>
      <c r="P609" s="691">
        <f t="shared" si="287"/>
        <v>1.3269993088747731</v>
      </c>
      <c r="Q609" s="336">
        <f t="shared" si="302"/>
        <v>31.805761332969894</v>
      </c>
      <c r="R609" s="692">
        <f t="shared" si="288"/>
        <v>1.1023089833963267</v>
      </c>
      <c r="S609" s="329">
        <f t="shared" si="289"/>
        <v>16.501470155561908</v>
      </c>
      <c r="T609" s="330">
        <f t="shared" si="290"/>
        <v>2.8024496620867971</v>
      </c>
      <c r="U609" s="331">
        <f t="shared" si="291"/>
        <v>-53.764472311048976</v>
      </c>
      <c r="V609" s="332">
        <f t="shared" si="292"/>
        <v>-273.705270539943</v>
      </c>
      <c r="W609" s="334">
        <f t="shared" si="293"/>
        <v>-93.705270539943001</v>
      </c>
      <c r="Y609" s="307">
        <f t="shared" si="294"/>
        <v>691830</v>
      </c>
      <c r="Z609" s="307">
        <f t="shared" si="295"/>
        <v>478628748900</v>
      </c>
      <c r="AB609" s="333">
        <f t="shared" si="296"/>
        <v>10.650439346854386</v>
      </c>
      <c r="AC609" s="334">
        <f t="shared" si="297"/>
        <v>-77.078849735360492</v>
      </c>
      <c r="AE609" s="333">
        <f t="shared" si="298"/>
        <v>-12.731042843787241</v>
      </c>
      <c r="AF609" s="334">
        <f t="shared" si="299"/>
        <v>-209.50022816662886</v>
      </c>
      <c r="AH609">
        <f t="shared" si="300"/>
        <v>0</v>
      </c>
      <c r="AI609">
        <f t="shared" si="305"/>
        <v>0</v>
      </c>
    </row>
    <row r="610" spans="1:35" x14ac:dyDescent="0.2">
      <c r="A610" s="335">
        <v>758580</v>
      </c>
      <c r="B610" s="352">
        <f t="shared" si="301"/>
        <v>758.58</v>
      </c>
      <c r="C610" s="325">
        <f t="shared" si="276"/>
        <v>962.19724150098136</v>
      </c>
      <c r="D610" s="326">
        <f t="shared" si="277"/>
        <v>1.5697570386563648</v>
      </c>
      <c r="E610" s="326">
        <f t="shared" si="278"/>
        <v>1.381558588610466</v>
      </c>
      <c r="F610" s="327">
        <f t="shared" si="279"/>
        <v>0.76147336746394667</v>
      </c>
      <c r="G610" s="326">
        <f t="shared" si="280"/>
        <v>1</v>
      </c>
      <c r="H610" s="327">
        <f t="shared" si="281"/>
        <v>0</v>
      </c>
      <c r="I610" s="325">
        <f t="shared" si="282"/>
        <v>1006837.3234128893</v>
      </c>
      <c r="J610" s="328">
        <f t="shared" si="283"/>
        <v>1.5707953335857885</v>
      </c>
      <c r="K610" s="336">
        <f t="shared" si="303"/>
        <v>195.03950660347948</v>
      </c>
      <c r="L610" s="337">
        <f t="shared" si="304"/>
        <v>1.5656691379562235</v>
      </c>
      <c r="M610" s="325">
        <f t="shared" si="284"/>
        <v>4.7651863709063766</v>
      </c>
      <c r="N610" s="337">
        <f t="shared" si="285"/>
        <v>1.3593692823406551</v>
      </c>
      <c r="O610" s="343">
        <f t="shared" si="286"/>
        <v>4.520069195517066</v>
      </c>
      <c r="P610" s="691">
        <f t="shared" si="287"/>
        <v>1.3477150923578112</v>
      </c>
      <c r="Q610" s="336">
        <f t="shared" si="302"/>
        <v>34.206750798272985</v>
      </c>
      <c r="R610" s="692">
        <f t="shared" si="288"/>
        <v>1.1424877538080769</v>
      </c>
      <c r="S610" s="329">
        <f t="shared" si="289"/>
        <v>19.846388585953925</v>
      </c>
      <c r="T610" s="330">
        <f t="shared" si="290"/>
        <v>2.8334415904647949</v>
      </c>
      <c r="U610" s="331">
        <f t="shared" si="291"/>
        <v>-56.441515874320778</v>
      </c>
      <c r="V610" s="332">
        <f t="shared" si="292"/>
        <v>-275.07665966623193</v>
      </c>
      <c r="W610" s="334">
        <f t="shared" si="293"/>
        <v>-95.076659666231933</v>
      </c>
      <c r="Y610" s="307">
        <f t="shared" si="294"/>
        <v>758580</v>
      </c>
      <c r="Z610" s="307">
        <f t="shared" si="295"/>
        <v>575443616400</v>
      </c>
      <c r="AB610" s="333">
        <f t="shared" si="296"/>
        <v>9.8888922447849641</v>
      </c>
      <c r="AC610" s="334">
        <f t="shared" si="297"/>
        <v>-78.179832141713078</v>
      </c>
      <c r="AE610" s="333">
        <f t="shared" si="298"/>
        <v>-14.771673222652934</v>
      </c>
      <c r="AF610" s="334">
        <f t="shared" si="299"/>
        <v>-208.65548787755736</v>
      </c>
      <c r="AH610">
        <f t="shared" si="300"/>
        <v>0</v>
      </c>
      <c r="AI610">
        <f t="shared" si="305"/>
        <v>0</v>
      </c>
    </row>
    <row r="611" spans="1:35" x14ac:dyDescent="0.2">
      <c r="A611" s="335">
        <v>831760</v>
      </c>
      <c r="B611" s="352">
        <f t="shared" si="301"/>
        <v>831.76</v>
      </c>
      <c r="C611" s="325">
        <f t="shared" si="276"/>
        <v>1055.0200438734273</v>
      </c>
      <c r="D611" s="326">
        <f t="shared" si="277"/>
        <v>1.5698484773625152</v>
      </c>
      <c r="E611" s="326">
        <f t="shared" si="278"/>
        <v>1.4465426956497862</v>
      </c>
      <c r="F611" s="327">
        <f t="shared" si="279"/>
        <v>0.80750486318184189</v>
      </c>
      <c r="G611" s="326">
        <f t="shared" si="280"/>
        <v>1</v>
      </c>
      <c r="H611" s="327">
        <f t="shared" si="281"/>
        <v>0</v>
      </c>
      <c r="I611" s="325">
        <f t="shared" si="282"/>
        <v>1103966.6378257207</v>
      </c>
      <c r="J611" s="328">
        <f t="shared" si="283"/>
        <v>1.5707954209704218</v>
      </c>
      <c r="K611" s="336">
        <f t="shared" si="303"/>
        <v>213.85444028551714</v>
      </c>
      <c r="L611" s="337">
        <f t="shared" si="304"/>
        <v>1.5661202319568157</v>
      </c>
      <c r="M611" s="325">
        <f t="shared" si="284"/>
        <v>5.205492480803759</v>
      </c>
      <c r="N611" s="337">
        <f t="shared" si="285"/>
        <v>1.3774898994808236</v>
      </c>
      <c r="O611" s="343">
        <f t="shared" si="286"/>
        <v>4.9356731795795925</v>
      </c>
      <c r="P611" s="691">
        <f t="shared" si="287"/>
        <v>1.3667773222053212</v>
      </c>
      <c r="Q611" s="336">
        <f t="shared" si="302"/>
        <v>36.887558369560587</v>
      </c>
      <c r="R611" s="692">
        <f t="shared" si="288"/>
        <v>1.1808701828608137</v>
      </c>
      <c r="S611" s="329">
        <f t="shared" si="289"/>
        <v>23.869197430061845</v>
      </c>
      <c r="T611" s="330">
        <f t="shared" si="290"/>
        <v>2.8614333457914061</v>
      </c>
      <c r="U611" s="331">
        <f t="shared" si="291"/>
        <v>-59.10432881589827</v>
      </c>
      <c r="V611" s="332">
        <f t="shared" si="292"/>
        <v>-276.1676577139815</v>
      </c>
      <c r="W611" s="334">
        <f t="shared" si="293"/>
        <v>-96.167657713981498</v>
      </c>
      <c r="Y611" s="307">
        <f t="shared" si="294"/>
        <v>831760</v>
      </c>
      <c r="Z611" s="307">
        <f t="shared" si="295"/>
        <v>691824697600</v>
      </c>
      <c r="AB611" s="333">
        <f t="shared" si="296"/>
        <v>9.1212343889304623</v>
      </c>
      <c r="AC611" s="334">
        <f t="shared" si="297"/>
        <v>-79.192226251547069</v>
      </c>
      <c r="AE611" s="333">
        <f t="shared" si="298"/>
        <v>-16.775492818572872</v>
      </c>
      <c r="AF611" s="334">
        <f t="shared" si="299"/>
        <v>-207.62712594039658</v>
      </c>
      <c r="AH611">
        <f t="shared" si="300"/>
        <v>0</v>
      </c>
      <c r="AI611">
        <f t="shared" si="305"/>
        <v>0</v>
      </c>
    </row>
    <row r="612" spans="1:35" x14ac:dyDescent="0.2">
      <c r="A612" s="335">
        <v>912010</v>
      </c>
      <c r="B612" s="352">
        <f t="shared" si="301"/>
        <v>912.01</v>
      </c>
      <c r="C612" s="325">
        <f t="shared" si="276"/>
        <v>1156.8105673447449</v>
      </c>
      <c r="D612" s="326">
        <f t="shared" si="277"/>
        <v>1.5699318809186458</v>
      </c>
      <c r="E612" s="326">
        <f t="shared" si="278"/>
        <v>1.5210083101306304</v>
      </c>
      <c r="F612" s="327">
        <f t="shared" si="279"/>
        <v>0.85335538040201864</v>
      </c>
      <c r="G612" s="326">
        <f t="shared" si="280"/>
        <v>1</v>
      </c>
      <c r="H612" s="327">
        <f t="shared" si="281"/>
        <v>0</v>
      </c>
      <c r="I612" s="325">
        <f t="shared" si="282"/>
        <v>1210479.7217507046</v>
      </c>
      <c r="J612" s="328">
        <f t="shared" si="283"/>
        <v>1.5707955006761423</v>
      </c>
      <c r="K612" s="336">
        <f t="shared" si="303"/>
        <v>234.48714694026717</v>
      </c>
      <c r="L612" s="337">
        <f t="shared" si="304"/>
        <v>1.5665316877976379</v>
      </c>
      <c r="M612" s="325">
        <f t="shared" si="284"/>
        <v>5.6899828128687586</v>
      </c>
      <c r="N612" s="337">
        <f t="shared" si="285"/>
        <v>1.3941313368523278</v>
      </c>
      <c r="O612" s="343">
        <f t="shared" si="286"/>
        <v>5.3931573150418828</v>
      </c>
      <c r="P612" s="691">
        <f t="shared" si="287"/>
        <v>1.384296924680849</v>
      </c>
      <c r="Q612" s="336">
        <f t="shared" si="302"/>
        <v>39.874179669257963</v>
      </c>
      <c r="R612" s="692">
        <f t="shared" si="288"/>
        <v>1.2174327981106794</v>
      </c>
      <c r="S612" s="329">
        <f t="shared" si="289"/>
        <v>28.707821135296108</v>
      </c>
      <c r="T612" s="330">
        <f t="shared" si="290"/>
        <v>2.8867578031254313</v>
      </c>
      <c r="U612" s="331">
        <f t="shared" si="291"/>
        <v>-61.750902998161699</v>
      </c>
      <c r="V612" s="332">
        <f t="shared" si="292"/>
        <v>-277.01737805647394</v>
      </c>
      <c r="W612" s="334">
        <f t="shared" si="293"/>
        <v>-97.017378056473945</v>
      </c>
      <c r="Y612" s="307">
        <f t="shared" si="294"/>
        <v>912010</v>
      </c>
      <c r="Z612" s="307">
        <f t="shared" si="295"/>
        <v>831762240100</v>
      </c>
      <c r="AB612" s="333">
        <f t="shared" si="296"/>
        <v>8.3482357907059352</v>
      </c>
      <c r="AC612" s="334">
        <f t="shared" si="297"/>
        <v>-80.122140262694373</v>
      </c>
      <c r="AE612" s="333">
        <f t="shared" si="298"/>
        <v>-18.742765245099868</v>
      </c>
      <c r="AF612" s="334">
        <f t="shared" si="299"/>
        <v>-206.45584800931158</v>
      </c>
      <c r="AH612">
        <f t="shared" si="300"/>
        <v>0</v>
      </c>
      <c r="AI612">
        <f t="shared" si="305"/>
        <v>0</v>
      </c>
    </row>
    <row r="613" spans="1:35" x14ac:dyDescent="0.2">
      <c r="A613" s="335">
        <v>1000000</v>
      </c>
      <c r="B613" s="352">
        <f t="shared" si="301"/>
        <v>1000</v>
      </c>
      <c r="C613" s="325">
        <f t="shared" si="276"/>
        <v>1268.4186518004547</v>
      </c>
      <c r="D613" s="326">
        <f t="shared" si="277"/>
        <v>1.570007943478259</v>
      </c>
      <c r="E613" s="326">
        <f t="shared" si="278"/>
        <v>1.6059690845609214</v>
      </c>
      <c r="F613" s="327">
        <f t="shared" si="279"/>
        <v>0.89863709249959889</v>
      </c>
      <c r="G613" s="326">
        <f t="shared" si="280"/>
        <v>1</v>
      </c>
      <c r="H613" s="327">
        <f t="shared" si="281"/>
        <v>0</v>
      </c>
      <c r="I613" s="325">
        <f t="shared" si="282"/>
        <v>1327265.8433028532</v>
      </c>
      <c r="J613" s="328">
        <f t="shared" si="283"/>
        <v>1.5707955733663315</v>
      </c>
      <c r="K613" s="336">
        <f t="shared" si="303"/>
        <v>257.10988717714099</v>
      </c>
      <c r="L613" s="337">
        <f t="shared" si="304"/>
        <v>1.5669069294161377</v>
      </c>
      <c r="M613" s="325">
        <f t="shared" si="284"/>
        <v>6.2227167227121143</v>
      </c>
      <c r="N613" s="337">
        <f t="shared" si="285"/>
        <v>1.4093949630625939</v>
      </c>
      <c r="O613" s="343">
        <f t="shared" si="286"/>
        <v>5.8963578914950547</v>
      </c>
      <c r="P613" s="691">
        <f t="shared" si="287"/>
        <v>1.4003763891572458</v>
      </c>
      <c r="Q613" s="336">
        <f t="shared" si="302"/>
        <v>43.19379693820202</v>
      </c>
      <c r="R613" s="692">
        <f t="shared" si="288"/>
        <v>1.2521807066195438</v>
      </c>
      <c r="S613" s="329">
        <f t="shared" si="289"/>
        <v>34.526283422102949</v>
      </c>
      <c r="T613" s="330">
        <f t="shared" si="290"/>
        <v>2.90969393819049</v>
      </c>
      <c r="U613" s="331">
        <f t="shared" si="291"/>
        <v>-64.378962845313211</v>
      </c>
      <c r="V613" s="332">
        <f t="shared" si="292"/>
        <v>-277.66409768496317</v>
      </c>
      <c r="W613" s="334">
        <f t="shared" si="293"/>
        <v>-97.664097684963167</v>
      </c>
      <c r="Y613" s="307">
        <f t="shared" si="294"/>
        <v>1000000</v>
      </c>
      <c r="Z613" s="307">
        <f t="shared" si="295"/>
        <v>1000000000000</v>
      </c>
      <c r="AB613" s="333">
        <f t="shared" si="296"/>
        <v>7.5708409736062219</v>
      </c>
      <c r="AC613" s="334">
        <f t="shared" si="297"/>
        <v>-80.975186029386009</v>
      </c>
      <c r="AE613" s="333">
        <f t="shared" si="298"/>
        <v>-20.673652807923801</v>
      </c>
      <c r="AF613" s="334">
        <f t="shared" si="299"/>
        <v>-205.17989881675047</v>
      </c>
      <c r="AH613">
        <f t="shared" si="300"/>
        <v>0</v>
      </c>
      <c r="AI613">
        <f t="shared" si="305"/>
        <v>0</v>
      </c>
    </row>
    <row r="614" spans="1:35" x14ac:dyDescent="0.2">
      <c r="A614" s="338"/>
      <c r="B614" s="338"/>
      <c r="C614" s="339"/>
      <c r="D614" s="339"/>
      <c r="E614" s="339"/>
      <c r="F614" s="339"/>
      <c r="G614" s="326"/>
      <c r="H614" s="327"/>
      <c r="I614" s="339"/>
      <c r="J614" s="339"/>
      <c r="K614" s="339"/>
      <c r="L614" s="339"/>
      <c r="M614" s="339"/>
      <c r="N614" s="339"/>
      <c r="O614" s="339"/>
      <c r="P614" s="339"/>
      <c r="Q614" s="339"/>
      <c r="R614" s="339"/>
      <c r="S614" s="339"/>
      <c r="T614" s="340"/>
      <c r="U614" s="415"/>
      <c r="V614" s="332"/>
      <c r="W614" s="341"/>
      <c r="AE614" s="333"/>
      <c r="AF614" s="334"/>
    </row>
    <row r="615" spans="1:35" x14ac:dyDescent="0.2">
      <c r="A615" s="338"/>
      <c r="B615" s="338"/>
      <c r="C615" s="339"/>
      <c r="D615" s="339"/>
      <c r="E615" s="339"/>
      <c r="F615" s="339"/>
      <c r="G615" s="326"/>
      <c r="H615" s="327"/>
      <c r="I615" s="339"/>
      <c r="J615" s="339"/>
      <c r="K615" s="339"/>
      <c r="L615" s="339"/>
      <c r="M615" s="339"/>
      <c r="N615" s="339"/>
      <c r="O615" s="339"/>
      <c r="P615" s="339"/>
      <c r="Q615" s="339"/>
      <c r="R615" s="339"/>
      <c r="S615" s="339"/>
      <c r="T615" s="340"/>
      <c r="U615" s="341"/>
      <c r="V615" s="332"/>
      <c r="W615" s="341"/>
      <c r="AE615" s="333"/>
      <c r="AF615" s="334"/>
    </row>
    <row r="616" spans="1:35" x14ac:dyDescent="0.2">
      <c r="A616" s="307" t="s">
        <v>349</v>
      </c>
      <c r="G616" s="326"/>
      <c r="H616" s="327"/>
      <c r="U616" s="331"/>
      <c r="V616" s="332"/>
      <c r="W616" s="341"/>
      <c r="AE616" s="333"/>
      <c r="AF616" s="334"/>
    </row>
    <row r="617" spans="1:35" x14ac:dyDescent="0.2">
      <c r="A617" s="342">
        <f>U4*1000</f>
        <v>39131.5</v>
      </c>
      <c r="B617" s="342"/>
      <c r="C617" s="343">
        <f t="shared" ref="C617:C626" si="306">SQRT(1+(A617/pole1)^2)</f>
        <v>49.64518154029566</v>
      </c>
      <c r="D617" s="336">
        <f t="shared" ref="D617:D626" si="307">ATAN(A617/pole1)</f>
        <v>1.5506520226683205</v>
      </c>
      <c r="E617" s="336">
        <f t="shared" ref="E617:E626" si="308">SQRT(1+(A617/Zero1)^2)</f>
        <v>1.0012083157033427</v>
      </c>
      <c r="F617" s="337">
        <f t="shared" ref="F617:F626" si="309">ATAN(A617/Zero1)</f>
        <v>4.9134514702301152E-2</v>
      </c>
      <c r="G617" s="326">
        <f>IF(VIN_nom&gt;Vout, 1, SQRT(1+(A617/z_RHP)^2))</f>
        <v>1</v>
      </c>
      <c r="H617" s="327">
        <f>IF(VIN_nom&gt;Vout, 0, -ATAN(A617/z_RHP))</f>
        <v>0</v>
      </c>
      <c r="I617" s="343">
        <f t="shared" ref="I617:I626" si="310">SQRT(1+(A617/Pole2)^2)</f>
        <v>51937.903356817733</v>
      </c>
      <c r="J617" s="344">
        <f t="shared" ref="J617:J626" si="311">ATAN(A617/Pole2)</f>
        <v>1.5707770730334734</v>
      </c>
      <c r="K617" s="336">
        <f t="shared" ref="K617:K626" si="312">SQRT(1+(A617/Zero2)^2)</f>
        <v>10.110594067283692</v>
      </c>
      <c r="L617" s="337">
        <f t="shared" ref="L617:L626" si="313">ATAN(A617/Zero2)</f>
        <v>1.4717281991227127</v>
      </c>
      <c r="M617" s="343">
        <f t="shared" ref="M617:M626" si="314">SQRT(1+(A617/pole4)^2)</f>
        <v>1.0284760766933156</v>
      </c>
      <c r="N617" s="344">
        <f>ATAN(A617/pole4)</f>
        <v>0.23586589711467507</v>
      </c>
      <c r="O617" s="343">
        <f>IF(VOUT_setting=1,1,SQRT(1+(A617*zterm1)^2))</f>
        <v>1.0255274714707561</v>
      </c>
      <c r="P617" s="691">
        <f>IF(VOUT_setting=1,0,ATAN(((A617*zterm1))))</f>
        <v>0.22358891109355411</v>
      </c>
      <c r="Q617" s="336">
        <f>IF(VOUT_setting=1,1,SQRT((1+Afbr-$Q$5*(A617)^2)^2+(A617*$Q$4)^2))</f>
        <v>15.206808129969543</v>
      </c>
      <c r="R617" s="692">
        <f>IF(VOUT_setting=1,0,ATAN(A617*$Q$4/(1+Afbr-$Q$5*(A617)^2)))</f>
        <v>0.105752910475218</v>
      </c>
      <c r="S617" s="343">
        <f>SQRT((1-(A617^2/(pole3^2)))^2+(A617/(Q*pole3))^2)</f>
        <v>0.99662087446045033</v>
      </c>
      <c r="T617" s="407">
        <f>ATAN((A617/(Q*pole3))/(1-A617^2/pole3^2))</f>
        <v>0.31683693560714188</v>
      </c>
      <c r="U617" s="331">
        <f>20*LOG10(((E617*K617*G617*O617)/(C617*I617*S617*M617*Q617))*Adc)</f>
        <v>1.0170189631795079E-2</v>
      </c>
      <c r="V617" s="332">
        <f>((F617+L617+H617+P617)-(D617+J617+T617+N617+R617))*radconv</f>
        <v>-116.62173277507732</v>
      </c>
      <c r="W617" s="334">
        <f t="shared" ref="W617:W626" si="315">IF(V617&gt;0,V617,V617+180)</f>
        <v>63.378267224922681</v>
      </c>
      <c r="X617" s="307" t="s">
        <v>350</v>
      </c>
      <c r="AB617" s="333">
        <f>20*LOG10((K617/(I617*M617))*AEA)</f>
        <v>23.249185723748198</v>
      </c>
      <c r="AC617" s="334">
        <f>(L617-(J617+N617))*radconv</f>
        <v>-19.189202898274672</v>
      </c>
      <c r="AE617" s="333">
        <f>20*LOG10((E617*G617/(C617*S617))*Acs*Am)</f>
        <v>34.162199907238985</v>
      </c>
      <c r="AF617" s="334">
        <f>(F617+H617-(D617+T617))*radconv</f>
        <v>-104.18403539464894</v>
      </c>
    </row>
    <row r="618" spans="1:35" x14ac:dyDescent="0.2">
      <c r="A618" s="342">
        <f>A617</f>
        <v>39131.5</v>
      </c>
      <c r="B618" s="342"/>
      <c r="C618" s="343"/>
      <c r="D618" s="336"/>
      <c r="E618" s="336"/>
      <c r="F618" s="337"/>
      <c r="G618" s="326"/>
      <c r="H618" s="327"/>
      <c r="I618" s="343"/>
      <c r="J618" s="344"/>
      <c r="K618" s="336"/>
      <c r="L618" s="337"/>
      <c r="M618" s="325"/>
      <c r="N618" s="328"/>
      <c r="O618" s="683"/>
      <c r="P618" s="683"/>
      <c r="Q618" s="683"/>
      <c r="R618" s="683"/>
      <c r="S618" s="343"/>
      <c r="T618" s="330"/>
      <c r="U618" s="331"/>
      <c r="V618" s="332">
        <v>-135</v>
      </c>
      <c r="W618" s="334"/>
      <c r="AB618" s="333"/>
      <c r="AC618" s="334"/>
      <c r="AE618" s="333"/>
      <c r="AF618" s="334"/>
    </row>
    <row r="619" spans="1:35" x14ac:dyDescent="0.2">
      <c r="A619" s="307">
        <f>A618</f>
        <v>39131.5</v>
      </c>
      <c r="B619" s="342"/>
      <c r="C619" s="343"/>
      <c r="D619" s="336"/>
      <c r="E619" s="336"/>
      <c r="F619" s="337"/>
      <c r="G619" s="326"/>
      <c r="H619" s="327"/>
      <c r="I619" s="343"/>
      <c r="J619" s="344"/>
      <c r="K619" s="336"/>
      <c r="L619" s="337"/>
      <c r="M619" s="325"/>
      <c r="N619" s="328"/>
      <c r="O619" s="683"/>
      <c r="P619" s="683"/>
      <c r="Q619" s="683"/>
      <c r="R619" s="683"/>
      <c r="S619" s="343"/>
      <c r="T619" s="330"/>
      <c r="U619" s="331"/>
      <c r="V619" s="332"/>
      <c r="W619" s="334"/>
      <c r="AB619" s="333"/>
      <c r="AC619" s="334"/>
      <c r="AE619" s="333"/>
      <c r="AF619" s="334"/>
    </row>
    <row r="620" spans="1:35" x14ac:dyDescent="0.2">
      <c r="A620" s="342">
        <v>1000000</v>
      </c>
      <c r="B620" s="342"/>
      <c r="C620" s="343"/>
      <c r="D620" s="336"/>
      <c r="E620" s="336"/>
      <c r="F620" s="337"/>
      <c r="G620" s="326"/>
      <c r="H620" s="327"/>
      <c r="I620" s="343"/>
      <c r="J620" s="344"/>
      <c r="K620" s="336"/>
      <c r="L620" s="337"/>
      <c r="M620" s="325"/>
      <c r="N620" s="328"/>
      <c r="O620" s="683"/>
      <c r="P620" s="683"/>
      <c r="Q620" s="683"/>
      <c r="R620" s="683"/>
      <c r="S620" s="343"/>
      <c r="T620" s="330"/>
      <c r="U620" s="331"/>
      <c r="V620" s="332">
        <f>V617</f>
        <v>-116.62173277507732</v>
      </c>
      <c r="W620" s="334"/>
      <c r="AB620" s="333"/>
      <c r="AC620" s="334"/>
      <c r="AE620" s="333"/>
      <c r="AF620" s="334"/>
    </row>
    <row r="621" spans="1:35" x14ac:dyDescent="0.2">
      <c r="A621" s="342"/>
      <c r="B621" s="342"/>
      <c r="C621" s="343"/>
      <c r="D621" s="336"/>
      <c r="E621" s="336"/>
      <c r="F621" s="337"/>
      <c r="G621" s="326"/>
      <c r="H621" s="327"/>
      <c r="I621" s="343"/>
      <c r="J621" s="344"/>
      <c r="K621" s="336"/>
      <c r="L621" s="337"/>
      <c r="M621" s="325"/>
      <c r="N621" s="328"/>
      <c r="O621" s="683"/>
      <c r="P621" s="683"/>
      <c r="Q621" s="683"/>
      <c r="R621" s="683"/>
      <c r="S621" s="343"/>
      <c r="T621" s="330"/>
      <c r="U621" s="331"/>
      <c r="V621" s="332"/>
      <c r="W621" s="334"/>
      <c r="AB621" s="333"/>
      <c r="AC621" s="334"/>
      <c r="AE621" s="333"/>
      <c r="AF621" s="334"/>
    </row>
    <row r="622" spans="1:35" x14ac:dyDescent="0.2">
      <c r="A622" s="416">
        <f>pole1</f>
        <v>788.38347997702385</v>
      </c>
      <c r="B622" s="342"/>
      <c r="C622" s="343">
        <f t="shared" si="306"/>
        <v>1.4142135623730951</v>
      </c>
      <c r="D622" s="336">
        <f t="shared" si="307"/>
        <v>0.78539816339744828</v>
      </c>
      <c r="E622" s="336">
        <f t="shared" si="308"/>
        <v>1.0000004907549125</v>
      </c>
      <c r="F622" s="337">
        <f t="shared" si="309"/>
        <v>9.9071157429985357E-4</v>
      </c>
      <c r="G622" s="326">
        <f t="shared" ref="G622:G628" si="316">IF(VIN_nom&gt;Vout, 1, SQRT(1+(A622/z_RHP)^2))</f>
        <v>1</v>
      </c>
      <c r="H622" s="327">
        <f t="shared" ref="H622:H628" si="317">IF(VIN_nom&gt;Vout, 0, -ATAN(A622/z_RHP))</f>
        <v>0</v>
      </c>
      <c r="I622" s="343">
        <f t="shared" si="310"/>
        <v>1046.3949422286107</v>
      </c>
      <c r="J622" s="344">
        <f t="shared" si="311"/>
        <v>1.5698406645378857</v>
      </c>
      <c r="K622" s="336">
        <f t="shared" si="312"/>
        <v>1.0203367825877721</v>
      </c>
      <c r="L622" s="337">
        <f t="shared" si="313"/>
        <v>0.19999002862658563</v>
      </c>
      <c r="M622" s="325">
        <f t="shared" si="314"/>
        <v>1.0000117230209757</v>
      </c>
      <c r="N622" s="328">
        <f t="shared" ref="N622:N628" si="318">ATAN(A622/pole4)</f>
        <v>4.8420876597886362E-3</v>
      </c>
      <c r="O622" s="343">
        <f>IF(VOUT_setting=1,1,SQRT(1+(A622*zterm1)^2))</f>
        <v>1.0000104938705405</v>
      </c>
      <c r="P622" s="691">
        <f>IF(VOUT_setting=1,0,ATAN(((A622*zterm1))))</f>
        <v>4.5812179109302438E-3</v>
      </c>
      <c r="Q622" s="336">
        <f>IF(VOUT_setting=1,1,SQRT((1+Afbr-$Q$5*(A622)^2)^2+(A622*$Q$4)^2))</f>
        <v>15.124327369360644</v>
      </c>
      <c r="R622" s="692">
        <f>IF(VOUT_setting=1,0,ATAN(A622*$Q$4/(1+Afbr-$Q$5*(A622)^2)))</f>
        <v>2.1382371597507329E-3</v>
      </c>
      <c r="S622" s="343">
        <f t="shared" ref="S622:S628" si="319">SQRT((1-(A622^2/(pole3^2)))^2+(A622/(Q*pole3))^2)</f>
        <v>0.99999806117667445</v>
      </c>
      <c r="T622" s="330">
        <f t="shared" ref="T622:T628" si="320">ATAN((A622/(Q*pole3))/(1-A622^2/pole3^2))</f>
        <v>6.2559007891999918E-3</v>
      </c>
      <c r="U622" s="331">
        <f t="shared" ref="U622:U628" si="321">20*LOG10(((E622*K622*G622*O622)/(C622*I622*S622*M622*Q622))*Adc)</f>
        <v>44.944824219988405</v>
      </c>
      <c r="V622" s="332">
        <f t="shared" ref="V622:V628" si="322">((F622+L622+H622+P622)-(D622+J622+T622+N622+R622))*radconv</f>
        <v>-123.92579196345091</v>
      </c>
      <c r="W622" s="334">
        <f t="shared" si="315"/>
        <v>56.074208036549095</v>
      </c>
      <c r="X622" s="307" t="s">
        <v>324</v>
      </c>
      <c r="AB622" s="333">
        <f>20*LOG10((K622/(I622*M622))*AEA)</f>
        <v>37.488080800384466</v>
      </c>
      <c r="AC622" s="334">
        <f>(L622-(J622+N622))*radconv</f>
        <v>-78.764091277968816</v>
      </c>
      <c r="AE622" s="333">
        <f t="shared" ref="AE622:AE628" si="323">20*LOG10((E622*G622/(C622*S622))*Acs*Am)</f>
        <v>65.029573742019281</v>
      </c>
      <c r="AF622" s="334">
        <f t="shared" ref="AF622:AF628" si="324">(F622+H622-(D622+T622))*radconv</f>
        <v>-45.301673172116281</v>
      </c>
    </row>
    <row r="623" spans="1:35" x14ac:dyDescent="0.2">
      <c r="A623" s="416">
        <f>Zero1</f>
        <v>795774.71636878187</v>
      </c>
      <c r="B623" s="342"/>
      <c r="C623" s="343">
        <f t="shared" si="306"/>
        <v>1009.375674541436</v>
      </c>
      <c r="D623" s="336">
        <f t="shared" si="307"/>
        <v>1.5698056152205968</v>
      </c>
      <c r="E623" s="336">
        <f t="shared" si="308"/>
        <v>1.4142135623730951</v>
      </c>
      <c r="F623" s="337">
        <f t="shared" si="309"/>
        <v>0.78539816339744828</v>
      </c>
      <c r="G623" s="326">
        <f t="shared" si="316"/>
        <v>1</v>
      </c>
      <c r="H623" s="327">
        <f t="shared" si="317"/>
        <v>0</v>
      </c>
      <c r="I623" s="343">
        <f t="shared" si="310"/>
        <v>1056204.6000004737</v>
      </c>
      <c r="J623" s="344">
        <f t="shared" si="311"/>
        <v>1.5707953800086394</v>
      </c>
      <c r="K623" s="336">
        <f t="shared" si="312"/>
        <v>204.60244377817193</v>
      </c>
      <c r="L623" s="337">
        <f t="shared" si="313"/>
        <v>1.5659087801806084</v>
      </c>
      <c r="M623" s="325">
        <f t="shared" si="314"/>
        <v>4.9887738397992702</v>
      </c>
      <c r="N623" s="328">
        <f t="shared" si="318"/>
        <v>1.3689790470621606</v>
      </c>
      <c r="O623" s="343">
        <f t="shared" ref="O623:O628" si="325">IF(VOUT_setting=1,1,SQRT(1+(A623*zterm1)^2))</f>
        <v>4.7310913793753757</v>
      </c>
      <c r="P623" s="691">
        <f t="shared" ref="P623:P628" si="326">IF(VOUT_setting=1,0,ATAN(((A623*zterm1))))</f>
        <v>1.3578222420710051</v>
      </c>
      <c r="Q623" s="336">
        <f t="shared" ref="Q623:Q628" si="327">IF(VOUT_setting=1,1,SQRT((1+Afbr-$Q$5*(A623)^2)^2+(A623*$Q$4)^2))</f>
        <v>35.563623095668106</v>
      </c>
      <c r="R623" s="692">
        <f t="shared" ref="R623:R628" si="328">IF(VOUT_setting=1,0,ATAN(A623*$Q$4/(1+Afbr-$Q$5*(A623)^2)))</f>
        <v>1.1626642187088625</v>
      </c>
      <c r="S623" s="343">
        <f t="shared" si="319"/>
        <v>21.844575767901084</v>
      </c>
      <c r="T623" s="330">
        <f t="shared" si="320"/>
        <v>-0.29324977097514204</v>
      </c>
      <c r="U623" s="331">
        <f t="shared" si="321"/>
        <v>-57.827466450691752</v>
      </c>
      <c r="V623" s="332">
        <f t="shared" si="322"/>
        <v>-95.676234405402639</v>
      </c>
      <c r="W623" s="334">
        <f t="shared" si="315"/>
        <v>84.323765594597361</v>
      </c>
      <c r="X623" s="307" t="s">
        <v>319</v>
      </c>
      <c r="AB623" s="333">
        <f>20*LOG10((K623/(I623*M623))*AEA)</f>
        <v>9.4906033181427603</v>
      </c>
      <c r="AC623" s="334">
        <f>(L623-(J623+N623))*radconv</f>
        <v>-78.716703274765564</v>
      </c>
      <c r="AE623" s="333">
        <f t="shared" si="323"/>
        <v>-15.817776430984132</v>
      </c>
      <c r="AF623" s="334">
        <f t="shared" si="324"/>
        <v>-28.141262220180312</v>
      </c>
    </row>
    <row r="624" spans="1:35" x14ac:dyDescent="0.2">
      <c r="A624" s="416">
        <f>Pole2</f>
        <v>0.75342856523137813</v>
      </c>
      <c r="B624" s="342"/>
      <c r="C624" s="343">
        <f t="shared" si="306"/>
        <v>1.0000004566453484</v>
      </c>
      <c r="D624" s="336">
        <f t="shared" si="307"/>
        <v>9.556622570109862E-4</v>
      </c>
      <c r="E624" s="336">
        <f t="shared" si="308"/>
        <v>1.0000000000004481</v>
      </c>
      <c r="F624" s="337">
        <f t="shared" si="309"/>
        <v>9.4678625713209436E-7</v>
      </c>
      <c r="G624" s="326">
        <f t="shared" si="316"/>
        <v>1</v>
      </c>
      <c r="H624" s="327">
        <f t="shared" si="317"/>
        <v>0</v>
      </c>
      <c r="I624" s="343">
        <f t="shared" si="310"/>
        <v>1.4142135623730951</v>
      </c>
      <c r="J624" s="344">
        <f t="shared" si="311"/>
        <v>0.78539816339744828</v>
      </c>
      <c r="K624" s="336">
        <f t="shared" si="312"/>
        <v>1.00000001876226</v>
      </c>
      <c r="L624" s="337">
        <f t="shared" si="313"/>
        <v>1.9371246578629529E-4</v>
      </c>
      <c r="M624" s="325">
        <f t="shared" si="314"/>
        <v>1.0000000000107065</v>
      </c>
      <c r="N624" s="328">
        <f t="shared" si="318"/>
        <v>4.6274379950245358E-6</v>
      </c>
      <c r="O624" s="343">
        <f t="shared" si="325"/>
        <v>1.0000000000095839</v>
      </c>
      <c r="P624" s="691">
        <f t="shared" si="326"/>
        <v>4.3781290102035654E-6</v>
      </c>
      <c r="Q624" s="336">
        <f t="shared" si="327"/>
        <v>15.124293785341408</v>
      </c>
      <c r="R624" s="692">
        <f t="shared" si="328"/>
        <v>2.0434361525914971E-6</v>
      </c>
      <c r="S624" s="343">
        <f t="shared" si="319"/>
        <v>0.99999999999822897</v>
      </c>
      <c r="T624" s="330">
        <f t="shared" si="320"/>
        <v>5.9784795005203766E-6</v>
      </c>
      <c r="U624" s="331">
        <f t="shared" si="321"/>
        <v>105.16387105295154</v>
      </c>
      <c r="V624" s="332">
        <f t="shared" si="322"/>
        <v>-45.044076218114931</v>
      </c>
      <c r="W624" s="334">
        <f t="shared" si="315"/>
        <v>134.95592378188508</v>
      </c>
      <c r="X624" s="307" t="s">
        <v>327</v>
      </c>
      <c r="AA624" s="307">
        <f>Pole2</f>
        <v>0.75342856523137813</v>
      </c>
      <c r="AB624" s="333">
        <f>20*LOG10((K624/(I624*M624))*AEA)</f>
        <v>94.696924606864343</v>
      </c>
      <c r="AC624" s="334">
        <f>(L624-(J624+N624))*radconv</f>
        <v>-44.989166277346058</v>
      </c>
      <c r="AE624" s="333">
        <f t="shared" si="323"/>
        <v>68.039848629244446</v>
      </c>
      <c r="AF624" s="334">
        <f t="shared" si="324"/>
        <v>-5.5043708816223315E-2</v>
      </c>
    </row>
    <row r="625" spans="1:32" x14ac:dyDescent="0.2">
      <c r="A625" s="416">
        <f>Zero2</f>
        <v>3889.4169910497644</v>
      </c>
      <c r="B625" s="342"/>
      <c r="C625" s="343">
        <f t="shared" si="306"/>
        <v>5.0337371591114337</v>
      </c>
      <c r="D625" s="336">
        <f t="shared" si="307"/>
        <v>1.3708062981683109</v>
      </c>
      <c r="E625" s="336">
        <f t="shared" si="308"/>
        <v>1.0000119441748383</v>
      </c>
      <c r="F625" s="337">
        <f t="shared" si="309"/>
        <v>4.8875466142881234E-3</v>
      </c>
      <c r="G625" s="326">
        <f t="shared" si="316"/>
        <v>1</v>
      </c>
      <c r="H625" s="327">
        <f t="shared" si="317"/>
        <v>0</v>
      </c>
      <c r="I625" s="343">
        <f t="shared" si="310"/>
        <v>5162.2904194368793</v>
      </c>
      <c r="J625" s="344">
        <f t="shared" si="311"/>
        <v>1.5706026143291103</v>
      </c>
      <c r="K625" s="336">
        <f t="shared" si="312"/>
        <v>1.4142135623730951</v>
      </c>
      <c r="L625" s="337">
        <f t="shared" si="313"/>
        <v>0.78539816339744828</v>
      </c>
      <c r="M625" s="325">
        <f t="shared" si="314"/>
        <v>1.0002852818402985</v>
      </c>
      <c r="N625" s="328">
        <f t="shared" si="318"/>
        <v>2.3883636044984249E-2</v>
      </c>
      <c r="O625" s="343">
        <f t="shared" si="325"/>
        <v>1.0002553739030366</v>
      </c>
      <c r="P625" s="691">
        <f t="shared" si="326"/>
        <v>2.2597325875065844E-2</v>
      </c>
      <c r="Q625" s="336">
        <f t="shared" si="327"/>
        <v>15.125111149877608</v>
      </c>
      <c r="R625" s="692">
        <f t="shared" si="328"/>
        <v>1.0548436233931436E-2</v>
      </c>
      <c r="S625" s="343">
        <f t="shared" si="319"/>
        <v>0.99995294223661657</v>
      </c>
      <c r="T625" s="330">
        <f t="shared" si="320"/>
        <v>3.0869001518463238E-2</v>
      </c>
      <c r="U625" s="331">
        <f t="shared" si="321"/>
        <v>22.88959879348015</v>
      </c>
      <c r="V625" s="332">
        <f t="shared" si="322"/>
        <v>-125.69702538406423</v>
      </c>
      <c r="W625" s="334">
        <f t="shared" si="315"/>
        <v>54.302974615935767</v>
      </c>
      <c r="X625" s="307" t="s">
        <v>322</v>
      </c>
      <c r="AA625" s="307">
        <f>Zero2</f>
        <v>3889.4169910497644</v>
      </c>
      <c r="AB625" s="333">
        <f>20*LOG10((K625/(I625*M625))*AEA)</f>
        <v>26.458198116567679</v>
      </c>
      <c r="AC625" s="334">
        <f>(L625-(J625+N625))*radconv</f>
        <v>-46.357332691046473</v>
      </c>
      <c r="AE625" s="333">
        <f t="shared" si="323"/>
        <v>54.00255439398169</v>
      </c>
      <c r="AF625" s="334">
        <f t="shared" si="324"/>
        <v>-80.030043218062474</v>
      </c>
    </row>
    <row r="626" spans="1:32" x14ac:dyDescent="0.2">
      <c r="A626" s="416">
        <f>pole3</f>
        <v>170000</v>
      </c>
      <c r="B626" s="342"/>
      <c r="C626" s="343">
        <f t="shared" si="306"/>
        <v>215.63342255596581</v>
      </c>
      <c r="D626" s="336">
        <f t="shared" si="307"/>
        <v>1.5661588101586423</v>
      </c>
      <c r="E626" s="336">
        <f t="shared" si="308"/>
        <v>1.0225639591958742</v>
      </c>
      <c r="F626" s="337">
        <f t="shared" si="309"/>
        <v>0.21046469663075851</v>
      </c>
      <c r="G626" s="326">
        <f t="shared" si="316"/>
        <v>1</v>
      </c>
      <c r="H626" s="327">
        <f t="shared" si="317"/>
        <v>0</v>
      </c>
      <c r="I626" s="343">
        <f t="shared" si="310"/>
        <v>225635.19336363696</v>
      </c>
      <c r="J626" s="344">
        <f t="shared" si="311"/>
        <v>1.57079189486216</v>
      </c>
      <c r="K626" s="336">
        <f t="shared" si="312"/>
        <v>43.719788186067397</v>
      </c>
      <c r="L626" s="337">
        <f t="shared" si="313"/>
        <v>1.5479213940186238</v>
      </c>
      <c r="M626" s="325">
        <f t="shared" si="314"/>
        <v>1.4457426045397559</v>
      </c>
      <c r="N626" s="328">
        <f t="shared" si="318"/>
        <v>0.80697525994389407</v>
      </c>
      <c r="O626" s="343">
        <f t="shared" si="325"/>
        <v>1.4056554882028613</v>
      </c>
      <c r="P626" s="691">
        <f t="shared" si="326"/>
        <v>0.77929116221068917</v>
      </c>
      <c r="Q626" s="336">
        <f t="shared" si="327"/>
        <v>16.612679390519357</v>
      </c>
      <c r="R626" s="692">
        <f t="shared" si="328"/>
        <v>0.4331833107161438</v>
      </c>
      <c r="S626" s="343">
        <f t="shared" si="319"/>
        <v>1.348955378096782</v>
      </c>
      <c r="T626" s="330" t="e">
        <f t="shared" si="320"/>
        <v>#DIV/0!</v>
      </c>
      <c r="U626" s="331">
        <f t="shared" si="321"/>
        <v>-16.220397873309643</v>
      </c>
      <c r="V626" s="332" t="e">
        <f t="shared" si="322"/>
        <v>#DIV/0!</v>
      </c>
      <c r="W626" s="334" t="e">
        <f t="shared" si="315"/>
        <v>#DIV/0!</v>
      </c>
      <c r="X626" s="307" t="s">
        <v>320</v>
      </c>
      <c r="AB626" s="333">
        <f>20*LOG10((K626/(I626*M626))*AEA)</f>
        <v>20.250829006219341</v>
      </c>
      <c r="AC626" s="334">
        <f>(L626-(J626+N626))*radconv</f>
        <v>-47.546659794272642</v>
      </c>
      <c r="AE626" s="333">
        <f t="shared" si="323"/>
        <v>18.959389028796888</v>
      </c>
      <c r="AF626" s="334" t="e">
        <f t="shared" si="324"/>
        <v>#DIV/0!</v>
      </c>
    </row>
    <row r="627" spans="1:32" ht="13.5" thickBot="1" x14ac:dyDescent="0.25">
      <c r="A627" s="393">
        <f>Fp2_u</f>
        <v>162817.6468352669</v>
      </c>
      <c r="C627" s="343">
        <f>SQRT(1+(A627/pole1)^2)</f>
        <v>206.52329695531049</v>
      </c>
      <c r="D627" s="336">
        <f>ATAN(A627/pole1)</f>
        <v>1.565954239135108</v>
      </c>
      <c r="E627" s="336">
        <f>SQRT(1+(A627/Zero1)^2)</f>
        <v>1.0207165426113314</v>
      </c>
      <c r="F627" s="337">
        <f>ATAN(A627/Zero1)</f>
        <v>0.201817279732736</v>
      </c>
      <c r="G627" s="326">
        <f t="shared" si="316"/>
        <v>1</v>
      </c>
      <c r="H627" s="327">
        <f t="shared" si="317"/>
        <v>0</v>
      </c>
      <c r="I627" s="343">
        <f>SQRT(1+(A627/Pole2)^2)</f>
        <v>216102.30133364905</v>
      </c>
      <c r="J627" s="344">
        <f>ATAN(A627/Pole2)</f>
        <v>1.5707916993569015</v>
      </c>
      <c r="K627" s="336">
        <f>SQRT(1+(A627/Zero2)^2)</f>
        <v>41.873652562316721</v>
      </c>
      <c r="L627" s="337">
        <f>ATAN(A627/Zero2)</f>
        <v>1.5469126907499124</v>
      </c>
      <c r="M627" s="325">
        <f>SQRT(1+(A627/pole4)^2)</f>
        <v>1.4142135623730951</v>
      </c>
      <c r="N627" s="328">
        <f t="shared" si="318"/>
        <v>0.78539816339744828</v>
      </c>
      <c r="O627" s="343">
        <f t="shared" si="325"/>
        <v>1.3766445289498301</v>
      </c>
      <c r="P627" s="691">
        <f t="shared" si="326"/>
        <v>0.75772135814206187</v>
      </c>
      <c r="Q627" s="336">
        <f t="shared" si="327"/>
        <v>16.494660963422522</v>
      </c>
      <c r="R627" s="692">
        <f t="shared" si="328"/>
        <v>0.4168739476055241</v>
      </c>
      <c r="S627" s="343">
        <f t="shared" si="319"/>
        <v>1.2946081808115779</v>
      </c>
      <c r="T627" s="330">
        <f t="shared" si="320"/>
        <v>1.5068621878270489</v>
      </c>
      <c r="U627" s="331">
        <f t="shared" si="321"/>
        <v>-15.43147044723</v>
      </c>
      <c r="V627" s="332">
        <f t="shared" si="322"/>
        <v>-191.33518267096716</v>
      </c>
      <c r="W627" s="334">
        <f>IF(V627&gt;0,V627,V627+180)</f>
        <v>-11.335182670967157</v>
      </c>
      <c r="X627" s="307" t="s">
        <v>332</v>
      </c>
      <c r="AB627" s="345"/>
      <c r="AC627" s="346"/>
      <c r="AE627" s="333">
        <f t="shared" si="323"/>
        <v>19.675807731105643</v>
      </c>
      <c r="AF627" s="334">
        <f t="shared" si="324"/>
        <v>-164.49613430986849</v>
      </c>
    </row>
    <row r="628" spans="1:32" x14ac:dyDescent="0.2">
      <c r="A628" s="393">
        <f>z_RHP</f>
        <v>0</v>
      </c>
      <c r="C628" s="343">
        <f>SQRT(1+(A628/pole1)^2)</f>
        <v>1</v>
      </c>
      <c r="D628" s="336">
        <f>ATAN(A628/pole1)</f>
        <v>0</v>
      </c>
      <c r="E628" s="336">
        <f>SQRT(1+(A628/Zero1)^2)</f>
        <v>1</v>
      </c>
      <c r="F628" s="337">
        <f>ATAN(A628/Zero1)</f>
        <v>0</v>
      </c>
      <c r="G628" s="326">
        <f t="shared" si="316"/>
        <v>1</v>
      </c>
      <c r="H628" s="327">
        <f t="shared" si="317"/>
        <v>0</v>
      </c>
      <c r="I628" s="343">
        <f>SQRT(1+(A628/Pole2)^2)</f>
        <v>1</v>
      </c>
      <c r="J628" s="344">
        <f>ATAN(A628/Pole2)</f>
        <v>0</v>
      </c>
      <c r="K628" s="336">
        <f>SQRT(1+(A628/Zero2)^2)</f>
        <v>1</v>
      </c>
      <c r="L628" s="337">
        <f>ATAN(A628/Zero2)</f>
        <v>0</v>
      </c>
      <c r="M628" s="325">
        <f>SQRT(1+(A628/pole4)^2)</f>
        <v>1</v>
      </c>
      <c r="N628" s="328">
        <f t="shared" si="318"/>
        <v>0</v>
      </c>
      <c r="O628" s="343">
        <f t="shared" si="325"/>
        <v>1</v>
      </c>
      <c r="P628" s="691">
        <f t="shared" si="326"/>
        <v>0</v>
      </c>
      <c r="Q628" s="336">
        <f t="shared" si="327"/>
        <v>15.124293785310735</v>
      </c>
      <c r="R628" s="692">
        <f t="shared" si="328"/>
        <v>0</v>
      </c>
      <c r="S628" s="343">
        <f t="shared" si="319"/>
        <v>1</v>
      </c>
      <c r="T628" s="330">
        <f t="shared" si="320"/>
        <v>0</v>
      </c>
      <c r="U628" s="331">
        <f t="shared" si="321"/>
        <v>108.17417481300271</v>
      </c>
      <c r="V628" s="332">
        <f t="shared" si="322"/>
        <v>0</v>
      </c>
      <c r="W628" s="334">
        <f>IF(V628&gt;0,V628,V628+180)</f>
        <v>180</v>
      </c>
      <c r="X628" s="307" t="s">
        <v>426</v>
      </c>
      <c r="AB628" s="341"/>
      <c r="AC628" s="341"/>
      <c r="AE628" s="333">
        <f t="shared" si="323"/>
        <v>68.039852595595363</v>
      </c>
      <c r="AF628" s="334">
        <f t="shared" si="324"/>
        <v>0</v>
      </c>
    </row>
    <row r="629" spans="1:32" x14ac:dyDescent="0.2">
      <c r="A629" s="393">
        <f>Fp2_u</f>
        <v>162817.6468352669</v>
      </c>
      <c r="U629" s="331">
        <v>-25</v>
      </c>
    </row>
    <row r="631" spans="1:32" x14ac:dyDescent="0.2">
      <c r="D631" s="307" t="s">
        <v>351</v>
      </c>
      <c r="E631" s="307" t="s">
        <v>352</v>
      </c>
    </row>
    <row r="632" spans="1:32" x14ac:dyDescent="0.2">
      <c r="A632" s="307" t="s">
        <v>324</v>
      </c>
      <c r="B632" s="307" t="s">
        <v>423</v>
      </c>
      <c r="C632" s="347">
        <f>pole1</f>
        <v>788.38347997702385</v>
      </c>
      <c r="D632" s="347">
        <f>U622</f>
        <v>44.944824219988405</v>
      </c>
      <c r="E632" s="347">
        <f>AE622</f>
        <v>65.029573742019281</v>
      </c>
    </row>
    <row r="633" spans="1:32" x14ac:dyDescent="0.2">
      <c r="A633" s="307" t="s">
        <v>319</v>
      </c>
      <c r="B633" s="307" t="s">
        <v>433</v>
      </c>
      <c r="C633" s="347">
        <f>Zero1</f>
        <v>795774.71636878187</v>
      </c>
      <c r="D633" s="347">
        <f>U623</f>
        <v>-57.827466450691752</v>
      </c>
      <c r="E633" s="347">
        <f>AE623</f>
        <v>-15.817776430984132</v>
      </c>
    </row>
    <row r="634" spans="1:32" x14ac:dyDescent="0.2">
      <c r="A634" s="307" t="s">
        <v>327</v>
      </c>
      <c r="B634" s="307" t="s">
        <v>434</v>
      </c>
      <c r="C634" s="347">
        <f>Pole2</f>
        <v>0.75342856523137813</v>
      </c>
      <c r="D634" s="347">
        <f>U624</f>
        <v>105.16387105295154</v>
      </c>
      <c r="E634" s="347">
        <f>AE624</f>
        <v>68.039848629244446</v>
      </c>
    </row>
    <row r="635" spans="1:32" x14ac:dyDescent="0.2">
      <c r="A635" s="307" t="s">
        <v>322</v>
      </c>
      <c r="B635" s="307" t="s">
        <v>435</v>
      </c>
      <c r="C635" s="347">
        <f>Zero2</f>
        <v>3889.4169910497644</v>
      </c>
      <c r="D635" s="347">
        <f>U625</f>
        <v>22.88959879348015</v>
      </c>
      <c r="E635" s="347">
        <f>AE625</f>
        <v>54.00255439398169</v>
      </c>
    </row>
    <row r="636" spans="1:32" x14ac:dyDescent="0.2">
      <c r="A636" s="307" t="s">
        <v>320</v>
      </c>
      <c r="B636" s="307" t="s">
        <v>432</v>
      </c>
      <c r="C636" s="307">
        <f>pole3</f>
        <v>170000</v>
      </c>
      <c r="D636" s="347">
        <f>U626</f>
        <v>-16.220397873309643</v>
      </c>
      <c r="E636" s="347">
        <f>AE626</f>
        <v>18.959389028796888</v>
      </c>
    </row>
    <row r="637" spans="1:32" x14ac:dyDescent="0.2">
      <c r="C637" s="393"/>
      <c r="D637" s="347"/>
      <c r="E637" s="347"/>
    </row>
    <row r="639" spans="1:32" x14ac:dyDescent="0.2">
      <c r="A639" s="347">
        <f>U4*1000</f>
        <v>39131.5</v>
      </c>
    </row>
    <row r="640" spans="1:32" x14ac:dyDescent="0.2">
      <c r="A640" s="347">
        <f>U4*1000</f>
        <v>39131.5</v>
      </c>
    </row>
    <row r="687" spans="34:35" x14ac:dyDescent="0.2">
      <c r="AH687" t="s">
        <v>44</v>
      </c>
      <c r="AI687" s="4">
        <f>SUM(AI689:AI1306)</f>
        <v>0</v>
      </c>
    </row>
  </sheetData>
  <mergeCells count="24">
    <mergeCell ref="B10:B11"/>
    <mergeCell ref="A2:D2"/>
    <mergeCell ref="J2:L2"/>
    <mergeCell ref="A10:A12"/>
    <mergeCell ref="S10:T10"/>
    <mergeCell ref="T2:V2"/>
    <mergeCell ref="G11:H11"/>
    <mergeCell ref="E2:G2"/>
    <mergeCell ref="C10:H10"/>
    <mergeCell ref="I10:N10"/>
    <mergeCell ref="U10:W10"/>
    <mergeCell ref="O10:R10"/>
    <mergeCell ref="M2:O2"/>
    <mergeCell ref="P2:S2"/>
    <mergeCell ref="AB10:AC10"/>
    <mergeCell ref="AE10:AF10"/>
    <mergeCell ref="C11:D11"/>
    <mergeCell ref="E11:F11"/>
    <mergeCell ref="I11:J11"/>
    <mergeCell ref="K11:L11"/>
    <mergeCell ref="M11:N11"/>
    <mergeCell ref="S11:T11"/>
    <mergeCell ref="O11:P11"/>
    <mergeCell ref="Q11:R11"/>
  </mergeCells>
  <pageMargins left="0.75" right="0.75" top="1" bottom="1" header="0.5" footer="0.5"/>
  <pageSetup scale="48" orientation="portrait" horizontalDpi="300" verticalDpi="300" r:id="rId1"/>
  <headerFooter alignWithMargins="0"/>
  <colBreaks count="1" manualBreakCount="1">
    <brk id="23" max="1048575" man="1"/>
  </colBreaks>
  <ignoredErrors>
    <ignoredError sqref="F13 A62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N9"/>
  <sheetViews>
    <sheetView topLeftCell="A7" zoomScaleNormal="100" workbookViewId="0">
      <selection activeCell="B19" sqref="B19"/>
    </sheetView>
  </sheetViews>
  <sheetFormatPr defaultRowHeight="12.75" x14ac:dyDescent="0.2"/>
  <cols>
    <col min="1" max="1" width="10.5703125" customWidth="1"/>
    <col min="2" max="2" width="129.28515625" customWidth="1"/>
  </cols>
  <sheetData>
    <row r="1" spans="1:14" x14ac:dyDescent="0.2">
      <c r="J1" s="113" t="s">
        <v>590</v>
      </c>
      <c r="N1" s="113" t="s">
        <v>592</v>
      </c>
    </row>
    <row r="2" spans="1:14" x14ac:dyDescent="0.2">
      <c r="A2" t="str">
        <f>CHOOSE(BODE_PLOT_TYPE, "BODE_PLOT_Ch1", "BODE_PLOT_Ch2")</f>
        <v>BODE_PLOT_Ch1</v>
      </c>
      <c r="J2" s="113" t="s">
        <v>591</v>
      </c>
      <c r="N2" s="113" t="s">
        <v>682</v>
      </c>
    </row>
    <row r="3" spans="1:14" x14ac:dyDescent="0.2">
      <c r="J3" s="113" t="s">
        <v>589</v>
      </c>
    </row>
    <row r="4" spans="1:14" x14ac:dyDescent="0.2">
      <c r="J4" s="113" t="s">
        <v>588</v>
      </c>
    </row>
    <row r="5" spans="1:14" ht="409.5" customHeight="1" x14ac:dyDescent="0.2">
      <c r="B5" s="521"/>
    </row>
    <row r="6" spans="1:14" ht="12" customHeight="1" x14ac:dyDescent="0.2">
      <c r="B6" s="521"/>
      <c r="F6">
        <f ca="1">INDIRECT(A2)</f>
        <v>0</v>
      </c>
    </row>
    <row r="7" spans="1:14" ht="34.5" customHeight="1" x14ac:dyDescent="0.2"/>
    <row r="8" spans="1:14" ht="409.5" customHeight="1" x14ac:dyDescent="0.2">
      <c r="B8" s="521"/>
    </row>
    <row r="9" spans="1:14" x14ac:dyDescent="0.2">
      <c r="B9" s="5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92D050"/>
  </sheetPr>
  <dimension ref="A1:BM209"/>
  <sheetViews>
    <sheetView zoomScaleNormal="100" workbookViewId="0">
      <pane ySplit="8" topLeftCell="A33" activePane="bottomLeft" state="frozen"/>
      <selection activeCell="F1" sqref="F1"/>
      <selection pane="bottomLeft" activeCell="B67" sqref="B67"/>
    </sheetView>
  </sheetViews>
  <sheetFormatPr defaultRowHeight="12.75" x14ac:dyDescent="0.2"/>
  <cols>
    <col min="1" max="1" width="19.7109375" customWidth="1"/>
    <col min="2" max="2" width="13.140625" bestFit="1" customWidth="1"/>
    <col min="4" max="4" width="74.5703125" customWidth="1"/>
    <col min="6" max="6" width="9.140625" customWidth="1"/>
    <col min="7" max="7" width="6.7109375" customWidth="1"/>
    <col min="8" max="8" width="9.140625" style="530"/>
    <col min="9" max="10" width="9.7109375" customWidth="1"/>
    <col min="11" max="11" width="8.140625" customWidth="1"/>
    <col min="12" max="12" width="7.42578125" customWidth="1"/>
    <col min="13" max="13" width="10.7109375" style="348" customWidth="1"/>
    <col min="14" max="16" width="8.7109375" style="4" customWidth="1"/>
    <col min="17" max="17" width="12.140625" style="4" customWidth="1"/>
    <col min="18" max="18" width="8" style="4" customWidth="1"/>
    <col min="19" max="19" width="9.42578125" style="300" customWidth="1"/>
    <col min="20" max="20" width="8" customWidth="1"/>
    <col min="21" max="21" width="9.28515625" customWidth="1"/>
    <col min="22" max="22" width="8.7109375" style="4" customWidth="1"/>
    <col min="23" max="23" width="9.7109375" customWidth="1"/>
    <col min="24" max="24" width="10.7109375" customWidth="1"/>
    <col min="25" max="25" width="9.7109375" style="300" customWidth="1"/>
    <col min="26" max="26" width="10.5703125" customWidth="1"/>
    <col min="28" max="29" width="8.5703125" customWidth="1"/>
    <col min="30" max="30" width="11.7109375" customWidth="1"/>
    <col min="31" max="31" width="12.7109375" customWidth="1"/>
    <col min="32" max="32" width="8" customWidth="1"/>
    <col min="33" max="33" width="9.7109375" customWidth="1"/>
    <col min="34" max="35" width="8.7109375" customWidth="1"/>
    <col min="36" max="36" width="10.5703125" customWidth="1"/>
    <col min="37" max="37" width="10.28515625" customWidth="1"/>
    <col min="38" max="38" width="13.7109375" customWidth="1"/>
    <col min="39" max="39" width="12" style="300" customWidth="1"/>
    <col min="40" max="40" width="11.5703125" customWidth="1"/>
    <col min="41" max="41" width="9.28515625" customWidth="1"/>
    <col min="42" max="43" width="10.42578125" customWidth="1"/>
    <col min="44" max="44" width="14.7109375" customWidth="1"/>
    <col min="46" max="46" width="8.42578125" style="4" customWidth="1"/>
    <col min="47" max="47" width="7.28515625" customWidth="1"/>
    <col min="48" max="48" width="10.140625" style="9" customWidth="1"/>
    <col min="49" max="49" width="12.42578125" style="366" customWidth="1"/>
    <col min="50" max="50" width="11.42578125" style="366" customWidth="1"/>
    <col min="51" max="51" width="3.28515625" customWidth="1"/>
    <col min="52" max="52" width="7.7109375" style="348" customWidth="1"/>
    <col min="53" max="53" width="9.140625" style="300"/>
    <col min="54" max="54" width="10.28515625" style="300" customWidth="1"/>
    <col min="55" max="55" width="12.140625" style="300" customWidth="1"/>
    <col min="56" max="56" width="8.7109375" style="300" customWidth="1"/>
    <col min="57" max="57" width="7.7109375" customWidth="1"/>
    <col min="61" max="61" width="28.42578125" customWidth="1"/>
    <col min="64" max="64" width="12.42578125" bestFit="1" customWidth="1"/>
  </cols>
  <sheetData>
    <row r="1" spans="1:65" ht="12.75" customHeight="1" x14ac:dyDescent="0.2">
      <c r="A1" s="884" t="s">
        <v>675</v>
      </c>
      <c r="B1" s="884"/>
      <c r="C1" s="884"/>
      <c r="D1" s="884"/>
    </row>
    <row r="2" spans="1:65" ht="12.75" customHeight="1" x14ac:dyDescent="0.2">
      <c r="A2" s="884"/>
      <c r="B2" s="884"/>
      <c r="C2" s="884"/>
      <c r="D2" s="884"/>
      <c r="H2" s="535">
        <f>AV19</f>
        <v>0.90972045083571562</v>
      </c>
      <c r="I2" s="113" t="s">
        <v>580</v>
      </c>
      <c r="J2" s="113"/>
      <c r="AK2" s="113"/>
    </row>
    <row r="3" spans="1:65" ht="12.75" customHeight="1" x14ac:dyDescent="0.2">
      <c r="A3" s="884"/>
      <c r="B3" s="884"/>
      <c r="C3" s="884"/>
      <c r="D3" s="884"/>
      <c r="H3" s="535">
        <f>AV59</f>
        <v>0.96106724772738217</v>
      </c>
      <c r="I3" s="113" t="s">
        <v>582</v>
      </c>
      <c r="J3" s="113"/>
      <c r="AK3" s="113"/>
      <c r="AP3">
        <f>IF(MODE=1, (Qg_Q1+Qg_Q2)*Fsw*Vin, (Qg_Q1+Qg_Q2+Qg_Q3+Qg_Q4)*Fsw*Vin)</f>
        <v>0.56099999999999994</v>
      </c>
    </row>
    <row r="4" spans="1:65" ht="12.75" customHeight="1" x14ac:dyDescent="0.2">
      <c r="A4" s="884"/>
      <c r="B4" s="884"/>
      <c r="C4" s="884"/>
      <c r="D4" s="884"/>
      <c r="H4" s="535">
        <f>AV109</f>
        <v>0.96512038031581071</v>
      </c>
      <c r="I4" s="113" t="s">
        <v>581</v>
      </c>
      <c r="J4" s="113"/>
      <c r="AK4" s="113"/>
      <c r="AO4" s="113" t="s">
        <v>710</v>
      </c>
      <c r="AP4">
        <f>(Qg_Q1+Qg_Q2)*Fsw*1000</f>
        <v>11.219999999999999</v>
      </c>
      <c r="AQ4" s="113" t="s">
        <v>64</v>
      </c>
      <c r="AR4">
        <f>AP4*5/1000</f>
        <v>5.6099999999999997E-2</v>
      </c>
    </row>
    <row r="5" spans="1:65" x14ac:dyDescent="0.2">
      <c r="A5" s="10"/>
      <c r="B5" s="11"/>
      <c r="C5" s="6"/>
      <c r="D5" s="6"/>
    </row>
    <row r="6" spans="1:65" ht="13.5" customHeight="1" thickBot="1" x14ac:dyDescent="0.25">
      <c r="A6" s="885" t="s">
        <v>458</v>
      </c>
      <c r="B6" s="885"/>
      <c r="C6" s="885"/>
      <c r="D6" s="885"/>
    </row>
    <row r="7" spans="1:65" ht="13.5" thickBot="1" x14ac:dyDescent="0.25">
      <c r="A7" s="885"/>
      <c r="B7" s="885"/>
      <c r="C7" s="885"/>
      <c r="D7" s="885"/>
      <c r="G7" s="877" t="s">
        <v>574</v>
      </c>
      <c r="H7" s="878"/>
      <c r="I7" s="878"/>
      <c r="J7" s="878"/>
      <c r="K7" s="878"/>
      <c r="L7" s="878"/>
      <c r="M7" s="878"/>
      <c r="N7" s="879"/>
      <c r="O7" s="591"/>
      <c r="P7" s="591"/>
      <c r="Q7" s="591"/>
      <c r="R7" s="877" t="s">
        <v>469</v>
      </c>
      <c r="S7" s="878"/>
      <c r="T7" s="878"/>
      <c r="U7" s="879"/>
      <c r="V7" s="886" t="s">
        <v>25</v>
      </c>
      <c r="W7" s="887"/>
      <c r="X7" s="888"/>
      <c r="Y7" s="877" t="s">
        <v>57</v>
      </c>
      <c r="Z7" s="878"/>
      <c r="AA7" s="879"/>
      <c r="AB7" s="877" t="s">
        <v>571</v>
      </c>
      <c r="AC7" s="878"/>
      <c r="AD7" s="878"/>
      <c r="AE7" s="878"/>
      <c r="AF7" s="878"/>
      <c r="AG7" s="879"/>
      <c r="AH7" s="877" t="s">
        <v>572</v>
      </c>
      <c r="AI7" s="878"/>
      <c r="AJ7" s="878"/>
      <c r="AK7" s="879"/>
      <c r="AL7" s="453" t="s">
        <v>198</v>
      </c>
      <c r="AM7" s="455" t="s">
        <v>445</v>
      </c>
      <c r="AN7" s="454" t="s">
        <v>487</v>
      </c>
      <c r="AO7" s="880" t="s">
        <v>476</v>
      </c>
      <c r="AP7" s="881"/>
      <c r="AQ7" s="881"/>
      <c r="AR7" s="882"/>
      <c r="AS7" s="883"/>
      <c r="AT7" s="877" t="s">
        <v>484</v>
      </c>
      <c r="AU7" s="878"/>
      <c r="AV7" s="878"/>
      <c r="AW7" s="878"/>
      <c r="AX7" s="878"/>
      <c r="AY7" s="527"/>
      <c r="AZ7" s="876" t="s">
        <v>485</v>
      </c>
      <c r="BA7" s="876"/>
      <c r="BB7" s="876"/>
      <c r="BC7" s="876"/>
      <c r="BD7" s="876"/>
      <c r="BE7" s="876"/>
    </row>
    <row r="8" spans="1:65" ht="64.5" thickBot="1" x14ac:dyDescent="0.45">
      <c r="A8" s="569" t="s">
        <v>108</v>
      </c>
      <c r="B8" s="13"/>
      <c r="C8" s="13"/>
      <c r="D8" s="6"/>
      <c r="G8" s="438" t="s">
        <v>53</v>
      </c>
      <c r="H8" s="522" t="s">
        <v>3</v>
      </c>
      <c r="I8" s="522" t="s">
        <v>573</v>
      </c>
      <c r="J8" s="522" t="s">
        <v>5</v>
      </c>
      <c r="K8" s="439" t="s">
        <v>679</v>
      </c>
      <c r="L8" s="439" t="s">
        <v>294</v>
      </c>
      <c r="M8" s="450" t="s">
        <v>575</v>
      </c>
      <c r="N8" s="524" t="s">
        <v>470</v>
      </c>
      <c r="O8" s="592" t="s">
        <v>723</v>
      </c>
      <c r="P8" s="592" t="s">
        <v>724</v>
      </c>
      <c r="Q8" s="592" t="s">
        <v>725</v>
      </c>
      <c r="R8" s="523" t="s">
        <v>570</v>
      </c>
      <c r="S8" s="452" t="s">
        <v>87</v>
      </c>
      <c r="T8" s="439" t="s">
        <v>569</v>
      </c>
      <c r="U8" s="440" t="s">
        <v>505</v>
      </c>
      <c r="V8" s="523" t="s">
        <v>472</v>
      </c>
      <c r="W8" s="441" t="s">
        <v>471</v>
      </c>
      <c r="X8" s="440" t="s">
        <v>504</v>
      </c>
      <c r="Y8" s="451" t="s">
        <v>473</v>
      </c>
      <c r="Z8" s="439" t="s">
        <v>474</v>
      </c>
      <c r="AA8" s="440" t="s">
        <v>502</v>
      </c>
      <c r="AB8" s="438" t="s">
        <v>84</v>
      </c>
      <c r="AC8" s="439" t="s">
        <v>475</v>
      </c>
      <c r="AD8" s="439" t="s">
        <v>721</v>
      </c>
      <c r="AE8" s="593" t="s">
        <v>722</v>
      </c>
      <c r="AF8" s="442" t="s">
        <v>199</v>
      </c>
      <c r="AG8" s="440" t="s">
        <v>567</v>
      </c>
      <c r="AH8" s="438" t="s">
        <v>84</v>
      </c>
      <c r="AI8" s="439" t="s">
        <v>475</v>
      </c>
      <c r="AJ8" s="439" t="s">
        <v>478</v>
      </c>
      <c r="AK8" s="443" t="s">
        <v>568</v>
      </c>
      <c r="AL8" s="440" t="s">
        <v>478</v>
      </c>
      <c r="AM8" s="456" t="s">
        <v>93</v>
      </c>
      <c r="AN8" s="457" t="s">
        <v>486</v>
      </c>
      <c r="AO8" s="444" t="s">
        <v>479</v>
      </c>
      <c r="AP8" s="445" t="s">
        <v>135</v>
      </c>
      <c r="AQ8" s="446" t="s">
        <v>201</v>
      </c>
      <c r="AR8" s="445" t="s">
        <v>711</v>
      </c>
      <c r="AS8" s="447" t="s">
        <v>477</v>
      </c>
      <c r="AT8" s="448" t="s">
        <v>54</v>
      </c>
      <c r="AU8" s="439" t="s">
        <v>284</v>
      </c>
      <c r="AV8" s="449" t="s">
        <v>481</v>
      </c>
      <c r="AW8" s="533" t="str">
        <f>IF(Vin&gt;Vout, "Buck ''CONTROL'' MOSFET Temp Rise", "Boost ''CONTROL'' MOSFET Temp Rise")</f>
        <v>Buck ''CONTROL'' MOSFET Temp Rise</v>
      </c>
      <c r="AX8" s="533" t="str">
        <f>IF(Vin&gt;Vout, "Buck ''SYNC'' MOSFET Temp Rise", "Boost ''SYNC'' MOSFET Temp Rise")</f>
        <v>Buck ''SYNC'' MOSFET Temp Rise</v>
      </c>
      <c r="AZ8" s="528" t="s">
        <v>480</v>
      </c>
      <c r="BA8" s="529" t="s">
        <v>503</v>
      </c>
      <c r="BB8" s="529" t="s">
        <v>576</v>
      </c>
      <c r="BC8" s="529" t="s">
        <v>673</v>
      </c>
      <c r="BD8" s="529" t="s">
        <v>674</v>
      </c>
      <c r="BE8" s="529" t="s">
        <v>551</v>
      </c>
      <c r="BF8" s="529"/>
    </row>
    <row r="9" spans="1:65" x14ac:dyDescent="0.2">
      <c r="A9" s="14" t="s">
        <v>55</v>
      </c>
      <c r="B9" s="15" t="s">
        <v>111</v>
      </c>
      <c r="C9" s="16" t="s">
        <v>76</v>
      </c>
      <c r="D9" s="17" t="s">
        <v>107</v>
      </c>
      <c r="G9">
        <v>0</v>
      </c>
      <c r="H9" s="531">
        <f t="shared" ref="H9:H40" si="0">Vin</f>
        <v>50</v>
      </c>
      <c r="I9" s="4">
        <f t="shared" ref="I9:I40" si="1">MODE</f>
        <v>1</v>
      </c>
      <c r="J9">
        <v>0</v>
      </c>
      <c r="K9" s="348">
        <f t="shared" ref="K9:K40" si="2">Iout*G9/100/Number_of_Phases</f>
        <v>0</v>
      </c>
      <c r="L9" s="4">
        <f t="shared" ref="L9:L40" si="3">Vout*K9/(Vin*Efficiency)</f>
        <v>0</v>
      </c>
      <c r="M9" s="348">
        <f t="shared" ref="M9:M40" si="4">(Vout+(Rdson2+Rs+Rdcr)*K9)/(Vin+(Rs+Rdson2-Rdson1)*K9)</f>
        <v>0.24</v>
      </c>
      <c r="N9" s="4">
        <f t="shared" ref="N9:N40" si="5">(Vin-(Rdson1+Rdcr)*K9-Vout)*M9/(Fsw*Lf)</f>
        <v>12.192513368983956</v>
      </c>
      <c r="O9" s="4">
        <f>K9+N9/2</f>
        <v>6.0962566844919781</v>
      </c>
      <c r="P9" s="4">
        <f>K9-N9/2</f>
        <v>-6.0962566844919781</v>
      </c>
      <c r="Q9" s="4">
        <f t="shared" ref="Q9:Q40" si="6">IF(MIN(Vin, -P9/(Coss_Q1+Coss_Q2)*0.00000002)&lt;0, 0, MIN(Vin, -P9/(Coss_Q1+Coss_Q2)*0.00000002))</f>
        <v>50</v>
      </c>
      <c r="R9" s="4">
        <f>SQRT(K9^2+(N9^2)/12)</f>
        <v>3.5196754378404993</v>
      </c>
      <c r="S9" s="348">
        <f t="shared" ref="S9:S40" si="7">R9^2*Rdcr</f>
        <v>4.335840315708199E-2</v>
      </c>
      <c r="T9" s="348">
        <f t="shared" ref="T9:T40" si="8">Core_Loss_Ch1</f>
        <v>0.2</v>
      </c>
      <c r="U9" s="348">
        <f t="shared" ref="U9:U40" si="9">(T9+S9*(1+Ltc*(Ta-25)))/(1-S9*Ltc*ThetaCa)</f>
        <v>0.24420547190139127</v>
      </c>
      <c r="V9" s="4">
        <f>N9/SQRT(12)</f>
        <v>3.5196754378404993</v>
      </c>
      <c r="W9" s="348">
        <f t="shared" ref="W9:W73" si="10">RCoutEsr*V9^2</f>
        <v>1.2388115187737711E-2</v>
      </c>
      <c r="X9" s="348">
        <f>W9</f>
        <v>1.2388115187737711E-2</v>
      </c>
      <c r="Y9" s="4">
        <f>SQRT(M9*(1-M9))*SQRT(K9^2+(N9^2)/12)</f>
        <v>1.5031940028630233</v>
      </c>
      <c r="Z9" s="348">
        <f t="shared" ref="Z9:Z73" si="11">RCinEsr*Y9^2</f>
        <v>2.2595922102433587E-3</v>
      </c>
      <c r="AA9" s="525">
        <f>Z9</f>
        <v>2.2595922102433587E-3</v>
      </c>
      <c r="AB9" s="348">
        <f>SQRT(M9)*SQRT(K9^2+(N9^2)/12)</f>
        <v>1.7242817765832388</v>
      </c>
      <c r="AC9" s="348">
        <f t="shared" ref="AC9:AC40" si="12">Rdson1*AB9^2</f>
        <v>3.5677771740684601E-2</v>
      </c>
      <c r="AD9" s="348">
        <f t="shared" ref="AD9:AD40" si="13">(Vin*K9/2)*Fsw*(Tr_buck+Tf_buck)</f>
        <v>0</v>
      </c>
      <c r="AE9" s="348">
        <f t="shared" ref="AE9:AE40" si="14">(0.5*Coss_Q1*(Vin-Q9)^2-0.5*Coss_Q2*(Vin-Q9)^2+(Qoss_Q2*(Vin-Q9)/Vin)*Vin)*Fsw</f>
        <v>0</v>
      </c>
      <c r="AF9" s="348">
        <f t="shared" ref="AF9:AF40" si="15">IF(K9&gt;N9/2,0,ABS(K9-N9/2)*Vsd_Q1*Deadtime*Fsw)</f>
        <v>2.0312727272727267E-2</v>
      </c>
      <c r="AG9" s="348">
        <f t="shared" ref="AG9:AG40" si="16">(AF9+AE9+AD9+AC9*(1+RdsonTopTc*Ta-RdsonTopTc*25))/(1-AC9*RdsonTopTc*ThetaJA_Q1)</f>
        <v>5.6328122210394911E-2</v>
      </c>
      <c r="AH9" s="348">
        <f t="shared" ref="AH9:AH40" si="17">SQRT((1-M9))*SQRT(K9^2+(N9^2)/12)</f>
        <v>3.0683819095218019</v>
      </c>
      <c r="AI9" s="348">
        <f t="shared" ref="AI9:AI40" si="18">Rdson2*AH9^2</f>
        <v>3.8601366924990693E-2</v>
      </c>
      <c r="AJ9" s="348">
        <f t="shared" ref="AJ9:AJ40" si="19">IF(K9&lt;N9/2,Deadtime*Fsw*IF(VfdSky_Q2&gt;0,0,Vsd_Q2)*(K9+N9/2),2*Deadtime*Fsw*IF(VfdSky_Q2&gt;0,0,Vsd_Q2)*K9)</f>
        <v>2.0312727272727267E-2</v>
      </c>
      <c r="AK9" s="348">
        <f t="shared" ref="AK9:AK40" si="20">(AJ9+AI9*(1+RdsonBotTc*Ta-RdsonBotTc*25))/(1-AI9*RdsonBotTc*ThetaJA_Q2)</f>
        <v>5.9286669565583698E-2</v>
      </c>
      <c r="AL9" s="348">
        <f t="shared" ref="AL9:AL40" si="21">2*Deadtime*Fsw*IF(VfdSky_Q2&gt;0,VfdSky_Q2,Vsd_Q2)*K9</f>
        <v>0</v>
      </c>
      <c r="AM9" s="348">
        <f t="shared" ref="AM9:AM40" si="22">IF(QrrSky_Q2&gt;0,QrrSky_Q2,Qrr_Q2*K9/(Iout/Number_of_Phases))*Fsw*Vin</f>
        <v>0</v>
      </c>
      <c r="AN9" s="348">
        <f t="shared" ref="AN9:AN40" si="23">Rs*R9^2</f>
        <v>2.4776230375475421E-2</v>
      </c>
      <c r="AO9" s="348">
        <f t="shared" ref="AO9:AO40" si="24">Iq*Vin</f>
        <v>1.1E-4</v>
      </c>
      <c r="AP9" s="348">
        <f t="shared" ref="AP9:AP40" si="25">IF(Ext_VCC=1,  (Qg_Q1+Qg_Q2)*Fsw*VCC, (Qg_Q1+Qg_Q2)*Fsw*Vin)</f>
        <v>5.6099999999999997E-2</v>
      </c>
      <c r="AQ9" s="348">
        <f t="shared" ref="AQ9:AQ72" si="26">(Vin-VCC)*Fsw*(Qg_Q1+Qg_Q2)+(RdsonDRT+RdsonDRT2)*Fsw*Qg_Q1*VCC/(RdsonDRT+2*Rgate1+RdsonDRT2)+(RdsonDRB+RdsonDRB2)*Fsw*Qg_Q2*VCC/(RdsonDRB+2*Rgate2+RdsonDRB2)</f>
        <v>0.52647692307692318</v>
      </c>
      <c r="AR9" s="348">
        <f t="shared" ref="AR9:AR40" si="27">(Qg_Q1+Qg_Q2)*Fsw*(Vin-VCC)</f>
        <v>0.5048999999999999</v>
      </c>
      <c r="AS9" s="348">
        <f t="shared" ref="AS9:AS40" si="28">SUM(AO9:AP9)</f>
        <v>5.6209999999999996E-2</v>
      </c>
      <c r="AT9" s="348">
        <f t="shared" ref="AT9:AT40" si="29" xml:space="preserve"> SUM(U9,X9,AA9,AG9,AK9,AL9,AM9,AS9,AN9)</f>
        <v>0.45545420145082638</v>
      </c>
      <c r="AU9">
        <f t="shared" ref="AU9:AU40" si="30">Vout*K9</f>
        <v>0</v>
      </c>
      <c r="AV9" s="526">
        <f>AU9/(AU9+AT9)</f>
        <v>0</v>
      </c>
      <c r="AW9" s="534">
        <f t="shared" ref="AW9:AW40" si="31">ThetaJA_Q1*BC9</f>
        <v>2.3657811328365863</v>
      </c>
      <c r="AX9" s="534">
        <f t="shared" ref="AX9:AX40" si="32">ThetaJA_Q2*BD9</f>
        <v>2.4129674513192567</v>
      </c>
      <c r="AZ9" s="4">
        <f>AV9*100</f>
        <v>0</v>
      </c>
      <c r="BA9" s="348">
        <f t="shared" ref="BA9:BA40" si="33">U9</f>
        <v>0.24420547190139127</v>
      </c>
      <c r="BB9" s="348">
        <f t="shared" ref="BB9:BB40" si="34">AG9+AK9+AM9</f>
        <v>0.11561479177597861</v>
      </c>
      <c r="BC9" s="348">
        <f t="shared" ref="BC9:BC40" si="35">AG9+AM9*0.66</f>
        <v>5.6328122210394911E-2</v>
      </c>
      <c r="BD9" s="348">
        <f t="shared" ref="BD9:BD40" si="36">AK9+AM9*0.33</f>
        <v>5.9286669565583698E-2</v>
      </c>
      <c r="BE9" s="348">
        <f t="shared" ref="BE9:BE40" si="37">AN9</f>
        <v>2.4776230375475421E-2</v>
      </c>
      <c r="BJ9" s="18"/>
      <c r="BK9" s="18"/>
      <c r="BL9" s="18"/>
      <c r="BM9" s="19"/>
    </row>
    <row r="10" spans="1:65" x14ac:dyDescent="0.2">
      <c r="A10" s="479"/>
      <c r="B10" s="24"/>
      <c r="C10" s="16"/>
      <c r="D10" s="17"/>
      <c r="G10">
        <v>1</v>
      </c>
      <c r="H10" s="531">
        <f t="shared" si="0"/>
        <v>50</v>
      </c>
      <c r="I10" s="4">
        <f t="shared" si="1"/>
        <v>1</v>
      </c>
      <c r="J10" s="348">
        <f t="shared" ref="J10:J41" si="38">Iout*G10/100</f>
        <v>0.05</v>
      </c>
      <c r="K10" s="348">
        <f t="shared" si="2"/>
        <v>0.05</v>
      </c>
      <c r="L10" s="4">
        <f t="shared" si="3"/>
        <v>1.3333333333333336E-2</v>
      </c>
      <c r="M10" s="348">
        <f t="shared" si="4"/>
        <v>0.24001101606499478</v>
      </c>
      <c r="N10" s="4">
        <f t="shared" si="5"/>
        <v>12.192824334134162</v>
      </c>
      <c r="O10" s="4">
        <f t="shared" ref="O10:O73" si="39">K10+N10/2</f>
        <v>6.1464121670670808</v>
      </c>
      <c r="P10" s="4">
        <f t="shared" ref="P10:P73" si="40">K10-N10/2</f>
        <v>-6.0464121670670812</v>
      </c>
      <c r="Q10" s="4">
        <f t="shared" si="6"/>
        <v>50</v>
      </c>
      <c r="R10" s="4">
        <f t="shared" ref="R10:R73" si="41">SQRT(K10^2+(N10^2)/12)</f>
        <v>3.5201203251576283</v>
      </c>
      <c r="S10" s="348">
        <f t="shared" si="7"/>
        <v>4.336936486255747E-2</v>
      </c>
      <c r="T10" s="348">
        <f t="shared" si="8"/>
        <v>0.2</v>
      </c>
      <c r="U10" s="348">
        <f t="shared" si="9"/>
        <v>0.24421668666973384</v>
      </c>
      <c r="V10" s="4">
        <f t="shared" ref="V10:V73" si="42">N10/SQRT(12)</f>
        <v>3.5197652057470892</v>
      </c>
      <c r="W10" s="348">
        <f t="shared" si="10"/>
        <v>1.238874710358785E-2</v>
      </c>
      <c r="X10" s="348">
        <f t="shared" ref="X10:X73" si="43">W10</f>
        <v>1.238874710358785E-2</v>
      </c>
      <c r="Y10" s="4">
        <f t="shared" ref="Y10:Y73" si="44">SQRT(M10*(1-M10))*SQRT(K10^2+(N10^2)/12)</f>
        <v>1.503407613269967</v>
      </c>
      <c r="Z10" s="348">
        <f t="shared" si="11"/>
        <v>2.2602344516380987E-3</v>
      </c>
      <c r="AA10" s="525">
        <f t="shared" ref="AA10:AA73" si="45">Z10</f>
        <v>2.2602344516380987E-3</v>
      </c>
      <c r="AB10" s="348">
        <f t="shared" ref="AB10:AB73" si="46">SQRT(M10)*SQRT(K10^2+(N10^2)/12)</f>
        <v>1.7245393030153133</v>
      </c>
      <c r="AC10" s="348">
        <f t="shared" si="12"/>
        <v>3.5688429691734511E-2</v>
      </c>
      <c r="AD10" s="348">
        <f t="shared" si="13"/>
        <v>3.3075010916405389E-3</v>
      </c>
      <c r="AE10" s="348">
        <f t="shared" si="14"/>
        <v>0</v>
      </c>
      <c r="AF10" s="348">
        <f t="shared" si="15"/>
        <v>2.0146645340667509E-2</v>
      </c>
      <c r="AG10" s="348">
        <f t="shared" si="16"/>
        <v>5.9499313551532131E-2</v>
      </c>
      <c r="AH10" s="348">
        <f t="shared" si="17"/>
        <v>3.0687475125763126</v>
      </c>
      <c r="AI10" s="348">
        <f t="shared" si="18"/>
        <v>3.8610566313367546E-2</v>
      </c>
      <c r="AJ10" s="348">
        <f t="shared" si="19"/>
        <v>2.0479845340667512E-2</v>
      </c>
      <c r="AK10" s="348">
        <f t="shared" si="20"/>
        <v>5.9464191681752272E-2</v>
      </c>
      <c r="AL10" s="348">
        <f t="shared" si="21"/>
        <v>3.3319999999999997E-4</v>
      </c>
      <c r="AM10" s="348">
        <f t="shared" si="22"/>
        <v>1.0030000000000001E-2</v>
      </c>
      <c r="AN10" s="348">
        <f t="shared" si="23"/>
        <v>2.4782494207175695E-2</v>
      </c>
      <c r="AO10" s="348">
        <f t="shared" si="24"/>
        <v>1.1E-4</v>
      </c>
      <c r="AP10" s="348">
        <f t="shared" si="25"/>
        <v>5.6099999999999997E-2</v>
      </c>
      <c r="AQ10" s="348">
        <f t="shared" si="26"/>
        <v>0.52647692307692318</v>
      </c>
      <c r="AR10" s="348">
        <f t="shared" si="27"/>
        <v>0.5048999999999999</v>
      </c>
      <c r="AS10" s="348">
        <f t="shared" si="28"/>
        <v>5.6209999999999996E-2</v>
      </c>
      <c r="AT10" s="348">
        <f t="shared" si="29"/>
        <v>0.46918486766541984</v>
      </c>
      <c r="AU10">
        <f t="shared" si="30"/>
        <v>0.60000000000000009</v>
      </c>
      <c r="AV10" s="526">
        <f t="shared" ref="AV10:AV73" si="47">AU10/(AU10+AT10)</f>
        <v>0.56117517011824947</v>
      </c>
      <c r="AW10" s="534">
        <f t="shared" si="31"/>
        <v>2.7770027691643495</v>
      </c>
      <c r="AX10" s="534">
        <f t="shared" si="32"/>
        <v>2.5549055314473175</v>
      </c>
      <c r="AY10" s="9"/>
      <c r="AZ10" s="4">
        <f t="shared" ref="AZ10:AZ73" si="48">AV10*100</f>
        <v>56.117517011824944</v>
      </c>
      <c r="BA10" s="348">
        <f t="shared" si="33"/>
        <v>0.24421668666973384</v>
      </c>
      <c r="BB10" s="348">
        <f t="shared" si="34"/>
        <v>0.1289935052332844</v>
      </c>
      <c r="BC10" s="348">
        <f t="shared" si="35"/>
        <v>6.6119113551532133E-2</v>
      </c>
      <c r="BD10" s="348">
        <f t="shared" si="36"/>
        <v>6.277409168175227E-2</v>
      </c>
      <c r="BE10" s="348">
        <f t="shared" si="37"/>
        <v>2.4782494207175695E-2</v>
      </c>
      <c r="BJ10" s="18"/>
      <c r="BK10" s="18"/>
      <c r="BL10" s="18"/>
      <c r="BM10" s="19"/>
    </row>
    <row r="11" spans="1:65" x14ac:dyDescent="0.2">
      <c r="A11" s="20" t="s">
        <v>3</v>
      </c>
      <c r="B11" s="5">
        <f>Vin</f>
        <v>50</v>
      </c>
      <c r="C11" s="427" t="s">
        <v>0</v>
      </c>
      <c r="D11" s="21" t="s">
        <v>3</v>
      </c>
      <c r="G11">
        <v>2</v>
      </c>
      <c r="H11" s="531">
        <f t="shared" si="0"/>
        <v>50</v>
      </c>
      <c r="I11" s="4">
        <f t="shared" si="1"/>
        <v>1</v>
      </c>
      <c r="J11" s="348">
        <f t="shared" si="38"/>
        <v>0.1</v>
      </c>
      <c r="K11" s="348">
        <f t="shared" si="2"/>
        <v>0.1</v>
      </c>
      <c r="L11" s="4">
        <f t="shared" si="3"/>
        <v>2.6666666666666672E-2</v>
      </c>
      <c r="M11" s="348">
        <f t="shared" si="4"/>
        <v>0.24002203225998067</v>
      </c>
      <c r="N11" s="4">
        <f t="shared" si="5"/>
        <v>12.193135283060512</v>
      </c>
      <c r="O11" s="4">
        <f t="shared" si="39"/>
        <v>6.1965676415302555</v>
      </c>
      <c r="P11" s="4">
        <f t="shared" si="40"/>
        <v>-5.9965676415302562</v>
      </c>
      <c r="Q11" s="4">
        <f t="shared" si="6"/>
        <v>50</v>
      </c>
      <c r="R11" s="4">
        <f t="shared" si="41"/>
        <v>3.5212751955200257</v>
      </c>
      <c r="S11" s="348">
        <f t="shared" si="7"/>
        <v>4.3397826509046084E-2</v>
      </c>
      <c r="T11" s="348">
        <f t="shared" si="8"/>
        <v>0.2</v>
      </c>
      <c r="U11" s="348">
        <f t="shared" si="9"/>
        <v>0.24424580547637617</v>
      </c>
      <c r="V11" s="4">
        <f t="shared" si="42"/>
        <v>3.5198549689702552</v>
      </c>
      <c r="W11" s="348">
        <f t="shared" si="10"/>
        <v>1.2389379002584596E-2</v>
      </c>
      <c r="X11" s="348">
        <f t="shared" si="43"/>
        <v>1.2389379002584596E-2</v>
      </c>
      <c r="Y11" s="4">
        <f t="shared" si="44"/>
        <v>1.5039244598550305</v>
      </c>
      <c r="Z11" s="348">
        <f t="shared" si="11"/>
        <v>2.2617887809502457E-3</v>
      </c>
      <c r="AA11" s="525">
        <f t="shared" si="45"/>
        <v>2.2617887809502457E-3</v>
      </c>
      <c r="AB11" s="348">
        <f t="shared" si="46"/>
        <v>1.7251446742120171</v>
      </c>
      <c r="AC11" s="348">
        <f t="shared" si="12"/>
        <v>3.5713489763545041E-2</v>
      </c>
      <c r="AD11" s="348">
        <f t="shared" si="13"/>
        <v>6.6150021832810778E-3</v>
      </c>
      <c r="AE11" s="348">
        <f t="shared" si="14"/>
        <v>0</v>
      </c>
      <c r="AF11" s="348">
        <f t="shared" si="15"/>
        <v>1.9980563381578813E-2</v>
      </c>
      <c r="AG11" s="348">
        <f t="shared" si="16"/>
        <v>6.2685157893524038E-2</v>
      </c>
      <c r="AH11" s="348">
        <f t="shared" si="17"/>
        <v>3.0697320494829037</v>
      </c>
      <c r="AI11" s="348">
        <f t="shared" si="18"/>
        <v>3.8635344908052281E-2</v>
      </c>
      <c r="AJ11" s="348">
        <f t="shared" si="19"/>
        <v>2.0646963381578808E-2</v>
      </c>
      <c r="AK11" s="348">
        <f t="shared" si="20"/>
        <v>5.9657544349446881E-2</v>
      </c>
      <c r="AL11" s="348">
        <f t="shared" si="21"/>
        <v>6.6639999999999994E-4</v>
      </c>
      <c r="AM11" s="348">
        <f t="shared" si="22"/>
        <v>2.0060000000000001E-2</v>
      </c>
      <c r="AN11" s="348">
        <f t="shared" si="23"/>
        <v>2.4798758005169192E-2</v>
      </c>
      <c r="AO11" s="348">
        <f t="shared" si="24"/>
        <v>1.1E-4</v>
      </c>
      <c r="AP11" s="348">
        <f t="shared" si="25"/>
        <v>5.6099999999999997E-2</v>
      </c>
      <c r="AQ11" s="348">
        <f t="shared" si="26"/>
        <v>0.52647692307692318</v>
      </c>
      <c r="AR11" s="348">
        <f t="shared" si="27"/>
        <v>0.5048999999999999</v>
      </c>
      <c r="AS11" s="348">
        <f t="shared" si="28"/>
        <v>5.6209999999999996E-2</v>
      </c>
      <c r="AT11" s="348">
        <f t="shared" si="29"/>
        <v>0.48297483350805109</v>
      </c>
      <c r="AU11">
        <f t="shared" si="30"/>
        <v>1.2000000000000002</v>
      </c>
      <c r="AV11" s="526">
        <f t="shared" si="47"/>
        <v>0.71302313980457954</v>
      </c>
      <c r="AW11" s="534">
        <f t="shared" si="31"/>
        <v>3.1888398315280098</v>
      </c>
      <c r="AX11" s="534">
        <f t="shared" si="32"/>
        <v>2.6974879150224882</v>
      </c>
      <c r="AY11" s="9"/>
      <c r="AZ11" s="4">
        <f t="shared" si="48"/>
        <v>71.302313980457953</v>
      </c>
      <c r="BA11" s="348">
        <f t="shared" si="33"/>
        <v>0.24424580547637617</v>
      </c>
      <c r="BB11" s="348">
        <f t="shared" si="34"/>
        <v>0.14240270224297091</v>
      </c>
      <c r="BC11" s="348">
        <f t="shared" si="35"/>
        <v>7.5924757893524042E-2</v>
      </c>
      <c r="BD11" s="348">
        <f t="shared" si="36"/>
        <v>6.6277344349446876E-2</v>
      </c>
      <c r="BE11" s="348">
        <f t="shared" si="37"/>
        <v>2.4798758005169192E-2</v>
      </c>
      <c r="BJ11" s="18"/>
      <c r="BK11" s="18"/>
      <c r="BL11" s="18"/>
      <c r="BM11" s="19"/>
    </row>
    <row r="12" spans="1:65" x14ac:dyDescent="0.2">
      <c r="A12" s="22" t="s">
        <v>4</v>
      </c>
      <c r="B12" s="5">
        <f>Vout</f>
        <v>12</v>
      </c>
      <c r="C12" s="427" t="s">
        <v>0</v>
      </c>
      <c r="D12" s="21" t="s">
        <v>4</v>
      </c>
      <c r="G12">
        <v>3</v>
      </c>
      <c r="H12" s="531">
        <f t="shared" si="0"/>
        <v>50</v>
      </c>
      <c r="I12" s="4">
        <f t="shared" si="1"/>
        <v>1</v>
      </c>
      <c r="J12" s="348">
        <f t="shared" si="38"/>
        <v>0.15</v>
      </c>
      <c r="K12" s="348">
        <f t="shared" si="2"/>
        <v>0.15</v>
      </c>
      <c r="L12" s="4">
        <f t="shared" si="3"/>
        <v>3.9999999999999994E-2</v>
      </c>
      <c r="M12" s="348">
        <f t="shared" si="4"/>
        <v>0.24003304858495994</v>
      </c>
      <c r="N12" s="4">
        <f t="shared" si="5"/>
        <v>12.193446215762723</v>
      </c>
      <c r="O12" s="4">
        <f t="shared" si="39"/>
        <v>6.2467231078813619</v>
      </c>
      <c r="P12" s="4">
        <f t="shared" si="40"/>
        <v>-5.9467231078813612</v>
      </c>
      <c r="Q12" s="4">
        <f t="shared" si="6"/>
        <v>50</v>
      </c>
      <c r="R12" s="4">
        <f t="shared" si="41"/>
        <v>3.5231393507388913</v>
      </c>
      <c r="S12" s="348">
        <f t="shared" si="7"/>
        <v>4.3443788096536998E-2</v>
      </c>
      <c r="T12" s="348">
        <f t="shared" si="8"/>
        <v>0.2</v>
      </c>
      <c r="U12" s="348">
        <f t="shared" si="9"/>
        <v>0.2442928285667576</v>
      </c>
      <c r="V12" s="4">
        <f t="shared" si="42"/>
        <v>3.519944727509916</v>
      </c>
      <c r="W12" s="348">
        <f t="shared" si="10"/>
        <v>1.2390010884724858E-2</v>
      </c>
      <c r="X12" s="348">
        <f t="shared" si="43"/>
        <v>1.2390010884724858E-2</v>
      </c>
      <c r="Y12" s="4">
        <f t="shared" si="44"/>
        <v>1.5047442587016036</v>
      </c>
      <c r="Z12" s="348">
        <f t="shared" si="11"/>
        <v>2.2642552840954383E-3</v>
      </c>
      <c r="AA12" s="525">
        <f t="shared" si="45"/>
        <v>2.2642552840954383E-3</v>
      </c>
      <c r="AB12" s="348">
        <f t="shared" si="46"/>
        <v>1.7260975720550984</v>
      </c>
      <c r="AC12" s="348">
        <f t="shared" si="12"/>
        <v>3.5752953939054068E-2</v>
      </c>
      <c r="AD12" s="348">
        <f t="shared" si="13"/>
        <v>9.9225032749216176E-3</v>
      </c>
      <c r="AE12" s="348">
        <f t="shared" si="14"/>
        <v>0</v>
      </c>
      <c r="AF12" s="348">
        <f t="shared" si="15"/>
        <v>1.9814481395460697E-2</v>
      </c>
      <c r="AG12" s="348">
        <f t="shared" si="16"/>
        <v>6.5885680704290295E-2</v>
      </c>
      <c r="AH12" s="348">
        <f t="shared" si="17"/>
        <v>3.0713348981298587</v>
      </c>
      <c r="AI12" s="348">
        <f t="shared" si="18"/>
        <v>3.8675702031528425E-2</v>
      </c>
      <c r="AJ12" s="348">
        <f t="shared" si="19"/>
        <v>2.0814081395460694E-2</v>
      </c>
      <c r="AK12" s="348">
        <f t="shared" si="20"/>
        <v>5.9866728553525671E-2</v>
      </c>
      <c r="AL12" s="348">
        <f t="shared" si="21"/>
        <v>9.9959999999999979E-4</v>
      </c>
      <c r="AM12" s="348">
        <f t="shared" si="22"/>
        <v>3.0089999999999999E-2</v>
      </c>
      <c r="AN12" s="348">
        <f t="shared" si="23"/>
        <v>2.4825021769449711E-2</v>
      </c>
      <c r="AO12" s="348">
        <f t="shared" si="24"/>
        <v>1.1E-4</v>
      </c>
      <c r="AP12" s="348">
        <f t="shared" si="25"/>
        <v>5.6099999999999997E-2</v>
      </c>
      <c r="AQ12" s="348">
        <f t="shared" si="26"/>
        <v>0.52647692307692318</v>
      </c>
      <c r="AR12" s="348">
        <f t="shared" si="27"/>
        <v>0.5048999999999999</v>
      </c>
      <c r="AS12" s="348">
        <f t="shared" si="28"/>
        <v>5.6209999999999996E-2</v>
      </c>
      <c r="AT12" s="348">
        <f t="shared" si="29"/>
        <v>0.49682412576284357</v>
      </c>
      <c r="AU12">
        <f t="shared" si="30"/>
        <v>1.7999999999999998</v>
      </c>
      <c r="AV12" s="526">
        <f t="shared" si="47"/>
        <v>0.783690827612744</v>
      </c>
      <c r="AW12" s="534">
        <f t="shared" si="31"/>
        <v>3.6012933895801922</v>
      </c>
      <c r="AX12" s="534">
        <f t="shared" si="32"/>
        <v>2.8407146421284946</v>
      </c>
      <c r="AY12" s="9"/>
      <c r="AZ12" s="4">
        <f t="shared" si="48"/>
        <v>78.369082761274399</v>
      </c>
      <c r="BA12" s="348">
        <f t="shared" si="33"/>
        <v>0.2442928285667576</v>
      </c>
      <c r="BB12" s="348">
        <f t="shared" si="34"/>
        <v>0.15584240925781598</v>
      </c>
      <c r="BC12" s="348">
        <f t="shared" si="35"/>
        <v>8.5745080704290294E-2</v>
      </c>
      <c r="BD12" s="348">
        <f t="shared" si="36"/>
        <v>6.9796428553525663E-2</v>
      </c>
      <c r="BE12" s="348">
        <f t="shared" si="37"/>
        <v>2.4825021769449711E-2</v>
      </c>
      <c r="BJ12" s="18"/>
      <c r="BK12" s="18"/>
      <c r="BL12" s="18"/>
      <c r="BM12" s="19"/>
    </row>
    <row r="13" spans="1:65" x14ac:dyDescent="0.2">
      <c r="A13" s="22" t="s">
        <v>6</v>
      </c>
      <c r="B13" s="5">
        <f>Fsw/1000</f>
        <v>340</v>
      </c>
      <c r="C13" s="427" t="s">
        <v>2</v>
      </c>
      <c r="D13" s="21" t="s">
        <v>94</v>
      </c>
      <c r="G13">
        <v>4</v>
      </c>
      <c r="H13" s="531">
        <f t="shared" si="0"/>
        <v>50</v>
      </c>
      <c r="I13" s="4">
        <f t="shared" si="1"/>
        <v>1</v>
      </c>
      <c r="J13" s="348">
        <f t="shared" si="38"/>
        <v>0.2</v>
      </c>
      <c r="K13" s="348">
        <f t="shared" si="2"/>
        <v>0.2</v>
      </c>
      <c r="L13" s="4">
        <f t="shared" si="3"/>
        <v>5.3333333333333344E-2</v>
      </c>
      <c r="M13" s="348">
        <f t="shared" si="4"/>
        <v>0.24004406503993495</v>
      </c>
      <c r="N13" s="4">
        <f t="shared" si="5"/>
        <v>12.193757132240512</v>
      </c>
      <c r="O13" s="4">
        <f t="shared" si="39"/>
        <v>6.296878566120256</v>
      </c>
      <c r="P13" s="4">
        <f t="shared" si="40"/>
        <v>-5.8968785661202556</v>
      </c>
      <c r="Q13" s="4">
        <f t="shared" si="6"/>
        <v>50</v>
      </c>
      <c r="R13" s="4">
        <f t="shared" si="41"/>
        <v>3.5257116657499838</v>
      </c>
      <c r="S13" s="348">
        <f t="shared" si="7"/>
        <v>4.350724962501934E-2</v>
      </c>
      <c r="T13" s="348">
        <f t="shared" si="8"/>
        <v>0.2</v>
      </c>
      <c r="U13" s="348">
        <f t="shared" si="9"/>
        <v>0.24435775633724127</v>
      </c>
      <c r="V13" s="4">
        <f t="shared" si="42"/>
        <v>3.5200344813659896</v>
      </c>
      <c r="W13" s="348">
        <f t="shared" si="10"/>
        <v>1.2390642750005532E-2</v>
      </c>
      <c r="X13" s="348">
        <f t="shared" si="43"/>
        <v>1.2390642750005532E-2</v>
      </c>
      <c r="Y13" s="4">
        <f t="shared" si="44"/>
        <v>1.5058665435502796</v>
      </c>
      <c r="Z13" s="348">
        <f t="shared" si="11"/>
        <v>2.2676340469840661E-3</v>
      </c>
      <c r="AA13" s="525">
        <f t="shared" si="45"/>
        <v>2.2676340469840661E-3</v>
      </c>
      <c r="AB13" s="348">
        <f t="shared" si="46"/>
        <v>1.7273974692497736</v>
      </c>
      <c r="AC13" s="348">
        <f t="shared" si="12"/>
        <v>3.5806824201246271E-2</v>
      </c>
      <c r="AD13" s="348">
        <f t="shared" si="13"/>
        <v>1.3230004366562156E-2</v>
      </c>
      <c r="AE13" s="348">
        <f t="shared" si="14"/>
        <v>0</v>
      </c>
      <c r="AF13" s="348">
        <f t="shared" si="15"/>
        <v>1.9648399382312689E-2</v>
      </c>
      <c r="AG13" s="348">
        <f t="shared" si="16"/>
        <v>6.9100907671045889E-2</v>
      </c>
      <c r="AH13" s="348">
        <f t="shared" si="17"/>
        <v>3.0735550642920004</v>
      </c>
      <c r="AI13" s="348">
        <f t="shared" si="18"/>
        <v>3.873163700626351E-2</v>
      </c>
      <c r="AJ13" s="348">
        <f t="shared" si="19"/>
        <v>2.0981199382312691E-2</v>
      </c>
      <c r="AK13" s="348">
        <f t="shared" si="20"/>
        <v>6.009174552120107E-2</v>
      </c>
      <c r="AL13" s="348">
        <f t="shared" si="21"/>
        <v>1.3327999999999999E-3</v>
      </c>
      <c r="AM13" s="348">
        <f t="shared" si="22"/>
        <v>4.0120000000000003E-2</v>
      </c>
      <c r="AN13" s="348">
        <f t="shared" si="23"/>
        <v>2.486128550001105E-2</v>
      </c>
      <c r="AO13" s="348">
        <f t="shared" si="24"/>
        <v>1.1E-4</v>
      </c>
      <c r="AP13" s="348">
        <f t="shared" si="25"/>
        <v>5.6099999999999997E-2</v>
      </c>
      <c r="AQ13" s="348">
        <f t="shared" si="26"/>
        <v>0.52647692307692318</v>
      </c>
      <c r="AR13" s="348">
        <f t="shared" si="27"/>
        <v>0.5048999999999999</v>
      </c>
      <c r="AS13" s="348">
        <f t="shared" si="28"/>
        <v>5.6209999999999996E-2</v>
      </c>
      <c r="AT13" s="348">
        <f t="shared" si="29"/>
        <v>0.5107327718264888</v>
      </c>
      <c r="AU13">
        <f t="shared" si="30"/>
        <v>2.4000000000000004</v>
      </c>
      <c r="AV13" s="526">
        <f t="shared" si="47"/>
        <v>0.82453464063415094</v>
      </c>
      <c r="AW13" s="534">
        <f t="shared" si="31"/>
        <v>4.0143645221839277</v>
      </c>
      <c r="AX13" s="534">
        <f t="shared" si="32"/>
        <v>2.984585762712884</v>
      </c>
      <c r="AY13" s="9"/>
      <c r="AZ13" s="4">
        <f t="shared" si="48"/>
        <v>82.453464063415097</v>
      </c>
      <c r="BA13" s="348">
        <f t="shared" si="33"/>
        <v>0.24435775633724127</v>
      </c>
      <c r="BB13" s="348">
        <f t="shared" si="34"/>
        <v>0.16931265319224698</v>
      </c>
      <c r="BC13" s="348">
        <f t="shared" si="35"/>
        <v>9.5580107671045897E-2</v>
      </c>
      <c r="BD13" s="348">
        <f t="shared" si="36"/>
        <v>7.3331345521201075E-2</v>
      </c>
      <c r="BE13" s="348">
        <f t="shared" si="37"/>
        <v>2.486128550001105E-2</v>
      </c>
      <c r="BJ13" s="18"/>
      <c r="BK13" s="18"/>
      <c r="BL13" s="18"/>
      <c r="BM13" s="19"/>
    </row>
    <row r="14" spans="1:65" x14ac:dyDescent="0.2">
      <c r="A14" s="22" t="s">
        <v>5</v>
      </c>
      <c r="B14" s="5">
        <f>Iout</f>
        <v>5</v>
      </c>
      <c r="C14" s="427" t="s">
        <v>1</v>
      </c>
      <c r="D14" s="21" t="s">
        <v>95</v>
      </c>
      <c r="G14">
        <v>5</v>
      </c>
      <c r="H14" s="531">
        <f t="shared" si="0"/>
        <v>50</v>
      </c>
      <c r="I14" s="4">
        <f t="shared" si="1"/>
        <v>1</v>
      </c>
      <c r="J14" s="348">
        <f t="shared" si="38"/>
        <v>0.25</v>
      </c>
      <c r="K14" s="348">
        <f t="shared" si="2"/>
        <v>0.25</v>
      </c>
      <c r="L14" s="4">
        <f t="shared" si="3"/>
        <v>6.6666666666666666E-2</v>
      </c>
      <c r="M14" s="348">
        <f t="shared" si="4"/>
        <v>0.24005508162490793</v>
      </c>
      <c r="N14" s="4">
        <f t="shared" si="5"/>
        <v>12.19406803249359</v>
      </c>
      <c r="O14" s="4">
        <f t="shared" si="39"/>
        <v>6.3470340162467949</v>
      </c>
      <c r="P14" s="4">
        <f t="shared" si="40"/>
        <v>-5.8470340162467949</v>
      </c>
      <c r="Q14" s="4">
        <f t="shared" si="6"/>
        <v>50</v>
      </c>
      <c r="R14" s="4">
        <f t="shared" si="41"/>
        <v>3.5289905919998579</v>
      </c>
      <c r="S14" s="348">
        <f t="shared" si="7"/>
        <v>4.3588211094482278E-2</v>
      </c>
      <c r="T14" s="348">
        <f t="shared" si="8"/>
        <v>0.2</v>
      </c>
      <c r="U14" s="348">
        <f t="shared" si="9"/>
        <v>0.24444058933512219</v>
      </c>
      <c r="V14" s="4">
        <f t="shared" si="42"/>
        <v>3.5201242305383924</v>
      </c>
      <c r="W14" s="348">
        <f t="shared" si="10"/>
        <v>1.2391274598423509E-2</v>
      </c>
      <c r="X14" s="348">
        <f t="shared" si="43"/>
        <v>1.2391274598423509E-2</v>
      </c>
      <c r="Y14" s="4">
        <f t="shared" si="44"/>
        <v>1.5072906672308624</v>
      </c>
      <c r="Z14" s="348">
        <f t="shared" si="11"/>
        <v>2.2719251555212579E-3</v>
      </c>
      <c r="AA14" s="525">
        <f t="shared" si="45"/>
        <v>2.2719251555212579E-3</v>
      </c>
      <c r="AB14" s="348">
        <f t="shared" si="46"/>
        <v>1.7290436309598323</v>
      </c>
      <c r="AC14" s="348">
        <f t="shared" si="12"/>
        <v>3.5875102533153125E-2</v>
      </c>
      <c r="AD14" s="348">
        <f t="shared" si="13"/>
        <v>1.6537505458202695E-2</v>
      </c>
      <c r="AE14" s="348">
        <f t="shared" si="14"/>
        <v>0</v>
      </c>
      <c r="AF14" s="348">
        <f t="shared" si="15"/>
        <v>1.948231734213432E-2</v>
      </c>
      <c r="AG14" s="348">
        <f t="shared" si="16"/>
        <v>7.2330864700983322E-2</v>
      </c>
      <c r="AH14" s="348">
        <f t="shared" si="17"/>
        <v>3.0763911845961243</v>
      </c>
      <c r="AI14" s="348">
        <f t="shared" si="18"/>
        <v>3.8803149154709046E-2</v>
      </c>
      <c r="AJ14" s="348">
        <f t="shared" si="19"/>
        <v>2.1148317342134317E-2</v>
      </c>
      <c r="AK14" s="348">
        <f t="shared" si="20"/>
        <v>6.0332596722061489E-2</v>
      </c>
      <c r="AL14" s="348">
        <f t="shared" si="21"/>
        <v>1.6659999999999997E-3</v>
      </c>
      <c r="AM14" s="348">
        <f t="shared" si="22"/>
        <v>5.015E-2</v>
      </c>
      <c r="AN14" s="348">
        <f t="shared" si="23"/>
        <v>2.4907549196847015E-2</v>
      </c>
      <c r="AO14" s="348">
        <f t="shared" si="24"/>
        <v>1.1E-4</v>
      </c>
      <c r="AP14" s="348">
        <f t="shared" si="25"/>
        <v>5.6099999999999997E-2</v>
      </c>
      <c r="AQ14" s="348">
        <f t="shared" si="26"/>
        <v>0.52647692307692318</v>
      </c>
      <c r="AR14" s="348">
        <f t="shared" si="27"/>
        <v>0.5048999999999999</v>
      </c>
      <c r="AS14" s="348">
        <f t="shared" si="28"/>
        <v>5.6209999999999996E-2</v>
      </c>
      <c r="AT14" s="348">
        <f t="shared" si="29"/>
        <v>0.52470079970895878</v>
      </c>
      <c r="AU14">
        <f t="shared" si="30"/>
        <v>3</v>
      </c>
      <c r="AV14" s="526">
        <f t="shared" si="47"/>
        <v>0.85113607380453848</v>
      </c>
      <c r="AW14" s="534">
        <f t="shared" si="31"/>
        <v>4.4280543174412994</v>
      </c>
      <c r="AX14" s="534">
        <f t="shared" si="32"/>
        <v>3.1291013365879028</v>
      </c>
      <c r="AY14" s="9"/>
      <c r="AZ14" s="4">
        <f t="shared" si="48"/>
        <v>85.113607380453843</v>
      </c>
      <c r="BA14" s="348">
        <f t="shared" si="33"/>
        <v>0.24444058933512219</v>
      </c>
      <c r="BB14" s="348">
        <f t="shared" si="34"/>
        <v>0.1828134614230448</v>
      </c>
      <c r="BC14" s="348">
        <f t="shared" si="35"/>
        <v>0.10542986470098333</v>
      </c>
      <c r="BD14" s="348">
        <f t="shared" si="36"/>
        <v>7.6882096722061491E-2</v>
      </c>
      <c r="BE14" s="348">
        <f t="shared" si="37"/>
        <v>2.4907549196847015E-2</v>
      </c>
      <c r="BJ14" s="18"/>
      <c r="BK14" s="18"/>
      <c r="BL14" s="18"/>
      <c r="BM14" s="19"/>
    </row>
    <row r="15" spans="1:65" x14ac:dyDescent="0.2">
      <c r="A15" s="23" t="s">
        <v>83</v>
      </c>
      <c r="B15" s="5">
        <f>Ta</f>
        <v>25</v>
      </c>
      <c r="C15" s="427" t="s">
        <v>449</v>
      </c>
      <c r="D15" s="21" t="s">
        <v>96</v>
      </c>
      <c r="G15">
        <v>6</v>
      </c>
      <c r="H15" s="531">
        <f t="shared" si="0"/>
        <v>50</v>
      </c>
      <c r="I15" s="4">
        <f t="shared" si="1"/>
        <v>1</v>
      </c>
      <c r="J15" s="348">
        <f t="shared" si="38"/>
        <v>0.3</v>
      </c>
      <c r="K15" s="348">
        <f t="shared" si="2"/>
        <v>0.3</v>
      </c>
      <c r="L15" s="4">
        <f t="shared" si="3"/>
        <v>7.9999999999999988E-2</v>
      </c>
      <c r="M15" s="348">
        <f t="shared" si="4"/>
        <v>0.24006609833988121</v>
      </c>
      <c r="N15" s="4">
        <f t="shared" si="5"/>
        <v>12.194378916521666</v>
      </c>
      <c r="O15" s="4">
        <f t="shared" si="39"/>
        <v>6.3971894582608329</v>
      </c>
      <c r="P15" s="4">
        <f t="shared" si="40"/>
        <v>-5.7971894582608332</v>
      </c>
      <c r="Q15" s="4">
        <f t="shared" si="6"/>
        <v>50</v>
      </c>
      <c r="R15" s="4">
        <f t="shared" si="41"/>
        <v>3.5329741620871893</v>
      </c>
      <c r="S15" s="348">
        <f t="shared" si="7"/>
        <v>4.368667250491487E-2</v>
      </c>
      <c r="T15" s="348">
        <f t="shared" si="8"/>
        <v>0.2</v>
      </c>
      <c r="U15" s="348">
        <f t="shared" si="9"/>
        <v>0.24454132825863906</v>
      </c>
      <c r="V15" s="4">
        <f t="shared" si="42"/>
        <v>3.5202139750270405</v>
      </c>
      <c r="W15" s="348">
        <f t="shared" si="10"/>
        <v>1.2391906429975678E-2</v>
      </c>
      <c r="X15" s="348">
        <f t="shared" si="43"/>
        <v>1.2391906429975678E-2</v>
      </c>
      <c r="Y15" s="4">
        <f t="shared" si="44"/>
        <v>1.5090158036305952</v>
      </c>
      <c r="Z15" s="348">
        <f t="shared" si="11"/>
        <v>2.2771286956068909E-3</v>
      </c>
      <c r="AA15" s="525">
        <f t="shared" si="45"/>
        <v>2.2771286956068909E-3</v>
      </c>
      <c r="AB15" s="348">
        <f t="shared" si="46"/>
        <v>1.7310351170579228</v>
      </c>
      <c r="AC15" s="348">
        <f t="shared" si="12"/>
        <v>3.5957790917852839E-2</v>
      </c>
      <c r="AD15" s="348">
        <f t="shared" si="13"/>
        <v>1.9845006549843235E-2</v>
      </c>
      <c r="AE15" s="348">
        <f t="shared" si="14"/>
        <v>0</v>
      </c>
      <c r="AF15" s="348">
        <f t="shared" si="15"/>
        <v>1.9316235274925098E-2</v>
      </c>
      <c r="AG15" s="348">
        <f t="shared" si="16"/>
        <v>7.5575577921962706E-2</v>
      </c>
      <c r="AH15" s="348">
        <f t="shared" si="17"/>
        <v>3.0798415305804192</v>
      </c>
      <c r="AI15" s="348">
        <f t="shared" si="18"/>
        <v>3.8890237799300544E-2</v>
      </c>
      <c r="AJ15" s="348">
        <f t="shared" si="19"/>
        <v>2.131543527492509E-2</v>
      </c>
      <c r="AK15" s="348">
        <f t="shared" si="20"/>
        <v>6.0589283868102424E-2</v>
      </c>
      <c r="AL15" s="348">
        <f t="shared" si="21"/>
        <v>1.9991999999999996E-3</v>
      </c>
      <c r="AM15" s="348">
        <f t="shared" si="22"/>
        <v>6.0179999999999997E-2</v>
      </c>
      <c r="AN15" s="348">
        <f t="shared" si="23"/>
        <v>2.4963812859951355E-2</v>
      </c>
      <c r="AO15" s="348">
        <f t="shared" si="24"/>
        <v>1.1E-4</v>
      </c>
      <c r="AP15" s="348">
        <f t="shared" si="25"/>
        <v>5.6099999999999997E-2</v>
      </c>
      <c r="AQ15" s="348">
        <f t="shared" si="26"/>
        <v>0.52647692307692318</v>
      </c>
      <c r="AR15" s="348">
        <f t="shared" si="27"/>
        <v>0.5048999999999999</v>
      </c>
      <c r="AS15" s="348">
        <f t="shared" si="28"/>
        <v>5.6209999999999996E-2</v>
      </c>
      <c r="AT15" s="348">
        <f t="shared" si="29"/>
        <v>0.53872823803423808</v>
      </c>
      <c r="AU15">
        <f t="shared" si="30"/>
        <v>3.5999999999999996</v>
      </c>
      <c r="AV15" s="526">
        <f t="shared" si="47"/>
        <v>0.86983242023880336</v>
      </c>
      <c r="AW15" s="534">
        <f t="shared" si="31"/>
        <v>4.8423638727224336</v>
      </c>
      <c r="AX15" s="534">
        <f t="shared" si="32"/>
        <v>3.2742614334317688</v>
      </c>
      <c r="AY15" s="9"/>
      <c r="AZ15" s="4">
        <f t="shared" si="48"/>
        <v>86.983242023880337</v>
      </c>
      <c r="BA15" s="348">
        <f t="shared" si="33"/>
        <v>0.24454132825863906</v>
      </c>
      <c r="BB15" s="348">
        <f t="shared" si="34"/>
        <v>0.19634486179006511</v>
      </c>
      <c r="BC15" s="348">
        <f t="shared" si="35"/>
        <v>0.1152943779219627</v>
      </c>
      <c r="BD15" s="348">
        <f t="shared" si="36"/>
        <v>8.0448683868102416E-2</v>
      </c>
      <c r="BE15" s="348">
        <f t="shared" si="37"/>
        <v>2.4963812859951355E-2</v>
      </c>
      <c r="BJ15" s="18"/>
      <c r="BK15" s="18"/>
      <c r="BL15" s="18"/>
      <c r="BM15" s="19"/>
    </row>
    <row r="16" spans="1:65" x14ac:dyDescent="0.2">
      <c r="A16" s="435" t="s">
        <v>460</v>
      </c>
      <c r="B16" s="5">
        <f>VCC</f>
        <v>5</v>
      </c>
      <c r="C16" s="427" t="s">
        <v>0</v>
      </c>
      <c r="D16" s="427" t="s">
        <v>459</v>
      </c>
      <c r="G16">
        <v>7</v>
      </c>
      <c r="H16" s="531">
        <f t="shared" si="0"/>
        <v>50</v>
      </c>
      <c r="I16" s="4">
        <f t="shared" si="1"/>
        <v>1</v>
      </c>
      <c r="J16" s="348">
        <f t="shared" si="38"/>
        <v>0.35</v>
      </c>
      <c r="K16" s="348">
        <f t="shared" si="2"/>
        <v>0.35</v>
      </c>
      <c r="L16" s="4">
        <f t="shared" si="3"/>
        <v>9.3333333333333324E-2</v>
      </c>
      <c r="M16" s="348">
        <f t="shared" si="4"/>
        <v>0.24007711518485716</v>
      </c>
      <c r="N16" s="4">
        <f t="shared" si="5"/>
        <v>12.194689784324456</v>
      </c>
      <c r="O16" s="4">
        <f t="shared" si="39"/>
        <v>6.4473448921622278</v>
      </c>
      <c r="P16" s="4">
        <f t="shared" si="40"/>
        <v>-5.7473448921622285</v>
      </c>
      <c r="Q16" s="4">
        <f t="shared" si="6"/>
        <v>50</v>
      </c>
      <c r="R16" s="4">
        <f t="shared" si="41"/>
        <v>3.5376599956269028</v>
      </c>
      <c r="S16" s="348">
        <f t="shared" si="7"/>
        <v>4.3802633856306283E-2</v>
      </c>
      <c r="T16" s="348">
        <f t="shared" si="8"/>
        <v>0.2</v>
      </c>
      <c r="U16" s="348">
        <f t="shared" si="9"/>
        <v>0.2446599739569888</v>
      </c>
      <c r="V16" s="4">
        <f t="shared" si="42"/>
        <v>3.5203037148318521</v>
      </c>
      <c r="W16" s="348">
        <f t="shared" si="10"/>
        <v>1.2392538244658939E-2</v>
      </c>
      <c r="X16" s="348">
        <f t="shared" si="43"/>
        <v>1.2392538244658939E-2</v>
      </c>
      <c r="Y16" s="4">
        <f t="shared" si="44"/>
        <v>1.5110409501848667</v>
      </c>
      <c r="Z16" s="348">
        <f t="shared" si="11"/>
        <v>2.283244753135585E-3</v>
      </c>
      <c r="AA16" s="525">
        <f t="shared" si="45"/>
        <v>2.283244753135585E-3</v>
      </c>
      <c r="AB16" s="348">
        <f t="shared" si="46"/>
        <v>1.7333707849752968</v>
      </c>
      <c r="AC16" s="348">
        <f t="shared" si="12"/>
        <v>3.6054891338470521E-2</v>
      </c>
      <c r="AD16" s="348">
        <f t="shared" si="13"/>
        <v>2.3152507641483772E-2</v>
      </c>
      <c r="AE16" s="348">
        <f t="shared" si="14"/>
        <v>0</v>
      </c>
      <c r="AF16" s="348">
        <f t="shared" si="15"/>
        <v>1.9150153180684547E-2</v>
      </c>
      <c r="AG16" s="348">
        <f t="shared" si="16"/>
        <v>7.883507368321066E-2</v>
      </c>
      <c r="AH16" s="348">
        <f t="shared" si="17"/>
        <v>3.0839040138196685</v>
      </c>
      <c r="AI16" s="348">
        <f t="shared" si="18"/>
        <v>3.8992902262457545E-2</v>
      </c>
      <c r="AJ16" s="348">
        <f t="shared" si="19"/>
        <v>2.1482553180684538E-2</v>
      </c>
      <c r="AK16" s="348">
        <f t="shared" si="20"/>
        <v>6.0861808913766795E-2</v>
      </c>
      <c r="AL16" s="348">
        <f t="shared" si="21"/>
        <v>2.3323999999999997E-3</v>
      </c>
      <c r="AM16" s="348">
        <f t="shared" si="22"/>
        <v>7.0209999999999995E-2</v>
      </c>
      <c r="AN16" s="348">
        <f t="shared" si="23"/>
        <v>2.5030076489317876E-2</v>
      </c>
      <c r="AO16" s="348">
        <f t="shared" si="24"/>
        <v>1.1E-4</v>
      </c>
      <c r="AP16" s="348">
        <f t="shared" si="25"/>
        <v>5.6099999999999997E-2</v>
      </c>
      <c r="AQ16" s="348">
        <f t="shared" si="26"/>
        <v>0.52647692307692318</v>
      </c>
      <c r="AR16" s="348">
        <f t="shared" si="27"/>
        <v>0.5048999999999999</v>
      </c>
      <c r="AS16" s="348">
        <f t="shared" si="28"/>
        <v>5.6209999999999996E-2</v>
      </c>
      <c r="AT16" s="348">
        <f t="shared" si="29"/>
        <v>0.55281511604107858</v>
      </c>
      <c r="AU16">
        <f t="shared" si="30"/>
        <v>4.1999999999999993</v>
      </c>
      <c r="AV16" s="526">
        <f t="shared" si="47"/>
        <v>0.88368680402162292</v>
      </c>
      <c r="AW16" s="534">
        <f t="shared" si="31"/>
        <v>5.257294294694848</v>
      </c>
      <c r="AX16" s="534">
        <f t="shared" si="32"/>
        <v>3.4200661327903088</v>
      </c>
      <c r="AY16" s="9"/>
      <c r="AZ16" s="4">
        <f t="shared" si="48"/>
        <v>88.368680402162298</v>
      </c>
      <c r="BA16" s="348">
        <f t="shared" si="33"/>
        <v>0.2446599739569888</v>
      </c>
      <c r="BB16" s="348">
        <f t="shared" si="34"/>
        <v>0.20990688259697746</v>
      </c>
      <c r="BC16" s="348">
        <f t="shared" si="35"/>
        <v>0.12517367368321067</v>
      </c>
      <c r="BD16" s="348">
        <f t="shared" si="36"/>
        <v>8.4031108913766792E-2</v>
      </c>
      <c r="BE16" s="348">
        <f t="shared" si="37"/>
        <v>2.5030076489317876E-2</v>
      </c>
      <c r="BJ16" s="18"/>
      <c r="BK16" s="18"/>
      <c r="BL16" s="18"/>
      <c r="BM16" s="19"/>
    </row>
    <row r="17" spans="1:65" x14ac:dyDescent="0.2">
      <c r="A17" s="24" t="s">
        <v>58</v>
      </c>
      <c r="B17" s="16" t="s">
        <v>111</v>
      </c>
      <c r="C17" s="24" t="s">
        <v>76</v>
      </c>
      <c r="D17" s="17" t="s">
        <v>107</v>
      </c>
      <c r="G17">
        <v>8</v>
      </c>
      <c r="H17" s="531">
        <f t="shared" si="0"/>
        <v>50</v>
      </c>
      <c r="I17" s="4">
        <f t="shared" si="1"/>
        <v>1</v>
      </c>
      <c r="J17" s="348">
        <f t="shared" si="38"/>
        <v>0.4</v>
      </c>
      <c r="K17" s="348">
        <f t="shared" si="2"/>
        <v>0.4</v>
      </c>
      <c r="L17" s="4">
        <f t="shared" si="3"/>
        <v>0.10666666666666669</v>
      </c>
      <c r="M17" s="348">
        <f t="shared" si="4"/>
        <v>0.24008813215983796</v>
      </c>
      <c r="N17" s="4">
        <f t="shared" si="5"/>
        <v>12.195000635901673</v>
      </c>
      <c r="O17" s="4">
        <f t="shared" si="39"/>
        <v>6.4975003179508368</v>
      </c>
      <c r="P17" s="4">
        <f t="shared" si="40"/>
        <v>-5.6975003179508361</v>
      </c>
      <c r="Q17" s="4">
        <f t="shared" si="6"/>
        <v>50</v>
      </c>
      <c r="R17" s="4">
        <f t="shared" si="41"/>
        <v>3.5430453062965741</v>
      </c>
      <c r="S17" s="348">
        <f t="shared" si="7"/>
        <v>4.3936095148645653E-2</v>
      </c>
      <c r="T17" s="348">
        <f t="shared" si="8"/>
        <v>0.2</v>
      </c>
      <c r="U17" s="348">
        <f t="shared" si="9"/>
        <v>0.24479652743034469</v>
      </c>
      <c r="V17" s="4">
        <f t="shared" si="42"/>
        <v>3.5203934499527443</v>
      </c>
      <c r="W17" s="348">
        <f t="shared" si="10"/>
        <v>1.2393170042470186E-2</v>
      </c>
      <c r="X17" s="348">
        <f t="shared" si="43"/>
        <v>1.2393170042470186E-2</v>
      </c>
      <c r="Y17" s="4">
        <f t="shared" si="44"/>
        <v>1.513364930873154</v>
      </c>
      <c r="Z17" s="348">
        <f t="shared" si="11"/>
        <v>2.2902734139967065E-3</v>
      </c>
      <c r="AA17" s="525">
        <f t="shared" si="45"/>
        <v>2.2902734139967065E-3</v>
      </c>
      <c r="AB17" s="348">
        <f t="shared" si="46"/>
        <v>1.7360492931312466</v>
      </c>
      <c r="AC17" s="348">
        <f t="shared" si="12"/>
        <v>3.6166405778178007E-2</v>
      </c>
      <c r="AD17" s="348">
        <f t="shared" si="13"/>
        <v>2.6460008733124311E-2</v>
      </c>
      <c r="AE17" s="348">
        <f t="shared" si="14"/>
        <v>0</v>
      </c>
      <c r="AF17" s="348">
        <f t="shared" si="15"/>
        <v>1.8984071059412185E-2</v>
      </c>
      <c r="AG17" s="348">
        <f t="shared" si="16"/>
        <v>8.210937855602711E-2</v>
      </c>
      <c r="AH17" s="348">
        <f t="shared" si="17"/>
        <v>3.0885761920808568</v>
      </c>
      <c r="AI17" s="348">
        <f t="shared" si="18"/>
        <v>3.9111141866583606E-2</v>
      </c>
      <c r="AJ17" s="348">
        <f t="shared" si="19"/>
        <v>2.1649671059412186E-2</v>
      </c>
      <c r="AK17" s="348">
        <f t="shared" si="20"/>
        <v>6.1150174055994516E-2</v>
      </c>
      <c r="AL17" s="348">
        <f t="shared" si="21"/>
        <v>2.6655999999999997E-3</v>
      </c>
      <c r="AM17" s="348">
        <f t="shared" si="22"/>
        <v>8.0240000000000006E-2</v>
      </c>
      <c r="AN17" s="348">
        <f t="shared" si="23"/>
        <v>2.5106340084940372E-2</v>
      </c>
      <c r="AO17" s="348">
        <f t="shared" si="24"/>
        <v>1.1E-4</v>
      </c>
      <c r="AP17" s="348">
        <f t="shared" si="25"/>
        <v>5.6099999999999997E-2</v>
      </c>
      <c r="AQ17" s="348">
        <f t="shared" si="26"/>
        <v>0.52647692307692318</v>
      </c>
      <c r="AR17" s="348">
        <f t="shared" si="27"/>
        <v>0.5048999999999999</v>
      </c>
      <c r="AS17" s="348">
        <f t="shared" si="28"/>
        <v>5.6209999999999996E-2</v>
      </c>
      <c r="AT17" s="348">
        <f t="shared" si="29"/>
        <v>0.56696146358377364</v>
      </c>
      <c r="AU17">
        <f t="shared" si="30"/>
        <v>4.8000000000000007</v>
      </c>
      <c r="AV17" s="526">
        <f t="shared" si="47"/>
        <v>0.89436080966283182</v>
      </c>
      <c r="AW17" s="534">
        <f t="shared" si="31"/>
        <v>5.6728466993531388</v>
      </c>
      <c r="AX17" s="534">
        <f t="shared" si="32"/>
        <v>3.5665155240789774</v>
      </c>
      <c r="AY17" s="9"/>
      <c r="AZ17" s="4">
        <f t="shared" si="48"/>
        <v>89.436080966283185</v>
      </c>
      <c r="BA17" s="348">
        <f t="shared" si="33"/>
        <v>0.24479652743034469</v>
      </c>
      <c r="BB17" s="348">
        <f t="shared" si="34"/>
        <v>0.22349955261202162</v>
      </c>
      <c r="BC17" s="348">
        <f t="shared" si="35"/>
        <v>0.13506777855602711</v>
      </c>
      <c r="BD17" s="348">
        <f t="shared" si="36"/>
        <v>8.7629374055994524E-2</v>
      </c>
      <c r="BE17" s="348">
        <f t="shared" si="37"/>
        <v>2.5106340084940372E-2</v>
      </c>
      <c r="BJ17" s="18"/>
      <c r="BK17" s="18"/>
      <c r="BL17" s="18"/>
      <c r="BM17" s="19"/>
    </row>
    <row r="18" spans="1:65" x14ac:dyDescent="0.2">
      <c r="A18" s="35" t="s">
        <v>56</v>
      </c>
      <c r="B18" s="38">
        <f>Lf*1000000</f>
        <v>2.2000000000000002</v>
      </c>
      <c r="C18" s="428" t="s">
        <v>10</v>
      </c>
      <c r="D18" s="427" t="s">
        <v>452</v>
      </c>
      <c r="G18">
        <v>9</v>
      </c>
      <c r="H18" s="531">
        <f t="shared" si="0"/>
        <v>50</v>
      </c>
      <c r="I18" s="4">
        <f t="shared" si="1"/>
        <v>1</v>
      </c>
      <c r="J18" s="348">
        <f t="shared" si="38"/>
        <v>0.45</v>
      </c>
      <c r="K18" s="348">
        <f t="shared" si="2"/>
        <v>0.45</v>
      </c>
      <c r="L18" s="4">
        <f t="shared" si="3"/>
        <v>0.12000000000000001</v>
      </c>
      <c r="M18" s="348">
        <f t="shared" si="4"/>
        <v>0.24009914926482595</v>
      </c>
      <c r="N18" s="4">
        <f t="shared" si="5"/>
        <v>12.195311471253026</v>
      </c>
      <c r="O18" s="4">
        <f t="shared" si="39"/>
        <v>6.5476557356265133</v>
      </c>
      <c r="P18" s="4">
        <f t="shared" si="40"/>
        <v>-5.6476557356265129</v>
      </c>
      <c r="Q18" s="4">
        <f t="shared" si="6"/>
        <v>50</v>
      </c>
      <c r="R18" s="4">
        <f t="shared" si="41"/>
        <v>3.5491269100169278</v>
      </c>
      <c r="S18" s="348">
        <f t="shared" si="7"/>
        <v>4.408705638192207E-2</v>
      </c>
      <c r="T18" s="348">
        <f t="shared" si="8"/>
        <v>0.2</v>
      </c>
      <c r="U18" s="348">
        <f t="shared" si="9"/>
        <v>0.24495098982987706</v>
      </c>
      <c r="V18" s="4">
        <f t="shared" si="42"/>
        <v>3.520483180389633</v>
      </c>
      <c r="W18" s="348">
        <f t="shared" si="10"/>
        <v>1.2393801823406304E-2</v>
      </c>
      <c r="X18" s="348">
        <f t="shared" si="43"/>
        <v>1.2393801823406304E-2</v>
      </c>
      <c r="Y18" s="4">
        <f t="shared" si="44"/>
        <v>1.5159863996996688</v>
      </c>
      <c r="Z18" s="348">
        <f t="shared" si="11"/>
        <v>2.2982147640743639E-3</v>
      </c>
      <c r="AA18" s="525">
        <f t="shared" si="45"/>
        <v>2.2982147640743639E-3</v>
      </c>
      <c r="AB18" s="348">
        <f t="shared" si="46"/>
        <v>1.7390691049187292</v>
      </c>
      <c r="AC18" s="348">
        <f t="shared" si="12"/>
        <v>3.6292336220193962E-2</v>
      </c>
      <c r="AD18" s="348">
        <f t="shared" si="13"/>
        <v>2.9767509824764851E-2</v>
      </c>
      <c r="AE18" s="348">
        <f t="shared" si="14"/>
        <v>0</v>
      </c>
      <c r="AF18" s="348">
        <f t="shared" si="15"/>
        <v>1.8817988911107537E-2</v>
      </c>
      <c r="AG18" s="348">
        <f t="shared" si="16"/>
        <v>8.5398519334500614E-2</v>
      </c>
      <c r="AH18" s="348">
        <f t="shared" si="17"/>
        <v>3.0938552764671261</v>
      </c>
      <c r="AI18" s="348">
        <f t="shared" si="18"/>
        <v>3.9244955934066253E-2</v>
      </c>
      <c r="AJ18" s="348">
        <f t="shared" si="19"/>
        <v>2.181678891110754E-2</v>
      </c>
      <c r="AK18" s="348">
        <f t="shared" si="20"/>
        <v>6.1454381734281263E-2</v>
      </c>
      <c r="AL18" s="348">
        <f t="shared" si="21"/>
        <v>2.9987999999999994E-3</v>
      </c>
      <c r="AM18" s="348">
        <f t="shared" si="22"/>
        <v>9.0270000000000003E-2</v>
      </c>
      <c r="AN18" s="348">
        <f t="shared" si="23"/>
        <v>2.5192603646812611E-2</v>
      </c>
      <c r="AO18" s="348">
        <f t="shared" si="24"/>
        <v>1.1E-4</v>
      </c>
      <c r="AP18" s="348">
        <f t="shared" si="25"/>
        <v>5.6099999999999997E-2</v>
      </c>
      <c r="AQ18" s="348">
        <f t="shared" si="26"/>
        <v>0.52647692307692318</v>
      </c>
      <c r="AR18" s="348">
        <f t="shared" si="27"/>
        <v>0.5048999999999999</v>
      </c>
      <c r="AS18" s="348">
        <f t="shared" si="28"/>
        <v>5.6209999999999996E-2</v>
      </c>
      <c r="AT18" s="348">
        <f t="shared" si="29"/>
        <v>0.58116731113295228</v>
      </c>
      <c r="AU18">
        <f t="shared" si="30"/>
        <v>5.4</v>
      </c>
      <c r="AV18" s="526">
        <f t="shared" si="47"/>
        <v>0.90283379800274011</v>
      </c>
      <c r="AW18" s="534">
        <f t="shared" si="31"/>
        <v>6.0890222120490263</v>
      </c>
      <c r="AX18" s="534">
        <f t="shared" si="32"/>
        <v>3.7136097065852476</v>
      </c>
      <c r="AY18" s="9"/>
      <c r="AZ18" s="4">
        <f t="shared" si="48"/>
        <v>90.283379800274005</v>
      </c>
      <c r="BA18" s="348">
        <f t="shared" si="33"/>
        <v>0.24495098982987706</v>
      </c>
      <c r="BB18" s="348">
        <f t="shared" si="34"/>
        <v>0.23712290106878187</v>
      </c>
      <c r="BC18" s="348">
        <f t="shared" si="35"/>
        <v>0.14497671933450063</v>
      </c>
      <c r="BD18" s="348">
        <f t="shared" si="36"/>
        <v>9.1243481734281262E-2</v>
      </c>
      <c r="BE18" s="348">
        <f t="shared" si="37"/>
        <v>2.5192603646812611E-2</v>
      </c>
      <c r="BK18" s="18"/>
      <c r="BL18" s="19"/>
    </row>
    <row r="19" spans="1:65" x14ac:dyDescent="0.2">
      <c r="A19" s="35" t="s">
        <v>11</v>
      </c>
      <c r="B19" s="39">
        <f>Rdcr*1000</f>
        <v>3.5</v>
      </c>
      <c r="C19" s="429" t="s">
        <v>450</v>
      </c>
      <c r="D19" s="427" t="s">
        <v>453</v>
      </c>
      <c r="G19">
        <v>10</v>
      </c>
      <c r="H19" s="531">
        <f t="shared" si="0"/>
        <v>50</v>
      </c>
      <c r="I19" s="4">
        <f t="shared" si="1"/>
        <v>1</v>
      </c>
      <c r="J19" s="348">
        <f t="shared" si="38"/>
        <v>0.5</v>
      </c>
      <c r="K19" s="348">
        <f t="shared" si="2"/>
        <v>0.5</v>
      </c>
      <c r="L19" s="4">
        <f t="shared" si="3"/>
        <v>0.13333333333333333</v>
      </c>
      <c r="M19" s="348">
        <f t="shared" si="4"/>
        <v>0.24011016649982347</v>
      </c>
      <c r="N19" s="4">
        <f t="shared" si="5"/>
        <v>12.195622290378234</v>
      </c>
      <c r="O19" s="4">
        <f t="shared" si="39"/>
        <v>6.5978111451891168</v>
      </c>
      <c r="P19" s="4">
        <f t="shared" si="40"/>
        <v>-5.5978111451891168</v>
      </c>
      <c r="Q19" s="4">
        <f t="shared" si="6"/>
        <v>50</v>
      </c>
      <c r="R19" s="4">
        <f t="shared" si="41"/>
        <v>3.5559012342111247</v>
      </c>
      <c r="S19" s="348">
        <f t="shared" si="7"/>
        <v>4.4255517556124696E-2</v>
      </c>
      <c r="T19" s="348">
        <f t="shared" si="8"/>
        <v>0.2</v>
      </c>
      <c r="U19" s="348">
        <f t="shared" si="9"/>
        <v>0.24512336245777802</v>
      </c>
      <c r="V19" s="4">
        <f t="shared" si="42"/>
        <v>3.5205729061424371</v>
      </c>
      <c r="W19" s="348">
        <f t="shared" si="10"/>
        <v>1.2394433587464206E-2</v>
      </c>
      <c r="X19" s="348">
        <f t="shared" si="43"/>
        <v>1.2394433587464206E-2</v>
      </c>
      <c r="Y19" s="4">
        <f t="shared" si="44"/>
        <v>1.5189038446351402</v>
      </c>
      <c r="Z19" s="348">
        <f t="shared" si="11"/>
        <v>2.3070688892474103E-3</v>
      </c>
      <c r="AA19" s="525">
        <f t="shared" si="45"/>
        <v>2.3070688892474103E-3</v>
      </c>
      <c r="AB19" s="348">
        <f t="shared" si="46"/>
        <v>1.7424284932191592</v>
      </c>
      <c r="AC19" s="348">
        <f t="shared" si="12"/>
        <v>3.6432684647783875E-2</v>
      </c>
      <c r="AD19" s="348">
        <f t="shared" si="13"/>
        <v>3.3075010916405391E-2</v>
      </c>
      <c r="AE19" s="348">
        <f t="shared" si="14"/>
        <v>0</v>
      </c>
      <c r="AF19" s="348">
        <f t="shared" si="15"/>
        <v>1.8651906735770135E-2</v>
      </c>
      <c r="AG19" s="348">
        <f t="shared" si="16"/>
        <v>8.8702523036232023E-2</v>
      </c>
      <c r="AH19" s="348">
        <f t="shared" si="17"/>
        <v>3.0997381395018211</v>
      </c>
      <c r="AI19" s="348">
        <f t="shared" si="18"/>
        <v>3.9394343787277061E-2</v>
      </c>
      <c r="AJ19" s="348">
        <f t="shared" si="19"/>
        <v>2.1983906735770133E-2</v>
      </c>
      <c r="AK19" s="348">
        <f t="shared" si="20"/>
        <v>6.1774434630746833E-2</v>
      </c>
      <c r="AL19" s="348">
        <f t="shared" si="21"/>
        <v>3.3319999999999995E-3</v>
      </c>
      <c r="AM19" s="348">
        <f t="shared" si="22"/>
        <v>0.1003</v>
      </c>
      <c r="AN19" s="348">
        <f t="shared" si="23"/>
        <v>2.5288867174928398E-2</v>
      </c>
      <c r="AO19" s="348">
        <f t="shared" si="24"/>
        <v>1.1E-4</v>
      </c>
      <c r="AP19" s="348">
        <f t="shared" si="25"/>
        <v>5.6099999999999997E-2</v>
      </c>
      <c r="AQ19" s="348">
        <f t="shared" si="26"/>
        <v>0.52647692307692318</v>
      </c>
      <c r="AR19" s="348">
        <f t="shared" si="27"/>
        <v>0.5048999999999999</v>
      </c>
      <c r="AS19" s="348">
        <f t="shared" si="28"/>
        <v>5.6209999999999996E-2</v>
      </c>
      <c r="AT19" s="348">
        <f t="shared" si="29"/>
        <v>0.59543268977639685</v>
      </c>
      <c r="AU19">
        <f t="shared" si="30"/>
        <v>6</v>
      </c>
      <c r="AV19" s="526">
        <f t="shared" si="47"/>
        <v>0.90972045083571562</v>
      </c>
      <c r="AW19" s="534">
        <f t="shared" si="31"/>
        <v>6.5058219675217455</v>
      </c>
      <c r="AX19" s="534">
        <f t="shared" si="32"/>
        <v>3.8613487894713967</v>
      </c>
      <c r="AY19" s="9"/>
      <c r="AZ19" s="4">
        <f t="shared" si="48"/>
        <v>90.972045083571558</v>
      </c>
      <c r="BA19" s="348">
        <f t="shared" si="33"/>
        <v>0.24512336245777802</v>
      </c>
      <c r="BB19" s="348">
        <f t="shared" si="34"/>
        <v>0.25077695766697883</v>
      </c>
      <c r="BC19" s="348">
        <f t="shared" si="35"/>
        <v>0.15490052303623203</v>
      </c>
      <c r="BD19" s="348">
        <f t="shared" si="36"/>
        <v>9.4873434630746836E-2</v>
      </c>
      <c r="BE19" s="348">
        <f t="shared" si="37"/>
        <v>2.5288867174928398E-2</v>
      </c>
      <c r="BK19" s="18"/>
      <c r="BL19" s="19"/>
    </row>
    <row r="20" spans="1:65" x14ac:dyDescent="0.2">
      <c r="A20" s="35" t="s">
        <v>82</v>
      </c>
      <c r="B20" s="39">
        <f>Ltc*1000000</f>
        <v>4000</v>
      </c>
      <c r="C20" s="428" t="s">
        <v>81</v>
      </c>
      <c r="D20" s="21" t="s">
        <v>97</v>
      </c>
      <c r="G20">
        <v>11</v>
      </c>
      <c r="H20" s="531">
        <f t="shared" si="0"/>
        <v>50</v>
      </c>
      <c r="I20" s="4">
        <f t="shared" si="1"/>
        <v>1</v>
      </c>
      <c r="J20" s="348">
        <f t="shared" si="38"/>
        <v>0.55000000000000004</v>
      </c>
      <c r="K20" s="348">
        <f t="shared" si="2"/>
        <v>0.55000000000000004</v>
      </c>
      <c r="L20" s="4">
        <f t="shared" si="3"/>
        <v>0.14666666666666667</v>
      </c>
      <c r="M20" s="348">
        <f t="shared" si="4"/>
        <v>0.24012118386483283</v>
      </c>
      <c r="N20" s="4">
        <f t="shared" si="5"/>
        <v>12.195933093277004</v>
      </c>
      <c r="O20" s="4">
        <f t="shared" si="39"/>
        <v>6.6479665466385018</v>
      </c>
      <c r="P20" s="4">
        <f t="shared" si="40"/>
        <v>-5.5479665466385022</v>
      </c>
      <c r="Q20" s="4">
        <f t="shared" si="6"/>
        <v>50</v>
      </c>
      <c r="R20" s="4">
        <f t="shared" si="41"/>
        <v>3.5633643280810858</v>
      </c>
      <c r="S20" s="348">
        <f t="shared" si="7"/>
        <v>4.4441478671242686E-2</v>
      </c>
      <c r="T20" s="348">
        <f t="shared" si="8"/>
        <v>0.2</v>
      </c>
      <c r="U20" s="348">
        <f t="shared" si="9"/>
        <v>0.24531364676728853</v>
      </c>
      <c r="V20" s="4">
        <f t="shared" si="42"/>
        <v>3.5206626272110721</v>
      </c>
      <c r="W20" s="348">
        <f t="shared" si="10"/>
        <v>1.239506533464077E-2</v>
      </c>
      <c r="X20" s="348">
        <f t="shared" si="43"/>
        <v>1.239506533464077E-2</v>
      </c>
      <c r="Y20" s="4">
        <f t="shared" si="44"/>
        <v>1.5221155919934086</v>
      </c>
      <c r="Z20" s="348">
        <f t="shared" si="11"/>
        <v>2.3168358753894447E-3</v>
      </c>
      <c r="AA20" s="525">
        <f t="shared" si="45"/>
        <v>2.3168358753894447E-3</v>
      </c>
      <c r="AB20" s="348">
        <f t="shared" si="46"/>
        <v>1.7461255454161948</v>
      </c>
      <c r="AC20" s="348">
        <f t="shared" si="12"/>
        <v>3.6587453044260046E-2</v>
      </c>
      <c r="AD20" s="348">
        <f t="shared" si="13"/>
        <v>3.6382512008045938E-2</v>
      </c>
      <c r="AE20" s="348">
        <f t="shared" si="14"/>
        <v>0</v>
      </c>
      <c r="AF20" s="348">
        <f t="shared" si="15"/>
        <v>1.8485824533399489E-2</v>
      </c>
      <c r="AG20" s="348">
        <f t="shared" si="16"/>
        <v>9.2021416903066686E-2</v>
      </c>
      <c r="AH20" s="348">
        <f t="shared" si="17"/>
        <v>3.1062213240987457</v>
      </c>
      <c r="AI20" s="348">
        <f t="shared" si="18"/>
        <v>3.9559304748571632E-2</v>
      </c>
      <c r="AJ20" s="348">
        <f t="shared" si="19"/>
        <v>2.2151024533399486E-2</v>
      </c>
      <c r="AK20" s="348">
        <f t="shared" si="20"/>
        <v>6.2110335670212444E-2</v>
      </c>
      <c r="AL20" s="348">
        <f t="shared" si="21"/>
        <v>3.6651999999999995E-3</v>
      </c>
      <c r="AM20" s="348">
        <f t="shared" si="22"/>
        <v>0.11033000000000003</v>
      </c>
      <c r="AN20" s="348">
        <f t="shared" si="23"/>
        <v>2.5395130669281535E-2</v>
      </c>
      <c r="AO20" s="348">
        <f t="shared" si="24"/>
        <v>1.1E-4</v>
      </c>
      <c r="AP20" s="348">
        <f t="shared" si="25"/>
        <v>5.6099999999999997E-2</v>
      </c>
      <c r="AQ20" s="348">
        <f t="shared" si="26"/>
        <v>0.52647692307692318</v>
      </c>
      <c r="AR20" s="348">
        <f t="shared" si="27"/>
        <v>0.5048999999999999</v>
      </c>
      <c r="AS20" s="348">
        <f t="shared" si="28"/>
        <v>5.6209999999999996E-2</v>
      </c>
      <c r="AT20" s="348">
        <f t="shared" si="29"/>
        <v>0.60975763121987947</v>
      </c>
      <c r="AU20">
        <f t="shared" si="30"/>
        <v>6.6000000000000005</v>
      </c>
      <c r="AV20" s="526">
        <f t="shared" si="47"/>
        <v>0.91542605696209667</v>
      </c>
      <c r="AW20" s="534">
        <f t="shared" si="31"/>
        <v>6.9232471099288011</v>
      </c>
      <c r="AX20" s="534">
        <f t="shared" si="32"/>
        <v>4.0097328917776469</v>
      </c>
      <c r="AY20" s="9"/>
      <c r="AZ20" s="4">
        <f t="shared" si="48"/>
        <v>91.542605696209662</v>
      </c>
      <c r="BA20" s="348">
        <f t="shared" si="33"/>
        <v>0.24531364676728853</v>
      </c>
      <c r="BB20" s="348">
        <f t="shared" si="34"/>
        <v>0.26446175257327914</v>
      </c>
      <c r="BC20" s="348">
        <f t="shared" si="35"/>
        <v>0.16483921690306669</v>
      </c>
      <c r="BD20" s="348">
        <f t="shared" si="36"/>
        <v>9.8519235670212452E-2</v>
      </c>
      <c r="BE20" s="348">
        <f t="shared" si="37"/>
        <v>2.5395130669281535E-2</v>
      </c>
      <c r="BK20" s="18"/>
      <c r="BL20" s="19"/>
    </row>
    <row r="21" spans="1:65" x14ac:dyDescent="0.2">
      <c r="A21" s="25" t="s">
        <v>129</v>
      </c>
      <c r="B21" s="39">
        <f>ThetaCa</f>
        <v>20</v>
      </c>
      <c r="C21" s="428" t="s">
        <v>202</v>
      </c>
      <c r="D21" s="26" t="s">
        <v>130</v>
      </c>
      <c r="G21">
        <v>12</v>
      </c>
      <c r="H21" s="531">
        <f t="shared" si="0"/>
        <v>50</v>
      </c>
      <c r="I21" s="4">
        <f t="shared" si="1"/>
        <v>1</v>
      </c>
      <c r="J21" s="348">
        <f t="shared" si="38"/>
        <v>0.6</v>
      </c>
      <c r="K21" s="348">
        <f t="shared" si="2"/>
        <v>0.6</v>
      </c>
      <c r="L21" s="4">
        <f t="shared" si="3"/>
        <v>0.15999999999999998</v>
      </c>
      <c r="M21" s="348">
        <f t="shared" si="4"/>
        <v>0.2401322013598563</v>
      </c>
      <c r="N21" s="4">
        <f t="shared" si="5"/>
        <v>12.196243879949053</v>
      </c>
      <c r="O21" s="4">
        <f t="shared" si="39"/>
        <v>6.6981219399745262</v>
      </c>
      <c r="P21" s="4">
        <f t="shared" si="40"/>
        <v>-5.4981219399745269</v>
      </c>
      <c r="Q21" s="4">
        <f t="shared" si="6"/>
        <v>50</v>
      </c>
      <c r="R21" s="4">
        <f t="shared" si="41"/>
        <v>3.5715118738333902</v>
      </c>
      <c r="S21" s="348">
        <f t="shared" si="7"/>
        <v>4.4644939727265132E-2</v>
      </c>
      <c r="T21" s="348">
        <f t="shared" si="8"/>
        <v>0.2</v>
      </c>
      <c r="U21" s="348">
        <f t="shared" si="9"/>
        <v>0.24552184436272922</v>
      </c>
      <c r="V21" s="4">
        <f t="shared" si="42"/>
        <v>3.520752343595456</v>
      </c>
      <c r="W21" s="348">
        <f t="shared" si="10"/>
        <v>1.2395697064932895E-2</v>
      </c>
      <c r="X21" s="348">
        <f t="shared" si="43"/>
        <v>1.2395697064932895E-2</v>
      </c>
      <c r="Y21" s="4">
        <f t="shared" si="44"/>
        <v>1.5256198112140535</v>
      </c>
      <c r="Z21" s="348">
        <f t="shared" si="11"/>
        <v>2.3275158083688042E-3</v>
      </c>
      <c r="AA21" s="525">
        <f t="shared" si="45"/>
        <v>2.3275158083688042E-3</v>
      </c>
      <c r="AB21" s="348">
        <f t="shared" si="46"/>
        <v>1.750158168875543</v>
      </c>
      <c r="AC21" s="348">
        <f t="shared" si="12"/>
        <v>3.6756643392981521E-2</v>
      </c>
      <c r="AD21" s="348">
        <f t="shared" si="13"/>
        <v>3.9690013099686471E-2</v>
      </c>
      <c r="AE21" s="348">
        <f t="shared" si="14"/>
        <v>0</v>
      </c>
      <c r="AF21" s="348">
        <f t="shared" si="15"/>
        <v>1.8319742303995121E-2</v>
      </c>
      <c r="AG21" s="348">
        <f t="shared" si="16"/>
        <v>9.5355228401834899E-2</v>
      </c>
      <c r="AH21" s="348">
        <f t="shared" si="17"/>
        <v>3.1133010533597774</v>
      </c>
      <c r="AI21" s="348">
        <f t="shared" si="18"/>
        <v>3.9739838140289502E-2</v>
      </c>
      <c r="AJ21" s="348">
        <f t="shared" si="19"/>
        <v>2.2318142303995116E-2</v>
      </c>
      <c r="AK21" s="348">
        <f t="shared" si="20"/>
        <v>6.2462088020287465E-2</v>
      </c>
      <c r="AL21" s="348">
        <f t="shared" si="21"/>
        <v>3.9983999999999992E-3</v>
      </c>
      <c r="AM21" s="348">
        <f t="shared" si="22"/>
        <v>0.12035999999999999</v>
      </c>
      <c r="AN21" s="348">
        <f t="shared" si="23"/>
        <v>2.5511394129865788E-2</v>
      </c>
      <c r="AO21" s="348">
        <f t="shared" si="24"/>
        <v>1.1E-4</v>
      </c>
      <c r="AP21" s="348">
        <f t="shared" si="25"/>
        <v>5.6099999999999997E-2</v>
      </c>
      <c r="AQ21" s="348">
        <f t="shared" si="26"/>
        <v>0.52647692307692318</v>
      </c>
      <c r="AR21" s="348">
        <f t="shared" si="27"/>
        <v>0.5048999999999999</v>
      </c>
      <c r="AS21" s="348">
        <f t="shared" si="28"/>
        <v>5.6209999999999996E-2</v>
      </c>
      <c r="AT21" s="348">
        <f t="shared" si="29"/>
        <v>0.62414216778801912</v>
      </c>
      <c r="AU21">
        <f t="shared" si="30"/>
        <v>7.1999999999999993</v>
      </c>
      <c r="AV21" s="526">
        <f t="shared" si="47"/>
        <v>0.92022867754658</v>
      </c>
      <c r="AW21" s="534">
        <f t="shared" si="31"/>
        <v>7.3412987928770663</v>
      </c>
      <c r="AX21" s="534">
        <f t="shared" si="32"/>
        <v>4.1587621424257</v>
      </c>
      <c r="AY21" s="9"/>
      <c r="AZ21" s="4">
        <f t="shared" si="48"/>
        <v>92.022867754657995</v>
      </c>
      <c r="BA21" s="348">
        <f t="shared" si="33"/>
        <v>0.24552184436272922</v>
      </c>
      <c r="BB21" s="348">
        <f t="shared" si="34"/>
        <v>0.2781773164221224</v>
      </c>
      <c r="BC21" s="348">
        <f t="shared" si="35"/>
        <v>0.17479282840183491</v>
      </c>
      <c r="BD21" s="348">
        <f t="shared" si="36"/>
        <v>0.10218088802028746</v>
      </c>
      <c r="BE21" s="348">
        <f t="shared" si="37"/>
        <v>2.5511394129865788E-2</v>
      </c>
      <c r="BK21" s="18"/>
      <c r="BL21" s="19"/>
    </row>
    <row r="22" spans="1:65" x14ac:dyDescent="0.2">
      <c r="A22" s="36" t="s">
        <v>57</v>
      </c>
      <c r="B22" s="39">
        <f>Cin*1000000</f>
        <v>30</v>
      </c>
      <c r="C22" s="430" t="s">
        <v>451</v>
      </c>
      <c r="D22" s="427" t="s">
        <v>468</v>
      </c>
      <c r="G22">
        <v>13</v>
      </c>
      <c r="H22" s="531">
        <f t="shared" si="0"/>
        <v>50</v>
      </c>
      <c r="I22" s="4">
        <f t="shared" si="1"/>
        <v>1</v>
      </c>
      <c r="J22" s="348">
        <f t="shared" si="38"/>
        <v>0.65</v>
      </c>
      <c r="K22" s="348">
        <f t="shared" si="2"/>
        <v>0.65</v>
      </c>
      <c r="L22" s="4">
        <f t="shared" si="3"/>
        <v>0.17333333333333334</v>
      </c>
      <c r="M22" s="348">
        <f t="shared" si="4"/>
        <v>0.24014321898489616</v>
      </c>
      <c r="N22" s="4">
        <f t="shared" si="5"/>
        <v>12.196554650394093</v>
      </c>
      <c r="O22" s="4">
        <f t="shared" si="39"/>
        <v>6.7482773251970469</v>
      </c>
      <c r="P22" s="4">
        <f t="shared" si="40"/>
        <v>-5.4482773251970462</v>
      </c>
      <c r="Q22" s="4">
        <f t="shared" si="6"/>
        <v>50</v>
      </c>
      <c r="R22" s="4">
        <f t="shared" si="41"/>
        <v>3.5803391987823558</v>
      </c>
      <c r="S22" s="348">
        <f t="shared" si="7"/>
        <v>4.4865900724181187E-2</v>
      </c>
      <c r="T22" s="348">
        <f t="shared" si="8"/>
        <v>0.2</v>
      </c>
      <c r="U22" s="348">
        <f t="shared" si="9"/>
        <v>0.24574795699953408</v>
      </c>
      <c r="V22" s="4">
        <f t="shared" si="42"/>
        <v>3.520842055295506</v>
      </c>
      <c r="W22" s="348">
        <f t="shared" si="10"/>
        <v>1.2396328778337483E-2</v>
      </c>
      <c r="X22" s="348">
        <f t="shared" si="43"/>
        <v>1.2396328778337483E-2</v>
      </c>
      <c r="Y22" s="4">
        <f t="shared" si="44"/>
        <v>1.529414520020185</v>
      </c>
      <c r="Z22" s="348">
        <f t="shared" si="11"/>
        <v>2.339108774048573E-3</v>
      </c>
      <c r="AA22" s="525">
        <f t="shared" si="45"/>
        <v>2.339108774048573E-3</v>
      </c>
      <c r="AB22" s="348">
        <f t="shared" si="46"/>
        <v>1.7545240968553799</v>
      </c>
      <c r="AC22" s="348">
        <f t="shared" si="12"/>
        <v>3.6940257677354239E-2</v>
      </c>
      <c r="AD22" s="348">
        <f t="shared" si="13"/>
        <v>4.2997514191327003E-2</v>
      </c>
      <c r="AE22" s="348">
        <f t="shared" si="14"/>
        <v>0</v>
      </c>
      <c r="AF22" s="348">
        <f t="shared" si="15"/>
        <v>1.8153660047556554E-2</v>
      </c>
      <c r="AG22" s="348">
        <f t="shared" si="16"/>
        <v>9.8703985225101279E-2</v>
      </c>
      <c r="AH22" s="348">
        <f t="shared" si="17"/>
        <v>3.1209732411366962</v>
      </c>
      <c r="AI22" s="348">
        <f t="shared" si="18"/>
        <v>3.9935943284754298E-2</v>
      </c>
      <c r="AJ22" s="348">
        <f t="shared" si="19"/>
        <v>2.2485260047556556E-2</v>
      </c>
      <c r="AK22" s="348">
        <f t="shared" si="20"/>
        <v>6.2829695091465604E-2</v>
      </c>
      <c r="AL22" s="348">
        <f t="shared" si="21"/>
        <v>4.3315999999999997E-3</v>
      </c>
      <c r="AM22" s="348">
        <f t="shared" si="22"/>
        <v>0.13039000000000001</v>
      </c>
      <c r="AN22" s="348">
        <f t="shared" si="23"/>
        <v>2.5637657556674964E-2</v>
      </c>
      <c r="AO22" s="348">
        <f t="shared" si="24"/>
        <v>1.1E-4</v>
      </c>
      <c r="AP22" s="348">
        <f t="shared" si="25"/>
        <v>5.6099999999999997E-2</v>
      </c>
      <c r="AQ22" s="348">
        <f t="shared" si="26"/>
        <v>0.52647692307692318</v>
      </c>
      <c r="AR22" s="348">
        <f t="shared" si="27"/>
        <v>0.5048999999999999</v>
      </c>
      <c r="AS22" s="348">
        <f t="shared" si="28"/>
        <v>5.6209999999999996E-2</v>
      </c>
      <c r="AT22" s="348">
        <f t="shared" si="29"/>
        <v>0.63858633242516194</v>
      </c>
      <c r="AU22">
        <f t="shared" si="30"/>
        <v>7.8000000000000007</v>
      </c>
      <c r="AV22" s="526">
        <f t="shared" si="47"/>
        <v>0.92432543707333992</v>
      </c>
      <c r="AW22" s="534">
        <f t="shared" si="31"/>
        <v>7.7599781794542535</v>
      </c>
      <c r="AX22" s="534">
        <f t="shared" si="32"/>
        <v>4.3084366802226501</v>
      </c>
      <c r="AY22" s="9"/>
      <c r="AZ22" s="4">
        <f t="shared" si="48"/>
        <v>92.432543707333991</v>
      </c>
      <c r="BA22" s="348">
        <f t="shared" si="33"/>
        <v>0.24574795699953408</v>
      </c>
      <c r="BB22" s="348">
        <f t="shared" si="34"/>
        <v>0.2919236803165669</v>
      </c>
      <c r="BC22" s="348">
        <f t="shared" si="35"/>
        <v>0.18476138522510127</v>
      </c>
      <c r="BD22" s="348">
        <f t="shared" si="36"/>
        <v>0.10585839509146561</v>
      </c>
      <c r="BE22" s="348">
        <f t="shared" si="37"/>
        <v>2.5637657556674964E-2</v>
      </c>
      <c r="BK22" s="18"/>
      <c r="BL22" s="19"/>
    </row>
    <row r="23" spans="1:65" x14ac:dyDescent="0.2">
      <c r="A23" s="36" t="s">
        <v>86</v>
      </c>
      <c r="B23" s="39">
        <f>RCinEsr*1000</f>
        <v>1</v>
      </c>
      <c r="C23" s="429" t="s">
        <v>450</v>
      </c>
      <c r="D23" s="427" t="s">
        <v>464</v>
      </c>
      <c r="G23">
        <v>14</v>
      </c>
      <c r="H23" s="531">
        <f t="shared" si="0"/>
        <v>50</v>
      </c>
      <c r="I23" s="4">
        <f t="shared" si="1"/>
        <v>1</v>
      </c>
      <c r="J23" s="348">
        <f t="shared" si="38"/>
        <v>0.7</v>
      </c>
      <c r="K23" s="348">
        <f t="shared" si="2"/>
        <v>0.7</v>
      </c>
      <c r="L23" s="4">
        <f t="shared" si="3"/>
        <v>0.18666666666666665</v>
      </c>
      <c r="M23" s="348">
        <f t="shared" si="4"/>
        <v>0.24015423673995473</v>
      </c>
      <c r="N23" s="4">
        <f t="shared" si="5"/>
        <v>12.196865404611833</v>
      </c>
      <c r="O23" s="4">
        <f t="shared" si="39"/>
        <v>6.7984327023059166</v>
      </c>
      <c r="P23" s="4">
        <f t="shared" si="40"/>
        <v>-5.3984327023059162</v>
      </c>
      <c r="Q23" s="4">
        <f t="shared" si="6"/>
        <v>50</v>
      </c>
      <c r="R23" s="4">
        <f t="shared" si="41"/>
        <v>3.5898412882537598</v>
      </c>
      <c r="S23" s="348">
        <f t="shared" si="7"/>
        <v>4.5104361661979946E-2</v>
      </c>
      <c r="T23" s="348">
        <f t="shared" si="8"/>
        <v>0.2</v>
      </c>
      <c r="U23" s="348">
        <f t="shared" si="9"/>
        <v>0.2459919865842877</v>
      </c>
      <c r="V23" s="4">
        <f t="shared" si="42"/>
        <v>3.5209317623111378</v>
      </c>
      <c r="W23" s="348">
        <f t="shared" si="10"/>
        <v>1.2396960474851415E-2</v>
      </c>
      <c r="X23" s="348">
        <f t="shared" si="43"/>
        <v>1.2396960474851415E-2</v>
      </c>
      <c r="Y23" s="4">
        <f t="shared" si="44"/>
        <v>1.5334975899187357</v>
      </c>
      <c r="Z23" s="348">
        <f t="shared" si="11"/>
        <v>2.3516148582865713E-3</v>
      </c>
      <c r="AA23" s="525">
        <f t="shared" si="45"/>
        <v>2.3516148582865713E-3</v>
      </c>
      <c r="AB23" s="348">
        <f t="shared" si="46"/>
        <v>1.7592208948099457</v>
      </c>
      <c r="AC23" s="348">
        <f t="shared" si="12"/>
        <v>3.7138297880830874E-2</v>
      </c>
      <c r="AD23" s="348">
        <f t="shared" si="13"/>
        <v>4.6305015282967543E-2</v>
      </c>
      <c r="AE23" s="348">
        <f t="shared" si="14"/>
        <v>0</v>
      </c>
      <c r="AF23" s="348">
        <f t="shared" si="15"/>
        <v>1.7987577764083312E-2</v>
      </c>
      <c r="AG23" s="348">
        <f t="shared" si="16"/>
        <v>0.10206771529192232</v>
      </c>
      <c r="AH23" s="348">
        <f t="shared" si="17"/>
        <v>3.1292335032904637</v>
      </c>
      <c r="AI23" s="348">
        <f t="shared" si="18"/>
        <v>4.0147619504273584E-2</v>
      </c>
      <c r="AJ23" s="348">
        <f t="shared" si="19"/>
        <v>2.2652377764083312E-2</v>
      </c>
      <c r="AK23" s="348">
        <f t="shared" si="20"/>
        <v>6.3213160537230043E-2</v>
      </c>
      <c r="AL23" s="348">
        <f t="shared" si="21"/>
        <v>4.6647999999999993E-3</v>
      </c>
      <c r="AM23" s="348">
        <f t="shared" si="22"/>
        <v>0.14041999999999999</v>
      </c>
      <c r="AN23" s="348">
        <f t="shared" si="23"/>
        <v>2.5773920949702829E-2</v>
      </c>
      <c r="AO23" s="348">
        <f t="shared" si="24"/>
        <v>1.1E-4</v>
      </c>
      <c r="AP23" s="348">
        <f t="shared" si="25"/>
        <v>5.6099999999999997E-2</v>
      </c>
      <c r="AQ23" s="348">
        <f t="shared" si="26"/>
        <v>0.52647692307692318</v>
      </c>
      <c r="AR23" s="348">
        <f t="shared" si="27"/>
        <v>0.5048999999999999</v>
      </c>
      <c r="AS23" s="348">
        <f t="shared" si="28"/>
        <v>5.6209999999999996E-2</v>
      </c>
      <c r="AT23" s="348">
        <f t="shared" si="29"/>
        <v>0.65309015869628095</v>
      </c>
      <c r="AU23">
        <f t="shared" si="30"/>
        <v>8.3999999999999986</v>
      </c>
      <c r="AV23" s="526">
        <f t="shared" si="47"/>
        <v>0.92785997408090193</v>
      </c>
      <c r="AW23" s="534">
        <f t="shared" si="31"/>
        <v>8.1792864422607376</v>
      </c>
      <c r="AX23" s="534">
        <f t="shared" si="32"/>
        <v>4.4587566538652625</v>
      </c>
      <c r="AY23" s="9"/>
      <c r="AZ23" s="4">
        <f t="shared" si="48"/>
        <v>92.785997408090196</v>
      </c>
      <c r="BA23" s="348">
        <f t="shared" si="33"/>
        <v>0.2459919865842877</v>
      </c>
      <c r="BB23" s="348">
        <f t="shared" si="34"/>
        <v>0.30570087582915234</v>
      </c>
      <c r="BC23" s="348">
        <f t="shared" si="35"/>
        <v>0.19474491529192234</v>
      </c>
      <c r="BD23" s="348">
        <f t="shared" si="36"/>
        <v>0.10955176053723004</v>
      </c>
      <c r="BE23" s="348">
        <f t="shared" si="37"/>
        <v>2.5773920949702829E-2</v>
      </c>
      <c r="BK23" s="18"/>
      <c r="BL23" s="19"/>
    </row>
    <row r="24" spans="1:65" x14ac:dyDescent="0.2">
      <c r="A24" s="35" t="s">
        <v>25</v>
      </c>
      <c r="B24" s="39">
        <f>Cout*1000000</f>
        <v>200</v>
      </c>
      <c r="C24" s="428" t="s">
        <v>451</v>
      </c>
      <c r="D24" s="427" t="s">
        <v>467</v>
      </c>
      <c r="G24">
        <v>15</v>
      </c>
      <c r="H24" s="531">
        <f t="shared" si="0"/>
        <v>50</v>
      </c>
      <c r="I24" s="4">
        <f t="shared" si="1"/>
        <v>1</v>
      </c>
      <c r="J24" s="348">
        <f t="shared" si="38"/>
        <v>0.75</v>
      </c>
      <c r="K24" s="348">
        <f t="shared" si="2"/>
        <v>0.75</v>
      </c>
      <c r="L24" s="4">
        <f t="shared" si="3"/>
        <v>0.2</v>
      </c>
      <c r="M24" s="348">
        <f t="shared" si="4"/>
        <v>0.2401652546250343</v>
      </c>
      <c r="N24" s="4">
        <f t="shared" si="5"/>
        <v>12.19717614260199</v>
      </c>
      <c r="O24" s="4">
        <f t="shared" si="39"/>
        <v>6.8485880713009948</v>
      </c>
      <c r="P24" s="4">
        <f t="shared" si="40"/>
        <v>-5.3485880713009948</v>
      </c>
      <c r="Q24" s="4">
        <f t="shared" si="6"/>
        <v>50</v>
      </c>
      <c r="R24" s="4">
        <f t="shared" si="41"/>
        <v>3.6000127992094133</v>
      </c>
      <c r="S24" s="348">
        <f t="shared" si="7"/>
        <v>4.5360322540650588E-2</v>
      </c>
      <c r="T24" s="348">
        <f t="shared" si="8"/>
        <v>0.2</v>
      </c>
      <c r="U24" s="348">
        <f t="shared" si="9"/>
        <v>0.24625393517476515</v>
      </c>
      <c r="V24" s="4">
        <f t="shared" si="42"/>
        <v>3.5210214646422702</v>
      </c>
      <c r="W24" s="348">
        <f t="shared" si="10"/>
        <v>1.2397592154471598E-2</v>
      </c>
      <c r="X24" s="348">
        <f t="shared" si="43"/>
        <v>1.2397592154471598E-2</v>
      </c>
      <c r="Y24" s="4">
        <f t="shared" si="44"/>
        <v>1.5378667520092135</v>
      </c>
      <c r="Z24" s="348">
        <f t="shared" si="11"/>
        <v>2.3650341469353682E-3</v>
      </c>
      <c r="AA24" s="525">
        <f t="shared" si="45"/>
        <v>2.3650341469353682E-3</v>
      </c>
      <c r="AB24" s="348">
        <f t="shared" si="46"/>
        <v>1.7642459670472765</v>
      </c>
      <c r="AC24" s="348">
        <f t="shared" si="12"/>
        <v>3.7350765986910957E-2</v>
      </c>
      <c r="AD24" s="348">
        <f t="shared" si="13"/>
        <v>4.9612516374608083E-2</v>
      </c>
      <c r="AE24" s="348">
        <f t="shared" si="14"/>
        <v>0</v>
      </c>
      <c r="AF24" s="348">
        <f t="shared" si="15"/>
        <v>1.7821495453574913E-2</v>
      </c>
      <c r="AG24" s="348">
        <f t="shared" si="16"/>
        <v>0.10544644674861262</v>
      </c>
      <c r="AH24" s="348">
        <f t="shared" si="17"/>
        <v>3.1380771695783736</v>
      </c>
      <c r="AI24" s="348">
        <f t="shared" si="18"/>
        <v>4.0374866121138955E-2</v>
      </c>
      <c r="AJ24" s="348">
        <f t="shared" si="19"/>
        <v>2.2819495453574912E-2</v>
      </c>
      <c r="AK24" s="348">
        <f t="shared" si="20"/>
        <v>6.3612488254168306E-2</v>
      </c>
      <c r="AL24" s="348">
        <f t="shared" si="21"/>
        <v>4.997999999999999E-3</v>
      </c>
      <c r="AM24" s="348">
        <f t="shared" si="22"/>
        <v>0.15045</v>
      </c>
      <c r="AN24" s="348">
        <f t="shared" si="23"/>
        <v>2.5920184308943193E-2</v>
      </c>
      <c r="AO24" s="348">
        <f t="shared" si="24"/>
        <v>1.1E-4</v>
      </c>
      <c r="AP24" s="348">
        <f t="shared" si="25"/>
        <v>5.6099999999999997E-2</v>
      </c>
      <c r="AQ24" s="348">
        <f t="shared" si="26"/>
        <v>0.52647692307692318</v>
      </c>
      <c r="AR24" s="348">
        <f t="shared" si="27"/>
        <v>0.5048999999999999</v>
      </c>
      <c r="AS24" s="348">
        <f t="shared" si="28"/>
        <v>5.6209999999999996E-2</v>
      </c>
      <c r="AT24" s="348">
        <f t="shared" si="29"/>
        <v>0.66765368078789622</v>
      </c>
      <c r="AU24">
        <f t="shared" si="30"/>
        <v>9</v>
      </c>
      <c r="AV24" s="526">
        <f t="shared" si="47"/>
        <v>0.93093942927282392</v>
      </c>
      <c r="AW24" s="534">
        <f t="shared" si="31"/>
        <v>8.5992247634417289</v>
      </c>
      <c r="AX24" s="534">
        <f t="shared" si="32"/>
        <v>4.6097222219446508</v>
      </c>
      <c r="AY24" s="9"/>
      <c r="AZ24" s="4">
        <f t="shared" si="48"/>
        <v>93.093942927282399</v>
      </c>
      <c r="BA24" s="348">
        <f t="shared" si="33"/>
        <v>0.24625393517476515</v>
      </c>
      <c r="BB24" s="348">
        <f t="shared" si="34"/>
        <v>0.31950893500278088</v>
      </c>
      <c r="BC24" s="348">
        <f t="shared" si="35"/>
        <v>0.20474344674861261</v>
      </c>
      <c r="BD24" s="348">
        <f t="shared" si="36"/>
        <v>0.1132609882541683</v>
      </c>
      <c r="BE24" s="348">
        <f t="shared" si="37"/>
        <v>2.5920184308943193E-2</v>
      </c>
      <c r="BK24" s="18"/>
      <c r="BL24" s="19"/>
    </row>
    <row r="25" spans="1:65" x14ac:dyDescent="0.2">
      <c r="A25" s="35" t="s">
        <v>85</v>
      </c>
      <c r="B25" s="40">
        <f>Cout_ESR*1000</f>
        <v>1</v>
      </c>
      <c r="C25" s="429" t="s">
        <v>450</v>
      </c>
      <c r="D25" s="427" t="s">
        <v>466</v>
      </c>
      <c r="G25">
        <v>16</v>
      </c>
      <c r="H25" s="531">
        <f t="shared" si="0"/>
        <v>50</v>
      </c>
      <c r="I25" s="4">
        <f t="shared" si="1"/>
        <v>1</v>
      </c>
      <c r="J25" s="348">
        <f t="shared" si="38"/>
        <v>0.8</v>
      </c>
      <c r="K25" s="348">
        <f t="shared" si="2"/>
        <v>0.8</v>
      </c>
      <c r="L25" s="4">
        <f t="shared" si="3"/>
        <v>0.21333333333333337</v>
      </c>
      <c r="M25" s="348">
        <f t="shared" si="4"/>
        <v>0.24017627264013724</v>
      </c>
      <c r="N25" s="4">
        <f t="shared" si="5"/>
        <v>12.197486864364274</v>
      </c>
      <c r="O25" s="4">
        <f t="shared" si="39"/>
        <v>6.8987434321821368</v>
      </c>
      <c r="P25" s="4">
        <f t="shared" si="40"/>
        <v>-5.2987434321821372</v>
      </c>
      <c r="Q25" s="4">
        <f t="shared" si="6"/>
        <v>50</v>
      </c>
      <c r="R25" s="4">
        <f t="shared" si="41"/>
        <v>3.6108480745103244</v>
      </c>
      <c r="S25" s="348">
        <f t="shared" si="7"/>
        <v>4.5633783360182208E-2</v>
      </c>
      <c r="T25" s="348">
        <f t="shared" si="8"/>
        <v>0.2</v>
      </c>
      <c r="U25" s="348">
        <f t="shared" si="9"/>
        <v>0.24653380497997562</v>
      </c>
      <c r="V25" s="4">
        <f t="shared" si="42"/>
        <v>3.5211111622888192</v>
      </c>
      <c r="W25" s="348">
        <f t="shared" si="10"/>
        <v>1.2398223817194919E-2</v>
      </c>
      <c r="X25" s="348">
        <f t="shared" si="43"/>
        <v>1.2398223817194919E-2</v>
      </c>
      <c r="Y25" s="4">
        <f t="shared" si="44"/>
        <v>1.5425196030657993</v>
      </c>
      <c r="Z25" s="348">
        <f t="shared" si="11"/>
        <v>2.3793667258422708E-3</v>
      </c>
      <c r="AA25" s="525">
        <f t="shared" si="45"/>
        <v>2.3793667258422708E-3</v>
      </c>
      <c r="AB25" s="348">
        <f t="shared" si="46"/>
        <v>1.7695965637008162</v>
      </c>
      <c r="AC25" s="348">
        <f t="shared" si="12"/>
        <v>3.7577663979140842E-2</v>
      </c>
      <c r="AD25" s="348">
        <f t="shared" si="13"/>
        <v>5.2920017466248623E-2</v>
      </c>
      <c r="AE25" s="348">
        <f t="shared" si="14"/>
        <v>0</v>
      </c>
      <c r="AF25" s="348">
        <f t="shared" si="15"/>
        <v>1.7655413116030881E-2</v>
      </c>
      <c r="AG25" s="348">
        <f t="shared" si="16"/>
        <v>0.10884020796952007</v>
      </c>
      <c r="AH25" s="348">
        <f t="shared" si="17"/>
        <v>3.1474992960973287</v>
      </c>
      <c r="AI25" s="348">
        <f t="shared" si="18"/>
        <v>4.061768245762603E-2</v>
      </c>
      <c r="AJ25" s="348">
        <f t="shared" si="19"/>
        <v>2.2986613116030875E-2</v>
      </c>
      <c r="AK25" s="348">
        <f t="shared" si="20"/>
        <v>6.4027682382096079E-2</v>
      </c>
      <c r="AL25" s="348">
        <f t="shared" si="21"/>
        <v>5.3311999999999995E-3</v>
      </c>
      <c r="AM25" s="348">
        <f t="shared" si="22"/>
        <v>0.16048000000000001</v>
      </c>
      <c r="AN25" s="348">
        <f t="shared" si="23"/>
        <v>2.6076447634389835E-2</v>
      </c>
      <c r="AO25" s="348">
        <f t="shared" si="24"/>
        <v>1.1E-4</v>
      </c>
      <c r="AP25" s="348">
        <f t="shared" si="25"/>
        <v>5.6099999999999997E-2</v>
      </c>
      <c r="AQ25" s="348">
        <f t="shared" si="26"/>
        <v>0.52647692307692318</v>
      </c>
      <c r="AR25" s="348">
        <f t="shared" si="27"/>
        <v>0.5048999999999999</v>
      </c>
      <c r="AS25" s="348">
        <f t="shared" si="28"/>
        <v>5.6209999999999996E-2</v>
      </c>
      <c r="AT25" s="348">
        <f t="shared" si="29"/>
        <v>0.68227693350901886</v>
      </c>
      <c r="AU25">
        <f t="shared" si="30"/>
        <v>9.6000000000000014</v>
      </c>
      <c r="AV25" s="526">
        <f t="shared" si="47"/>
        <v>0.93364534548903855</v>
      </c>
      <c r="AW25" s="534">
        <f t="shared" si="31"/>
        <v>9.0197943347198439</v>
      </c>
      <c r="AX25" s="534">
        <f t="shared" si="32"/>
        <v>4.761333552951311</v>
      </c>
      <c r="AY25" s="9"/>
      <c r="AZ25" s="4">
        <f t="shared" si="48"/>
        <v>93.364534548903862</v>
      </c>
      <c r="BA25" s="348">
        <f t="shared" si="33"/>
        <v>0.24653380497997562</v>
      </c>
      <c r="BB25" s="348">
        <f t="shared" si="34"/>
        <v>0.33334789035161616</v>
      </c>
      <c r="BC25" s="348">
        <f t="shared" si="35"/>
        <v>0.21475700796952008</v>
      </c>
      <c r="BD25" s="348">
        <f t="shared" si="36"/>
        <v>0.1169860823820961</v>
      </c>
      <c r="BE25" s="348">
        <f t="shared" si="37"/>
        <v>2.6076447634389835E-2</v>
      </c>
    </row>
    <row r="26" spans="1:65" x14ac:dyDescent="0.2">
      <c r="A26" s="24" t="s">
        <v>112</v>
      </c>
      <c r="B26" s="37" t="s">
        <v>111</v>
      </c>
      <c r="C26" s="24" t="s">
        <v>76</v>
      </c>
      <c r="D26" s="17" t="s">
        <v>107</v>
      </c>
      <c r="G26">
        <v>17</v>
      </c>
      <c r="H26" s="531">
        <f t="shared" si="0"/>
        <v>50</v>
      </c>
      <c r="I26" s="4">
        <f t="shared" si="1"/>
        <v>1</v>
      </c>
      <c r="J26" s="348">
        <f t="shared" si="38"/>
        <v>0.85</v>
      </c>
      <c r="K26" s="348">
        <f t="shared" si="2"/>
        <v>0.85</v>
      </c>
      <c r="L26" s="4">
        <f t="shared" si="3"/>
        <v>0.22666666666666666</v>
      </c>
      <c r="M26" s="348">
        <f t="shared" si="4"/>
        <v>0.24018729078526577</v>
      </c>
      <c r="N26" s="4">
        <f t="shared" si="5"/>
        <v>12.1977975698984</v>
      </c>
      <c r="O26" s="4">
        <f t="shared" si="39"/>
        <v>6.9488987849491997</v>
      </c>
      <c r="P26" s="4">
        <f t="shared" si="40"/>
        <v>-5.2488987849492004</v>
      </c>
      <c r="Q26" s="4">
        <f t="shared" si="6"/>
        <v>50</v>
      </c>
      <c r="R26" s="4">
        <f t="shared" si="41"/>
        <v>3.6223411577346325</v>
      </c>
      <c r="S26" s="348">
        <f t="shared" si="7"/>
        <v>4.5924744120563972E-2</v>
      </c>
      <c r="T26" s="348">
        <f t="shared" si="8"/>
        <v>0.2</v>
      </c>
      <c r="U26" s="348">
        <f t="shared" si="9"/>
        <v>0.24683159836020896</v>
      </c>
      <c r="V26" s="4">
        <f t="shared" si="42"/>
        <v>3.5212008552507021</v>
      </c>
      <c r="W26" s="348">
        <f t="shared" si="10"/>
        <v>1.2398855463018275E-2</v>
      </c>
      <c r="X26" s="348">
        <f t="shared" si="43"/>
        <v>1.2398855463018275E-2</v>
      </c>
      <c r="Y26" s="4">
        <f t="shared" si="44"/>
        <v>1.5474536118570172</v>
      </c>
      <c r="Z26" s="348">
        <f t="shared" si="11"/>
        <v>2.3946126808493278E-3</v>
      </c>
      <c r="AA26" s="525">
        <f t="shared" si="45"/>
        <v>2.3946126808493278E-3</v>
      </c>
      <c r="AB26" s="348">
        <f t="shared" si="46"/>
        <v>1.7752697879738748</v>
      </c>
      <c r="AC26" s="348">
        <f t="shared" si="12"/>
        <v>3.7818993841113681E-2</v>
      </c>
      <c r="AD26" s="348">
        <f t="shared" si="13"/>
        <v>5.6227518557889163E-2</v>
      </c>
      <c r="AE26" s="348">
        <f t="shared" si="14"/>
        <v>0</v>
      </c>
      <c r="AF26" s="348">
        <f t="shared" si="15"/>
        <v>1.7489330751450736E-2</v>
      </c>
      <c r="AG26" s="348">
        <f t="shared" si="16"/>
        <v>0.1122490275578094</v>
      </c>
      <c r="AH26" s="348">
        <f t="shared" si="17"/>
        <v>3.1574946782101585</v>
      </c>
      <c r="AI26" s="348">
        <f t="shared" si="18"/>
        <v>4.0876067835994429E-2</v>
      </c>
      <c r="AJ26" s="348">
        <f t="shared" si="19"/>
        <v>2.3153730751450729E-2</v>
      </c>
      <c r="AK26" s="348">
        <f t="shared" si="20"/>
        <v>6.4458747304190656E-2</v>
      </c>
      <c r="AL26" s="348">
        <f t="shared" si="21"/>
        <v>5.6643999999999991E-3</v>
      </c>
      <c r="AM26" s="348">
        <f t="shared" si="22"/>
        <v>0.17050999999999999</v>
      </c>
      <c r="AN26" s="348">
        <f t="shared" si="23"/>
        <v>2.6242710926036555E-2</v>
      </c>
      <c r="AO26" s="348">
        <f t="shared" si="24"/>
        <v>1.1E-4</v>
      </c>
      <c r="AP26" s="348">
        <f t="shared" si="25"/>
        <v>5.6099999999999997E-2</v>
      </c>
      <c r="AQ26" s="348">
        <f t="shared" si="26"/>
        <v>0.52647692307692318</v>
      </c>
      <c r="AR26" s="348">
        <f t="shared" si="27"/>
        <v>0.5048999999999999</v>
      </c>
      <c r="AS26" s="348">
        <f t="shared" si="28"/>
        <v>5.6209999999999996E-2</v>
      </c>
      <c r="AT26" s="348">
        <f t="shared" si="29"/>
        <v>0.69695995229211316</v>
      </c>
      <c r="AU26">
        <f t="shared" si="30"/>
        <v>10.199999999999999</v>
      </c>
      <c r="AV26" s="526">
        <f t="shared" si="47"/>
        <v>0.93604088155380327</v>
      </c>
      <c r="AW26" s="534">
        <f t="shared" si="31"/>
        <v>9.4409963574279949</v>
      </c>
      <c r="AX26" s="534">
        <f t="shared" si="32"/>
        <v>4.9135908252805596</v>
      </c>
      <c r="AY26" s="9"/>
      <c r="AZ26" s="4">
        <f t="shared" si="48"/>
        <v>93.604088155380325</v>
      </c>
      <c r="BA26" s="348">
        <f t="shared" si="33"/>
        <v>0.24683159836020896</v>
      </c>
      <c r="BB26" s="348">
        <f t="shared" si="34"/>
        <v>0.34721777486200006</v>
      </c>
      <c r="BC26" s="348">
        <f t="shared" si="35"/>
        <v>0.2247856275578094</v>
      </c>
      <c r="BD26" s="348">
        <f t="shared" si="36"/>
        <v>0.12072704730419065</v>
      </c>
      <c r="BE26" s="348">
        <f t="shared" si="37"/>
        <v>2.6242710926036555E-2</v>
      </c>
    </row>
    <row r="27" spans="1:65" x14ac:dyDescent="0.2">
      <c r="A27" s="22" t="s">
        <v>61</v>
      </c>
      <c r="B27" s="5">
        <v>0.7</v>
      </c>
      <c r="C27" s="431" t="s">
        <v>116</v>
      </c>
      <c r="D27" s="427" t="s">
        <v>491</v>
      </c>
      <c r="G27">
        <v>18</v>
      </c>
      <c r="H27" s="531">
        <f t="shared" si="0"/>
        <v>50</v>
      </c>
      <c r="I27" s="4">
        <f t="shared" si="1"/>
        <v>1</v>
      </c>
      <c r="J27" s="348">
        <f t="shared" si="38"/>
        <v>0.9</v>
      </c>
      <c r="K27" s="348">
        <f t="shared" si="2"/>
        <v>0.9</v>
      </c>
      <c r="L27" s="4">
        <f t="shared" si="3"/>
        <v>0.24000000000000002</v>
      </c>
      <c r="M27" s="348">
        <f t="shared" si="4"/>
        <v>0.24019830906042222</v>
      </c>
      <c r="N27" s="4">
        <f t="shared" si="5"/>
        <v>12.19810825920408</v>
      </c>
      <c r="O27" s="4">
        <f t="shared" si="39"/>
        <v>6.9990541296020403</v>
      </c>
      <c r="P27" s="4">
        <f t="shared" si="40"/>
        <v>-5.1990541296020396</v>
      </c>
      <c r="Q27" s="4">
        <f t="shared" si="6"/>
        <v>50</v>
      </c>
      <c r="R27" s="4">
        <f t="shared" si="41"/>
        <v>3.634485808465699</v>
      </c>
      <c r="S27" s="348">
        <f t="shared" si="7"/>
        <v>4.623320482178498E-2</v>
      </c>
      <c r="T27" s="348">
        <f t="shared" si="8"/>
        <v>0.2</v>
      </c>
      <c r="U27" s="348">
        <f t="shared" si="9"/>
        <v>0.24714731782708535</v>
      </c>
      <c r="V27" s="4">
        <f t="shared" si="42"/>
        <v>3.5212905435278365</v>
      </c>
      <c r="W27" s="348">
        <f t="shared" si="10"/>
        <v>1.2399487091938567E-2</v>
      </c>
      <c r="X27" s="348">
        <f t="shared" si="43"/>
        <v>1.2399487091938567E-2</v>
      </c>
      <c r="Y27" s="4">
        <f t="shared" si="44"/>
        <v>1.5526661256668566</v>
      </c>
      <c r="Z27" s="348">
        <f t="shared" si="11"/>
        <v>2.4107720977933271E-3</v>
      </c>
      <c r="AA27" s="525">
        <f t="shared" si="45"/>
        <v>2.4107720977933271E-3</v>
      </c>
      <c r="AB27" s="348">
        <f t="shared" si="46"/>
        <v>1.7812626036155133</v>
      </c>
      <c r="AC27" s="348">
        <f t="shared" si="12"/>
        <v>3.8074757556469406E-2</v>
      </c>
      <c r="AD27" s="348">
        <f t="shared" si="13"/>
        <v>5.9535019649529702E-2</v>
      </c>
      <c r="AE27" s="348">
        <f t="shared" si="14"/>
        <v>0</v>
      </c>
      <c r="AF27" s="348">
        <f t="shared" si="15"/>
        <v>1.7323248359833992E-2</v>
      </c>
      <c r="AG27" s="348">
        <f t="shared" si="16"/>
        <v>0.11567293434625438</v>
      </c>
      <c r="AH27" s="348">
        <f t="shared" si="17"/>
        <v>3.1680578638811898</v>
      </c>
      <c r="AI27" s="348">
        <f t="shared" si="18"/>
        <v>4.1150021578487725E-2</v>
      </c>
      <c r="AJ27" s="348">
        <f t="shared" si="19"/>
        <v>2.3320848359833994E-2</v>
      </c>
      <c r="AK27" s="348">
        <f t="shared" si="20"/>
        <v>6.4905687647133378E-2</v>
      </c>
      <c r="AL27" s="348">
        <f t="shared" si="21"/>
        <v>5.9975999999999988E-3</v>
      </c>
      <c r="AM27" s="348">
        <f t="shared" si="22"/>
        <v>0.18054000000000001</v>
      </c>
      <c r="AN27" s="348">
        <f t="shared" si="23"/>
        <v>2.6418974183877134E-2</v>
      </c>
      <c r="AO27" s="348">
        <f t="shared" si="24"/>
        <v>1.1E-4</v>
      </c>
      <c r="AP27" s="348">
        <f t="shared" si="25"/>
        <v>5.6099999999999997E-2</v>
      </c>
      <c r="AQ27" s="348">
        <f t="shared" si="26"/>
        <v>0.52647692307692318</v>
      </c>
      <c r="AR27" s="348">
        <f t="shared" si="27"/>
        <v>0.5048999999999999</v>
      </c>
      <c r="AS27" s="348">
        <f t="shared" si="28"/>
        <v>5.6209999999999996E-2</v>
      </c>
      <c r="AT27" s="348">
        <f t="shared" si="29"/>
        <v>0.71170277319408215</v>
      </c>
      <c r="AU27">
        <f t="shared" si="30"/>
        <v>10.8</v>
      </c>
      <c r="AV27" s="526">
        <f t="shared" si="47"/>
        <v>0.93817571672790767</v>
      </c>
      <c r="AW27" s="534">
        <f t="shared" si="31"/>
        <v>9.862832042542685</v>
      </c>
      <c r="AX27" s="534">
        <f t="shared" si="32"/>
        <v>5.0664942272383291</v>
      </c>
      <c r="AY27" s="9"/>
      <c r="AZ27" s="4">
        <f t="shared" si="48"/>
        <v>93.817571672790763</v>
      </c>
      <c r="BA27" s="348">
        <f t="shared" si="33"/>
        <v>0.24714731782708535</v>
      </c>
      <c r="BB27" s="348">
        <f t="shared" si="34"/>
        <v>0.36111862199338773</v>
      </c>
      <c r="BC27" s="348">
        <f t="shared" si="35"/>
        <v>0.23482933434625439</v>
      </c>
      <c r="BD27" s="348">
        <f t="shared" si="36"/>
        <v>0.12448388764713339</v>
      </c>
      <c r="BE27" s="348">
        <f t="shared" si="37"/>
        <v>2.6418974183877134E-2</v>
      </c>
    </row>
    <row r="28" spans="1:65" x14ac:dyDescent="0.2">
      <c r="A28" s="22" t="s">
        <v>126</v>
      </c>
      <c r="B28" s="5">
        <f>RdsonDRT2</f>
        <v>0.5</v>
      </c>
      <c r="C28" s="431" t="s">
        <v>116</v>
      </c>
      <c r="D28" s="427" t="s">
        <v>490</v>
      </c>
      <c r="G28">
        <v>19</v>
      </c>
      <c r="H28" s="531">
        <f t="shared" si="0"/>
        <v>50</v>
      </c>
      <c r="I28" s="4">
        <f t="shared" si="1"/>
        <v>1</v>
      </c>
      <c r="J28" s="348">
        <f t="shared" si="38"/>
        <v>0.95</v>
      </c>
      <c r="K28" s="348">
        <f t="shared" si="2"/>
        <v>0.95</v>
      </c>
      <c r="L28" s="4">
        <f t="shared" si="3"/>
        <v>0.2533333333333333</v>
      </c>
      <c r="M28" s="348">
        <f t="shared" si="4"/>
        <v>0.24020932746560889</v>
      </c>
      <c r="N28" s="4">
        <f t="shared" si="5"/>
        <v>12.198418932281026</v>
      </c>
      <c r="O28" s="4">
        <f t="shared" si="39"/>
        <v>7.0492094661405131</v>
      </c>
      <c r="P28" s="4">
        <f t="shared" si="40"/>
        <v>-5.1492094661405128</v>
      </c>
      <c r="Q28" s="4">
        <f t="shared" si="6"/>
        <v>50</v>
      </c>
      <c r="R28" s="4">
        <f t="shared" si="41"/>
        <v>3.6472755179657979</v>
      </c>
      <c r="S28" s="348">
        <f t="shared" si="7"/>
        <v>4.6559165463834373E-2</v>
      </c>
      <c r="T28" s="348">
        <f t="shared" si="8"/>
        <v>0.2</v>
      </c>
      <c r="U28" s="348">
        <f t="shared" si="9"/>
        <v>0.24748096604360831</v>
      </c>
      <c r="V28" s="4">
        <f t="shared" si="42"/>
        <v>3.5213802271201389</v>
      </c>
      <c r="W28" s="348">
        <f t="shared" si="10"/>
        <v>1.2400118703952681E-2</v>
      </c>
      <c r="X28" s="348">
        <f t="shared" si="43"/>
        <v>1.2400118703952681E-2</v>
      </c>
      <c r="Y28" s="4">
        <f t="shared" si="44"/>
        <v>1.5581543769812409</v>
      </c>
      <c r="Z28" s="348">
        <f t="shared" si="11"/>
        <v>2.4278450625057992E-3</v>
      </c>
      <c r="AA28" s="525">
        <f t="shared" si="45"/>
        <v>2.4278450625057992E-3</v>
      </c>
      <c r="AB28" s="348">
        <f t="shared" si="46"/>
        <v>1.7875718425864462</v>
      </c>
      <c r="AC28" s="348">
        <f t="shared" si="12"/>
        <v>3.834495710889483E-2</v>
      </c>
      <c r="AD28" s="348">
        <f t="shared" si="13"/>
        <v>6.2842520741170235E-2</v>
      </c>
      <c r="AE28" s="348">
        <f t="shared" si="14"/>
        <v>0</v>
      </c>
      <c r="AF28" s="348">
        <f t="shared" si="15"/>
        <v>1.7157165941180188E-2</v>
      </c>
      <c r="AG28" s="348">
        <f t="shared" si="16"/>
        <v>0.11911195739803944</v>
      </c>
      <c r="AH28" s="348">
        <f t="shared" si="17"/>
        <v>3.1791831673473578</v>
      </c>
      <c r="AI28" s="348">
        <f t="shared" si="18"/>
        <v>4.1439543007333587E-2</v>
      </c>
      <c r="AJ28" s="348">
        <f t="shared" si="19"/>
        <v>2.3487965941180185E-2</v>
      </c>
      <c r="AK28" s="348">
        <f t="shared" si="20"/>
        <v>6.5368508281261922E-2</v>
      </c>
      <c r="AL28" s="348">
        <f t="shared" si="21"/>
        <v>6.3307999999999984E-3</v>
      </c>
      <c r="AM28" s="348">
        <f t="shared" si="22"/>
        <v>0.19056999999999996</v>
      </c>
      <c r="AN28" s="348">
        <f t="shared" si="23"/>
        <v>2.6605237407905356E-2</v>
      </c>
      <c r="AO28" s="348">
        <f t="shared" si="24"/>
        <v>1.1E-4</v>
      </c>
      <c r="AP28" s="348">
        <f t="shared" si="25"/>
        <v>5.6099999999999997E-2</v>
      </c>
      <c r="AQ28" s="348">
        <f t="shared" si="26"/>
        <v>0.52647692307692318</v>
      </c>
      <c r="AR28" s="348">
        <f t="shared" si="27"/>
        <v>0.5048999999999999</v>
      </c>
      <c r="AS28" s="348">
        <f t="shared" si="28"/>
        <v>5.6209999999999996E-2</v>
      </c>
      <c r="AT28" s="348">
        <f t="shared" si="29"/>
        <v>0.72650543289727343</v>
      </c>
      <c r="AU28">
        <f t="shared" si="30"/>
        <v>11.399999999999999</v>
      </c>
      <c r="AV28" s="526">
        <f t="shared" si="47"/>
        <v>0.94008946460978116</v>
      </c>
      <c r="AW28" s="534">
        <f t="shared" si="31"/>
        <v>10.285302610717656</v>
      </c>
      <c r="AX28" s="534">
        <f t="shared" si="32"/>
        <v>5.2200439570473591</v>
      </c>
      <c r="AY28" s="9"/>
      <c r="AZ28" s="4">
        <f t="shared" si="48"/>
        <v>94.008946460978109</v>
      </c>
      <c r="BA28" s="348">
        <f t="shared" si="33"/>
        <v>0.24748096604360831</v>
      </c>
      <c r="BB28" s="348">
        <f t="shared" si="34"/>
        <v>0.37505046567930134</v>
      </c>
      <c r="BC28" s="348">
        <f t="shared" si="35"/>
        <v>0.24488815739803943</v>
      </c>
      <c r="BD28" s="348">
        <f t="shared" si="36"/>
        <v>0.1282566082812619</v>
      </c>
      <c r="BE28" s="348">
        <f t="shared" si="37"/>
        <v>2.6605237407905356E-2</v>
      </c>
    </row>
    <row r="29" spans="1:65" x14ac:dyDescent="0.2">
      <c r="A29" s="24" t="s">
        <v>113</v>
      </c>
      <c r="B29" s="15" t="s">
        <v>111</v>
      </c>
      <c r="C29" s="24" t="s">
        <v>76</v>
      </c>
      <c r="D29" s="17" t="s">
        <v>107</v>
      </c>
      <c r="G29">
        <v>20</v>
      </c>
      <c r="H29" s="531">
        <f t="shared" si="0"/>
        <v>50</v>
      </c>
      <c r="I29" s="4">
        <f t="shared" si="1"/>
        <v>1</v>
      </c>
      <c r="J29" s="348">
        <f t="shared" si="38"/>
        <v>1</v>
      </c>
      <c r="K29" s="348">
        <f t="shared" si="2"/>
        <v>1</v>
      </c>
      <c r="L29" s="4">
        <f t="shared" si="3"/>
        <v>0.26666666666666666</v>
      </c>
      <c r="M29" s="348">
        <f t="shared" si="4"/>
        <v>0.24022034600082809</v>
      </c>
      <c r="N29" s="4">
        <f t="shared" si="5"/>
        <v>12.198729589128948</v>
      </c>
      <c r="O29" s="4">
        <f t="shared" si="39"/>
        <v>7.0993647945644742</v>
      </c>
      <c r="P29" s="4">
        <f t="shared" si="40"/>
        <v>-5.0993647945644742</v>
      </c>
      <c r="Q29" s="4">
        <f t="shared" si="6"/>
        <v>50</v>
      </c>
      <c r="R29" s="4">
        <f t="shared" si="41"/>
        <v>3.660703525151622</v>
      </c>
      <c r="S29" s="348">
        <f t="shared" si="7"/>
        <v>4.6902626046701291E-2</v>
      </c>
      <c r="T29" s="348">
        <f t="shared" si="8"/>
        <v>0.2</v>
      </c>
      <c r="U29" s="348">
        <f t="shared" si="9"/>
        <v>0.2478325458242209</v>
      </c>
      <c r="V29" s="4">
        <f t="shared" si="42"/>
        <v>3.5214699060275256</v>
      </c>
      <c r="W29" s="348">
        <f t="shared" si="10"/>
        <v>1.240075029905751E-2</v>
      </c>
      <c r="X29" s="348">
        <f t="shared" si="43"/>
        <v>1.240075029905751E-2</v>
      </c>
      <c r="Y29" s="4">
        <f t="shared" si="44"/>
        <v>1.5639154903040677</v>
      </c>
      <c r="Z29" s="348">
        <f t="shared" si="11"/>
        <v>2.4458316608130123E-3</v>
      </c>
      <c r="AA29" s="525">
        <f t="shared" si="45"/>
        <v>2.4458316608130123E-3</v>
      </c>
      <c r="AB29" s="348">
        <f t="shared" si="46"/>
        <v>1.7941942128739286</v>
      </c>
      <c r="AC29" s="348">
        <f t="shared" si="12"/>
        <v>3.8629594482123553E-2</v>
      </c>
      <c r="AD29" s="348">
        <f t="shared" si="13"/>
        <v>6.6150021832810782E-2</v>
      </c>
      <c r="AE29" s="348">
        <f t="shared" si="14"/>
        <v>0</v>
      </c>
      <c r="AF29" s="348">
        <f t="shared" si="15"/>
        <v>1.6991083495488828E-2</v>
      </c>
      <c r="AG29" s="348">
        <f t="shared" si="16"/>
        <v>0.12256612600756925</v>
      </c>
      <c r="AH29" s="348">
        <f t="shared" si="17"/>
        <v>3.1908646830517924</v>
      </c>
      <c r="AI29" s="348">
        <f t="shared" si="18"/>
        <v>4.174463144474358E-2</v>
      </c>
      <c r="AJ29" s="348">
        <f t="shared" si="19"/>
        <v>2.3655083495488824E-2</v>
      </c>
      <c r="AK29" s="348">
        <f t="shared" si="20"/>
        <v>6.5847214320731262E-2</v>
      </c>
      <c r="AL29" s="348">
        <f t="shared" si="21"/>
        <v>6.6639999999999989E-3</v>
      </c>
      <c r="AM29" s="348">
        <f t="shared" si="22"/>
        <v>0.2006</v>
      </c>
      <c r="AN29" s="348">
        <f t="shared" si="23"/>
        <v>2.6801500598115025E-2</v>
      </c>
      <c r="AO29" s="348">
        <f t="shared" si="24"/>
        <v>1.1E-4</v>
      </c>
      <c r="AP29" s="348">
        <f t="shared" si="25"/>
        <v>5.6099999999999997E-2</v>
      </c>
      <c r="AQ29" s="348">
        <f t="shared" si="26"/>
        <v>0.52647692307692318</v>
      </c>
      <c r="AR29" s="348">
        <f t="shared" si="27"/>
        <v>0.5048999999999999</v>
      </c>
      <c r="AS29" s="348">
        <f t="shared" si="28"/>
        <v>5.6209999999999996E-2</v>
      </c>
      <c r="AT29" s="348">
        <f t="shared" si="29"/>
        <v>0.74136796871050692</v>
      </c>
      <c r="AU29">
        <f t="shared" si="30"/>
        <v>12</v>
      </c>
      <c r="AV29" s="526">
        <f t="shared" si="47"/>
        <v>0.94181409951183304</v>
      </c>
      <c r="AW29" s="534">
        <f t="shared" si="31"/>
        <v>10.70840929231791</v>
      </c>
      <c r="AX29" s="534">
        <f t="shared" si="32"/>
        <v>5.3742402228537633</v>
      </c>
      <c r="AY29" s="9"/>
      <c r="AZ29" s="4">
        <f t="shared" si="48"/>
        <v>94.181409951183298</v>
      </c>
      <c r="BA29" s="348">
        <f t="shared" si="33"/>
        <v>0.2478325458242209</v>
      </c>
      <c r="BB29" s="348">
        <f t="shared" si="34"/>
        <v>0.38901334032830048</v>
      </c>
      <c r="BC29" s="348">
        <f t="shared" si="35"/>
        <v>0.25496212600756929</v>
      </c>
      <c r="BD29" s="348">
        <f t="shared" si="36"/>
        <v>0.13204521432073127</v>
      </c>
      <c r="BE29" s="348">
        <f t="shared" si="37"/>
        <v>2.6801500598115025E-2</v>
      </c>
    </row>
    <row r="30" spans="1:65" x14ac:dyDescent="0.2">
      <c r="A30" s="22" t="s">
        <v>60</v>
      </c>
      <c r="B30" s="27">
        <v>0.7</v>
      </c>
      <c r="C30" s="431" t="s">
        <v>116</v>
      </c>
      <c r="D30" s="427" t="s">
        <v>489</v>
      </c>
      <c r="G30">
        <v>21</v>
      </c>
      <c r="H30" s="531">
        <f t="shared" si="0"/>
        <v>50</v>
      </c>
      <c r="I30" s="4">
        <f t="shared" si="1"/>
        <v>1</v>
      </c>
      <c r="J30" s="348">
        <f t="shared" si="38"/>
        <v>1.05</v>
      </c>
      <c r="K30" s="348">
        <f t="shared" si="2"/>
        <v>1.05</v>
      </c>
      <c r="L30" s="4">
        <f t="shared" si="3"/>
        <v>0.28000000000000003</v>
      </c>
      <c r="M30" s="348">
        <f t="shared" si="4"/>
        <v>0.24023136466608214</v>
      </c>
      <c r="N30" s="4">
        <f t="shared" si="5"/>
        <v>12.199040229747567</v>
      </c>
      <c r="O30" s="4">
        <f t="shared" si="39"/>
        <v>7.1495201148737832</v>
      </c>
      <c r="P30" s="4">
        <f t="shared" si="40"/>
        <v>-5.0495201148737836</v>
      </c>
      <c r="Q30" s="4">
        <f t="shared" si="6"/>
        <v>50</v>
      </c>
      <c r="R30" s="4">
        <f t="shared" si="41"/>
        <v>3.6747628327893445</v>
      </c>
      <c r="S30" s="348">
        <f t="shared" si="7"/>
        <v>4.7263586570374883E-2</v>
      </c>
      <c r="T30" s="348">
        <f t="shared" si="8"/>
        <v>0.2</v>
      </c>
      <c r="U30" s="348">
        <f t="shared" si="9"/>
        <v>0.24820206013486526</v>
      </c>
      <c r="V30" s="4">
        <f t="shared" si="42"/>
        <v>3.521559580249916</v>
      </c>
      <c r="W30" s="348">
        <f t="shared" si="10"/>
        <v>1.2401381877249965E-2</v>
      </c>
      <c r="X30" s="348">
        <f t="shared" si="43"/>
        <v>1.2401381877249965E-2</v>
      </c>
      <c r="Y30" s="4">
        <f t="shared" si="44"/>
        <v>1.569946489067694</v>
      </c>
      <c r="Z30" s="348">
        <f t="shared" si="11"/>
        <v>2.4647319785359788E-3</v>
      </c>
      <c r="AA30" s="525">
        <f t="shared" si="45"/>
        <v>2.4647319785359788E-3</v>
      </c>
      <c r="AB30" s="348">
        <f t="shared" si="46"/>
        <v>1.8011263064153316</v>
      </c>
      <c r="AC30" s="348">
        <f t="shared" si="12"/>
        <v>3.8928671659936021E-2</v>
      </c>
      <c r="AD30" s="348">
        <f t="shared" si="13"/>
        <v>6.9457522924451315E-2</v>
      </c>
      <c r="AE30" s="348">
        <f t="shared" si="14"/>
        <v>0</v>
      </c>
      <c r="AF30" s="348">
        <f t="shared" si="15"/>
        <v>1.6825001022759446E-2</v>
      </c>
      <c r="AG30" s="348">
        <f t="shared" si="16"/>
        <v>0.12603546970128801</v>
      </c>
      <c r="AH30" s="348">
        <f t="shared" si="17"/>
        <v>3.203096299768184</v>
      </c>
      <c r="AI30" s="348">
        <f t="shared" si="18"/>
        <v>4.2065286212913389E-2</v>
      </c>
      <c r="AJ30" s="348">
        <f t="shared" si="19"/>
        <v>2.3822201022759441E-2</v>
      </c>
      <c r="AK30" s="348">
        <f t="shared" si="20"/>
        <v>6.6341811123684813E-2</v>
      </c>
      <c r="AL30" s="348">
        <f t="shared" si="21"/>
        <v>6.9971999999999994E-3</v>
      </c>
      <c r="AM30" s="348">
        <f t="shared" si="22"/>
        <v>0.21062999999999998</v>
      </c>
      <c r="AN30" s="348">
        <f t="shared" si="23"/>
        <v>2.7007763754499935E-2</v>
      </c>
      <c r="AO30" s="348">
        <f t="shared" si="24"/>
        <v>1.1E-4</v>
      </c>
      <c r="AP30" s="348">
        <f t="shared" si="25"/>
        <v>5.6099999999999997E-2</v>
      </c>
      <c r="AQ30" s="348">
        <f t="shared" si="26"/>
        <v>0.52647692307692318</v>
      </c>
      <c r="AR30" s="348">
        <f t="shared" si="27"/>
        <v>0.5048999999999999</v>
      </c>
      <c r="AS30" s="348">
        <f t="shared" si="28"/>
        <v>5.6209999999999996E-2</v>
      </c>
      <c r="AT30" s="348">
        <f t="shared" si="29"/>
        <v>0.75629041857012391</v>
      </c>
      <c r="AU30">
        <f t="shared" si="30"/>
        <v>12.600000000000001</v>
      </c>
      <c r="AV30" s="526">
        <f t="shared" si="47"/>
        <v>0.94337571325054415</v>
      </c>
      <c r="AW30" s="534">
        <f t="shared" si="31"/>
        <v>11.132153327454096</v>
      </c>
      <c r="AX30" s="534">
        <f t="shared" si="32"/>
        <v>5.5290832427339724</v>
      </c>
      <c r="AY30" s="9"/>
      <c r="AZ30" s="4">
        <f t="shared" si="48"/>
        <v>94.337571325054412</v>
      </c>
      <c r="BA30" s="348">
        <f t="shared" si="33"/>
        <v>0.24820206013486526</v>
      </c>
      <c r="BB30" s="348">
        <f t="shared" si="34"/>
        <v>0.40300728082497284</v>
      </c>
      <c r="BC30" s="348">
        <f t="shared" si="35"/>
        <v>0.26505126970128801</v>
      </c>
      <c r="BD30" s="348">
        <f t="shared" si="36"/>
        <v>0.13584971112368482</v>
      </c>
      <c r="BE30" s="348">
        <f t="shared" si="37"/>
        <v>2.7007763754499935E-2</v>
      </c>
    </row>
    <row r="31" spans="1:65" x14ac:dyDescent="0.2">
      <c r="A31" s="22" t="s">
        <v>125</v>
      </c>
      <c r="B31" s="27">
        <v>0.5</v>
      </c>
      <c r="C31" s="431" t="s">
        <v>116</v>
      </c>
      <c r="D31" s="427" t="s">
        <v>488</v>
      </c>
      <c r="G31">
        <v>22</v>
      </c>
      <c r="H31" s="531">
        <f t="shared" si="0"/>
        <v>50</v>
      </c>
      <c r="I31" s="4">
        <f t="shared" si="1"/>
        <v>1</v>
      </c>
      <c r="J31" s="348">
        <f t="shared" si="38"/>
        <v>1.1000000000000001</v>
      </c>
      <c r="K31" s="348">
        <f t="shared" si="2"/>
        <v>1.1000000000000001</v>
      </c>
      <c r="L31" s="4">
        <f t="shared" si="3"/>
        <v>0.29333333333333333</v>
      </c>
      <c r="M31" s="348">
        <f t="shared" si="4"/>
        <v>0.24024238346137328</v>
      </c>
      <c r="N31" s="4">
        <f t="shared" si="5"/>
        <v>12.19935085413659</v>
      </c>
      <c r="O31" s="4">
        <f t="shared" si="39"/>
        <v>7.1996754270682946</v>
      </c>
      <c r="P31" s="4">
        <f t="shared" si="40"/>
        <v>-4.9996754270682953</v>
      </c>
      <c r="Q31" s="4">
        <f t="shared" si="6"/>
        <v>50</v>
      </c>
      <c r="R31" s="4">
        <f t="shared" si="41"/>
        <v>3.6894462238291168</v>
      </c>
      <c r="S31" s="348">
        <f t="shared" si="7"/>
        <v>4.7642047034844252E-2</v>
      </c>
      <c r="T31" s="348">
        <f t="shared" si="8"/>
        <v>0.2</v>
      </c>
      <c r="U31" s="348">
        <f t="shared" si="9"/>
        <v>0.24858951209304475</v>
      </c>
      <c r="V31" s="4">
        <f t="shared" si="42"/>
        <v>3.5216492497872256</v>
      </c>
      <c r="W31" s="348">
        <f t="shared" si="10"/>
        <v>1.2402013438526928E-2</v>
      </c>
      <c r="X31" s="348">
        <f t="shared" si="43"/>
        <v>1.2402013438526928E-2</v>
      </c>
      <c r="Y31" s="4">
        <f t="shared" si="44"/>
        <v>1.5762443026036428</v>
      </c>
      <c r="Z31" s="348">
        <f t="shared" si="11"/>
        <v>2.4845461014904443E-3</v>
      </c>
      <c r="AA31" s="525">
        <f t="shared" si="45"/>
        <v>2.4845461014904443E-3</v>
      </c>
      <c r="AB31" s="348">
        <f t="shared" si="46"/>
        <v>1.8083646070911565</v>
      </c>
      <c r="AC31" s="348">
        <f t="shared" si="12"/>
        <v>3.924219062615944E-2</v>
      </c>
      <c r="AD31" s="348">
        <f t="shared" si="13"/>
        <v>7.2765024016091875E-2</v>
      </c>
      <c r="AE31" s="348">
        <f t="shared" si="14"/>
        <v>0</v>
      </c>
      <c r="AF31" s="348">
        <f t="shared" si="15"/>
        <v>1.6658918522991558E-2</v>
      </c>
      <c r="AG31" s="348">
        <f t="shared" si="16"/>
        <v>0.1295200182385069</v>
      </c>
      <c r="AH31" s="348">
        <f t="shared" si="17"/>
        <v>3.2158717148460658</v>
      </c>
      <c r="AI31" s="348">
        <f t="shared" si="18"/>
        <v>4.2401506634022597E-2</v>
      </c>
      <c r="AJ31" s="348">
        <f t="shared" si="19"/>
        <v>2.3989318522991552E-2</v>
      </c>
      <c r="AK31" s="348">
        <f t="shared" si="20"/>
        <v>6.6852304292434078E-2</v>
      </c>
      <c r="AL31" s="348">
        <f t="shared" si="21"/>
        <v>7.3303999999999991E-3</v>
      </c>
      <c r="AM31" s="348">
        <f t="shared" si="22"/>
        <v>0.22066000000000005</v>
      </c>
      <c r="AN31" s="348">
        <f t="shared" si="23"/>
        <v>2.7224026877053858E-2</v>
      </c>
      <c r="AO31" s="348">
        <f t="shared" si="24"/>
        <v>1.1E-4</v>
      </c>
      <c r="AP31" s="348">
        <f t="shared" si="25"/>
        <v>5.6099999999999997E-2</v>
      </c>
      <c r="AQ31" s="348">
        <f t="shared" si="26"/>
        <v>0.52647692307692318</v>
      </c>
      <c r="AR31" s="348">
        <f t="shared" si="27"/>
        <v>0.5048999999999999</v>
      </c>
      <c r="AS31" s="348">
        <f t="shared" si="28"/>
        <v>5.6209999999999996E-2</v>
      </c>
      <c r="AT31" s="348">
        <f t="shared" si="29"/>
        <v>0.77127282104105699</v>
      </c>
      <c r="AU31">
        <f t="shared" si="30"/>
        <v>13.200000000000001</v>
      </c>
      <c r="AV31" s="526">
        <f t="shared" si="47"/>
        <v>0.94479580844778133</v>
      </c>
      <c r="AW31" s="534">
        <f t="shared" si="31"/>
        <v>11.556535966017291</v>
      </c>
      <c r="AX31" s="534">
        <f t="shared" si="32"/>
        <v>5.6845732447020678</v>
      </c>
      <c r="AY31" s="9"/>
      <c r="AZ31" s="4">
        <f t="shared" si="48"/>
        <v>94.479580844778127</v>
      </c>
      <c r="BA31" s="348">
        <f t="shared" si="33"/>
        <v>0.24858951209304475</v>
      </c>
      <c r="BB31" s="348">
        <f t="shared" si="34"/>
        <v>0.41703232253094102</v>
      </c>
      <c r="BC31" s="348">
        <f t="shared" si="35"/>
        <v>0.27515561823850693</v>
      </c>
      <c r="BD31" s="348">
        <f t="shared" si="36"/>
        <v>0.13967010429243409</v>
      </c>
      <c r="BE31" s="348">
        <f t="shared" si="37"/>
        <v>2.7224026877053858E-2</v>
      </c>
    </row>
    <row r="32" spans="1:65" x14ac:dyDescent="0.2">
      <c r="A32" s="24" t="s">
        <v>62</v>
      </c>
      <c r="B32" s="15" t="s">
        <v>111</v>
      </c>
      <c r="C32" s="24" t="s">
        <v>76</v>
      </c>
      <c r="D32" s="17" t="s">
        <v>107</v>
      </c>
      <c r="G32">
        <v>23</v>
      </c>
      <c r="H32" s="531">
        <f t="shared" si="0"/>
        <v>50</v>
      </c>
      <c r="I32" s="4">
        <f t="shared" si="1"/>
        <v>1</v>
      </c>
      <c r="J32" s="348">
        <f t="shared" si="38"/>
        <v>1.1499999999999999</v>
      </c>
      <c r="K32" s="348">
        <f t="shared" si="2"/>
        <v>1.1499999999999999</v>
      </c>
      <c r="L32" s="4">
        <f t="shared" si="3"/>
        <v>0.30666666666666664</v>
      </c>
      <c r="M32" s="348">
        <f t="shared" si="4"/>
        <v>0.24025340238670387</v>
      </c>
      <c r="N32" s="4">
        <f t="shared" si="5"/>
        <v>12.199661462295726</v>
      </c>
      <c r="O32" s="4">
        <f t="shared" si="39"/>
        <v>7.2498307311478634</v>
      </c>
      <c r="P32" s="4">
        <f t="shared" si="40"/>
        <v>-4.9498307311478627</v>
      </c>
      <c r="Q32" s="4">
        <f t="shared" si="6"/>
        <v>50</v>
      </c>
      <c r="R32" s="4">
        <f t="shared" si="41"/>
        <v>3.7047462778016649</v>
      </c>
      <c r="S32" s="348">
        <f t="shared" si="7"/>
        <v>4.8038007440098514E-2</v>
      </c>
      <c r="T32" s="348">
        <f t="shared" si="8"/>
        <v>0.2</v>
      </c>
      <c r="U32" s="348">
        <f t="shared" si="9"/>
        <v>0.24899490496789006</v>
      </c>
      <c r="V32" s="4">
        <f t="shared" si="42"/>
        <v>3.5217389146393705</v>
      </c>
      <c r="W32" s="348">
        <f t="shared" si="10"/>
        <v>1.2402644982885291E-2</v>
      </c>
      <c r="X32" s="348">
        <f t="shared" si="43"/>
        <v>1.2402644982885291E-2</v>
      </c>
      <c r="Y32" s="4">
        <f t="shared" si="44"/>
        <v>1.5828057731404996</v>
      </c>
      <c r="Z32" s="348">
        <f t="shared" si="11"/>
        <v>2.5052741154868948E-3</v>
      </c>
      <c r="AA32" s="525">
        <f t="shared" si="45"/>
        <v>2.5052741154868948E-3</v>
      </c>
      <c r="AB32" s="348">
        <f t="shared" si="46"/>
        <v>1.815905498749588</v>
      </c>
      <c r="AC32" s="348">
        <f t="shared" si="12"/>
        <v>3.9570153364667876E-2</v>
      </c>
      <c r="AD32" s="348">
        <f t="shared" si="13"/>
        <v>7.6072525107732381E-2</v>
      </c>
      <c r="AE32" s="348">
        <f t="shared" si="14"/>
        <v>0</v>
      </c>
      <c r="AF32" s="348">
        <f t="shared" si="15"/>
        <v>1.6492835996184677E-2</v>
      </c>
      <c r="AG32" s="348">
        <f t="shared" si="16"/>
        <v>0.13301980161224106</v>
      </c>
      <c r="AH32" s="348">
        <f t="shared" si="17"/>
        <v>3.2291844485096082</v>
      </c>
      <c r="AI32" s="348">
        <f t="shared" si="18"/>
        <v>4.2753292030234834E-2</v>
      </c>
      <c r="AJ32" s="348">
        <f t="shared" si="19"/>
        <v>2.4156435996184677E-2</v>
      </c>
      <c r="AK32" s="348">
        <f t="shared" si="20"/>
        <v>6.7378699673648443E-2</v>
      </c>
      <c r="AL32" s="348">
        <f t="shared" si="21"/>
        <v>7.6635999999999978E-3</v>
      </c>
      <c r="AM32" s="348">
        <f t="shared" si="22"/>
        <v>0.23068999999999998</v>
      </c>
      <c r="AN32" s="348">
        <f t="shared" si="23"/>
        <v>2.7450289965770581E-2</v>
      </c>
      <c r="AO32" s="348">
        <f t="shared" si="24"/>
        <v>1.1E-4</v>
      </c>
      <c r="AP32" s="348">
        <f t="shared" si="25"/>
        <v>5.6099999999999997E-2</v>
      </c>
      <c r="AQ32" s="348">
        <f t="shared" si="26"/>
        <v>0.52647692307692318</v>
      </c>
      <c r="AR32" s="348">
        <f t="shared" si="27"/>
        <v>0.5048999999999999</v>
      </c>
      <c r="AS32" s="348">
        <f t="shared" si="28"/>
        <v>5.6209999999999996E-2</v>
      </c>
      <c r="AT32" s="348">
        <f t="shared" si="29"/>
        <v>0.78631521531792237</v>
      </c>
      <c r="AU32">
        <f t="shared" si="30"/>
        <v>13.799999999999999</v>
      </c>
      <c r="AV32" s="526">
        <f t="shared" si="47"/>
        <v>0.94609226499560584</v>
      </c>
      <c r="AW32" s="534">
        <f t="shared" si="31"/>
        <v>11.981558467714125</v>
      </c>
      <c r="AX32" s="534">
        <f t="shared" si="32"/>
        <v>5.8407104667174909</v>
      </c>
      <c r="AY32" s="9"/>
      <c r="AZ32" s="4">
        <f t="shared" si="48"/>
        <v>94.609226499560577</v>
      </c>
      <c r="BA32" s="348">
        <f t="shared" si="33"/>
        <v>0.24899490496789006</v>
      </c>
      <c r="BB32" s="348">
        <f t="shared" si="34"/>
        <v>0.43108850128588949</v>
      </c>
      <c r="BC32" s="348">
        <f t="shared" si="35"/>
        <v>0.28527520161224107</v>
      </c>
      <c r="BD32" s="348">
        <f t="shared" si="36"/>
        <v>0.14350639967364842</v>
      </c>
      <c r="BE32" s="348">
        <f t="shared" si="37"/>
        <v>2.7450289965770581E-2</v>
      </c>
    </row>
    <row r="33" spans="1:57" x14ac:dyDescent="0.2">
      <c r="A33" s="22" t="s">
        <v>62</v>
      </c>
      <c r="B33" s="5">
        <f>Deadtime*1000000000</f>
        <v>14</v>
      </c>
      <c r="C33" s="427" t="s">
        <v>75</v>
      </c>
      <c r="D33" s="21" t="s">
        <v>98</v>
      </c>
      <c r="G33">
        <v>24</v>
      </c>
      <c r="H33" s="531">
        <f t="shared" si="0"/>
        <v>50</v>
      </c>
      <c r="I33" s="4">
        <f t="shared" si="1"/>
        <v>1</v>
      </c>
      <c r="J33" s="348">
        <f t="shared" si="38"/>
        <v>1.2</v>
      </c>
      <c r="K33" s="348">
        <f t="shared" si="2"/>
        <v>1.2</v>
      </c>
      <c r="L33" s="4">
        <f t="shared" si="3"/>
        <v>0.31999999999999995</v>
      </c>
      <c r="M33" s="348">
        <f t="shared" si="4"/>
        <v>0.24026442144207621</v>
      </c>
      <c r="N33" s="4">
        <f t="shared" si="5"/>
        <v>12.199972054224698</v>
      </c>
      <c r="O33" s="4">
        <f t="shared" si="39"/>
        <v>7.2999860271123493</v>
      </c>
      <c r="P33" s="4">
        <f t="shared" si="40"/>
        <v>-4.899986027112349</v>
      </c>
      <c r="Q33" s="4">
        <f t="shared" si="6"/>
        <v>50</v>
      </c>
      <c r="R33" s="4">
        <f t="shared" si="41"/>
        <v>3.7206553872029007</v>
      </c>
      <c r="S33" s="348">
        <f t="shared" si="7"/>
        <v>4.8451467786126884E-2</v>
      </c>
      <c r="T33" s="348">
        <f t="shared" si="8"/>
        <v>0.2</v>
      </c>
      <c r="U33" s="348">
        <f t="shared" si="9"/>
        <v>0.24941824218022832</v>
      </c>
      <c r="V33" s="4">
        <f t="shared" si="42"/>
        <v>3.5218285748062708</v>
      </c>
      <c r="W33" s="348">
        <f t="shared" si="10"/>
        <v>1.2403276510321968E-2</v>
      </c>
      <c r="X33" s="348">
        <f t="shared" si="43"/>
        <v>1.2403276510321968E-2</v>
      </c>
      <c r="Y33" s="4">
        <f t="shared" si="44"/>
        <v>1.5896276627973485</v>
      </c>
      <c r="Z33" s="348">
        <f t="shared" si="11"/>
        <v>2.5269161063305608E-3</v>
      </c>
      <c r="AA33" s="525">
        <f t="shared" si="45"/>
        <v>2.5269161063305608E-3</v>
      </c>
      <c r="AB33" s="348">
        <f t="shared" si="46"/>
        <v>1.823745273226278</v>
      </c>
      <c r="AC33" s="348">
        <f t="shared" si="12"/>
        <v>3.9912561859382294E-2</v>
      </c>
      <c r="AD33" s="348">
        <f t="shared" si="13"/>
        <v>7.9380026199372941E-2</v>
      </c>
      <c r="AE33" s="348">
        <f t="shared" si="14"/>
        <v>0</v>
      </c>
      <c r="AF33" s="348">
        <f t="shared" si="15"/>
        <v>1.6326753442338346E-2</v>
      </c>
      <c r="AG33" s="348">
        <f t="shared" si="16"/>
        <v>0.13653485005005575</v>
      </c>
      <c r="AH33" s="348">
        <f t="shared" si="17"/>
        <v>3.2430278581453438</v>
      </c>
      <c r="AI33" s="348">
        <f t="shared" si="18"/>
        <v>4.3120641723697777E-2</v>
      </c>
      <c r="AJ33" s="348">
        <f t="shared" si="19"/>
        <v>2.4323553442338344E-2</v>
      </c>
      <c r="AK33" s="348">
        <f t="shared" si="20"/>
        <v>6.7921003358553986E-2</v>
      </c>
      <c r="AL33" s="348">
        <f t="shared" si="21"/>
        <v>7.9967999999999984E-3</v>
      </c>
      <c r="AM33" s="348">
        <f t="shared" si="22"/>
        <v>0.24071999999999999</v>
      </c>
      <c r="AN33" s="348">
        <f t="shared" si="23"/>
        <v>2.7686553020643934E-2</v>
      </c>
      <c r="AO33" s="348">
        <f t="shared" si="24"/>
        <v>1.1E-4</v>
      </c>
      <c r="AP33" s="348">
        <f t="shared" si="25"/>
        <v>5.6099999999999997E-2</v>
      </c>
      <c r="AQ33" s="348">
        <f t="shared" si="26"/>
        <v>0.52647692307692318</v>
      </c>
      <c r="AR33" s="348">
        <f t="shared" si="27"/>
        <v>0.5048999999999999</v>
      </c>
      <c r="AS33" s="348">
        <f t="shared" si="28"/>
        <v>5.6209999999999996E-2</v>
      </c>
      <c r="AT33" s="348">
        <f t="shared" si="29"/>
        <v>0.80141764122613446</v>
      </c>
      <c r="AU33">
        <f t="shared" si="30"/>
        <v>14.399999999999999</v>
      </c>
      <c r="AV33" s="526">
        <f t="shared" si="47"/>
        <v>0.94728007215243559</v>
      </c>
      <c r="AW33" s="534">
        <f t="shared" si="31"/>
        <v>12.40722210210234</v>
      </c>
      <c r="AX33" s="534">
        <f t="shared" si="32"/>
        <v>5.997495156693148</v>
      </c>
      <c r="AY33" s="9"/>
      <c r="AZ33" s="4">
        <f t="shared" si="48"/>
        <v>94.728007215243565</v>
      </c>
      <c r="BA33" s="348">
        <f t="shared" si="33"/>
        <v>0.24941824218022832</v>
      </c>
      <c r="BB33" s="348">
        <f t="shared" si="34"/>
        <v>0.44517585340860971</v>
      </c>
      <c r="BC33" s="348">
        <f t="shared" si="35"/>
        <v>0.29541005005005572</v>
      </c>
      <c r="BD33" s="348">
        <f t="shared" si="36"/>
        <v>0.147358603358554</v>
      </c>
      <c r="BE33" s="348">
        <f t="shared" si="37"/>
        <v>2.7686553020643934E-2</v>
      </c>
    </row>
    <row r="34" spans="1:57" x14ac:dyDescent="0.2">
      <c r="A34" s="24" t="s">
        <v>52</v>
      </c>
      <c r="B34" s="15" t="s">
        <v>111</v>
      </c>
      <c r="C34" s="24" t="s">
        <v>76</v>
      </c>
      <c r="D34" s="17" t="s">
        <v>107</v>
      </c>
      <c r="G34">
        <v>25</v>
      </c>
      <c r="H34" s="531">
        <f t="shared" si="0"/>
        <v>50</v>
      </c>
      <c r="I34" s="4">
        <f t="shared" si="1"/>
        <v>1</v>
      </c>
      <c r="J34" s="348">
        <f t="shared" si="38"/>
        <v>1.25</v>
      </c>
      <c r="K34" s="348">
        <f t="shared" si="2"/>
        <v>1.25</v>
      </c>
      <c r="L34" s="4">
        <f t="shared" si="3"/>
        <v>0.33333333333333331</v>
      </c>
      <c r="M34" s="348">
        <f t="shared" si="4"/>
        <v>0.24027544062749259</v>
      </c>
      <c r="N34" s="4">
        <f t="shared" si="5"/>
        <v>12.200282629923212</v>
      </c>
      <c r="O34" s="4">
        <f t="shared" si="39"/>
        <v>7.3501413149616059</v>
      </c>
      <c r="P34" s="4">
        <f t="shared" si="40"/>
        <v>-4.8501413149616059</v>
      </c>
      <c r="Q34" s="4">
        <f t="shared" si="6"/>
        <v>50</v>
      </c>
      <c r="R34" s="4">
        <f t="shared" si="41"/>
        <v>3.7371657737962116</v>
      </c>
      <c r="S34" s="348">
        <f t="shared" si="7"/>
        <v>4.8882428072918434E-2</v>
      </c>
      <c r="T34" s="348">
        <f t="shared" si="8"/>
        <v>0.2</v>
      </c>
      <c r="U34" s="348">
        <f t="shared" si="9"/>
        <v>0.24985952730265487</v>
      </c>
      <c r="V34" s="4">
        <f t="shared" si="42"/>
        <v>3.5219182302878411</v>
      </c>
      <c r="W34" s="348">
        <f t="shared" si="10"/>
        <v>1.240390802083384E-2</v>
      </c>
      <c r="X34" s="348">
        <f t="shared" si="43"/>
        <v>1.240390802083384E-2</v>
      </c>
      <c r="Y34" s="4">
        <f t="shared" si="44"/>
        <v>1.5967066605426941</v>
      </c>
      <c r="Z34" s="348">
        <f t="shared" si="11"/>
        <v>2.5494721598214023E-3</v>
      </c>
      <c r="AA34" s="525">
        <f t="shared" si="45"/>
        <v>2.5494721598214023E-3</v>
      </c>
      <c r="AB34" s="348">
        <f t="shared" si="46"/>
        <v>1.8318801383248842</v>
      </c>
      <c r="AC34" s="348">
        <f t="shared" si="12"/>
        <v>4.0269418094270364E-2</v>
      </c>
      <c r="AD34" s="348">
        <f t="shared" si="13"/>
        <v>8.2687527291013474E-2</v>
      </c>
      <c r="AE34" s="348">
        <f t="shared" si="14"/>
        <v>0</v>
      </c>
      <c r="AF34" s="348">
        <f t="shared" si="15"/>
        <v>1.6160670861452068E-2</v>
      </c>
      <c r="AG34" s="348">
        <f t="shared" si="16"/>
        <v>0.14006519401492054</v>
      </c>
      <c r="AH34" s="348">
        <f t="shared" si="17"/>
        <v>3.2573951525175202</v>
      </c>
      <c r="AI34" s="348">
        <f t="shared" si="18"/>
        <v>4.3503555036543018E-2</v>
      </c>
      <c r="AJ34" s="348">
        <f t="shared" si="19"/>
        <v>2.4490670861452069E-2</v>
      </c>
      <c r="AK34" s="348">
        <f t="shared" si="20"/>
        <v>6.847922168314162E-2</v>
      </c>
      <c r="AL34" s="348">
        <f t="shared" si="21"/>
        <v>8.3299999999999989E-3</v>
      </c>
      <c r="AM34" s="348">
        <f t="shared" si="22"/>
        <v>0.25074999999999997</v>
      </c>
      <c r="AN34" s="348">
        <f t="shared" si="23"/>
        <v>2.7932816041667675E-2</v>
      </c>
      <c r="AO34" s="348">
        <f t="shared" si="24"/>
        <v>1.1E-4</v>
      </c>
      <c r="AP34" s="348">
        <f t="shared" si="25"/>
        <v>5.6099999999999997E-2</v>
      </c>
      <c r="AQ34" s="348">
        <f t="shared" si="26"/>
        <v>0.52647692307692318</v>
      </c>
      <c r="AR34" s="348">
        <f t="shared" si="27"/>
        <v>0.5048999999999999</v>
      </c>
      <c r="AS34" s="348">
        <f t="shared" si="28"/>
        <v>5.6209999999999996E-2</v>
      </c>
      <c r="AT34" s="348">
        <f t="shared" si="29"/>
        <v>0.81658013922303996</v>
      </c>
      <c r="AU34">
        <f t="shared" si="30"/>
        <v>15</v>
      </c>
      <c r="AV34" s="526">
        <f t="shared" si="47"/>
        <v>0.94837189000180711</v>
      </c>
      <c r="AW34" s="534">
        <f t="shared" si="31"/>
        <v>12.833528148626662</v>
      </c>
      <c r="AX34" s="534">
        <f t="shared" si="32"/>
        <v>6.1549275725038637</v>
      </c>
      <c r="AY34" s="9"/>
      <c r="AZ34" s="4">
        <f t="shared" si="48"/>
        <v>94.837189000180715</v>
      </c>
      <c r="BA34" s="348">
        <f t="shared" si="33"/>
        <v>0.24985952730265487</v>
      </c>
      <c r="BB34" s="348">
        <f t="shared" si="34"/>
        <v>0.45929441569806212</v>
      </c>
      <c r="BC34" s="348">
        <f t="shared" si="35"/>
        <v>0.30556019401492052</v>
      </c>
      <c r="BD34" s="348">
        <f t="shared" si="36"/>
        <v>0.15122672168314161</v>
      </c>
      <c r="BE34" s="348">
        <f t="shared" si="37"/>
        <v>2.7932816041667675E-2</v>
      </c>
    </row>
    <row r="35" spans="1:57" x14ac:dyDescent="0.2">
      <c r="A35" s="22" t="s">
        <v>128</v>
      </c>
      <c r="B35" s="5">
        <f>Iq*1000</f>
        <v>2.2000000000000001E-3</v>
      </c>
      <c r="C35" s="427" t="s">
        <v>64</v>
      </c>
      <c r="D35" s="21" t="s">
        <v>131</v>
      </c>
      <c r="G35">
        <v>26</v>
      </c>
      <c r="H35" s="531">
        <f t="shared" si="0"/>
        <v>50</v>
      </c>
      <c r="I35" s="4">
        <f t="shared" si="1"/>
        <v>1</v>
      </c>
      <c r="J35" s="348">
        <f t="shared" si="38"/>
        <v>1.3</v>
      </c>
      <c r="K35" s="348">
        <f t="shared" si="2"/>
        <v>1.3</v>
      </c>
      <c r="L35" s="4">
        <f t="shared" si="3"/>
        <v>0.34666666666666668</v>
      </c>
      <c r="M35" s="348">
        <f t="shared" si="4"/>
        <v>0.24028645994295525</v>
      </c>
      <c r="N35" s="4">
        <f t="shared" si="5"/>
        <v>12.200593189390974</v>
      </c>
      <c r="O35" s="4">
        <f t="shared" si="39"/>
        <v>7.4002965946954866</v>
      </c>
      <c r="P35" s="4">
        <f t="shared" si="40"/>
        <v>-4.800296594695487</v>
      </c>
      <c r="Q35" s="4">
        <f t="shared" si="6"/>
        <v>50</v>
      </c>
      <c r="R35" s="4">
        <f t="shared" si="41"/>
        <v>3.7542695047662447</v>
      </c>
      <c r="S35" s="348">
        <f t="shared" si="7"/>
        <v>4.9330888300462249E-2</v>
      </c>
      <c r="T35" s="348">
        <f t="shared" si="8"/>
        <v>0.2</v>
      </c>
      <c r="U35" s="348">
        <f t="shared" si="9"/>
        <v>0.25031876405960901</v>
      </c>
      <c r="V35" s="4">
        <f t="shared" si="42"/>
        <v>3.5220078810839968</v>
      </c>
      <c r="W35" s="348">
        <f t="shared" si="10"/>
        <v>1.2404539514417785E-2</v>
      </c>
      <c r="X35" s="348">
        <f t="shared" si="43"/>
        <v>1.2404539514417785E-2</v>
      </c>
      <c r="Y35" s="4">
        <f t="shared" si="44"/>
        <v>1.6040393890905917</v>
      </c>
      <c r="Z35" s="348">
        <f t="shared" si="11"/>
        <v>2.5729423617541188E-3</v>
      </c>
      <c r="AA35" s="525">
        <f t="shared" si="45"/>
        <v>2.5729423617541188E-3</v>
      </c>
      <c r="AB35" s="348">
        <f t="shared" si="46"/>
        <v>1.8403062257259113</v>
      </c>
      <c r="AC35" s="348">
        <f t="shared" si="12"/>
        <v>4.0640724053346587E-2</v>
      </c>
      <c r="AD35" s="348">
        <f t="shared" si="13"/>
        <v>8.5995028382654007E-2</v>
      </c>
      <c r="AE35" s="348">
        <f t="shared" si="14"/>
        <v>0</v>
      </c>
      <c r="AF35" s="348">
        <f t="shared" si="15"/>
        <v>1.5994588253525361E-2</v>
      </c>
      <c r="AG35" s="348">
        <f t="shared" si="16"/>
        <v>0.14361086420607394</v>
      </c>
      <c r="AH35" s="348">
        <f t="shared" si="17"/>
        <v>3.2722794058533933</v>
      </c>
      <c r="AI35" s="348">
        <f t="shared" si="18"/>
        <v>4.3902031290886163E-2</v>
      </c>
      <c r="AJ35" s="348">
        <f t="shared" si="19"/>
        <v>2.4657788253525357E-2</v>
      </c>
      <c r="AK35" s="348">
        <f t="shared" si="20"/>
        <v>6.9053361228384916E-2</v>
      </c>
      <c r="AL35" s="348">
        <f t="shared" si="21"/>
        <v>8.6631999999999994E-3</v>
      </c>
      <c r="AM35" s="348">
        <f t="shared" si="22"/>
        <v>0.26078000000000001</v>
      </c>
      <c r="AN35" s="348">
        <f t="shared" si="23"/>
        <v>2.8189079028835568E-2</v>
      </c>
      <c r="AO35" s="348">
        <f t="shared" si="24"/>
        <v>1.1E-4</v>
      </c>
      <c r="AP35" s="348">
        <f t="shared" si="25"/>
        <v>5.6099999999999997E-2</v>
      </c>
      <c r="AQ35" s="348">
        <f t="shared" si="26"/>
        <v>0.52647692307692318</v>
      </c>
      <c r="AR35" s="348">
        <f t="shared" si="27"/>
        <v>0.5048999999999999</v>
      </c>
      <c r="AS35" s="348">
        <f t="shared" si="28"/>
        <v>5.6209999999999996E-2</v>
      </c>
      <c r="AT35" s="348">
        <f t="shared" si="29"/>
        <v>0.83180275039907525</v>
      </c>
      <c r="AU35">
        <f t="shared" si="30"/>
        <v>15.600000000000001</v>
      </c>
      <c r="AV35" s="526">
        <f t="shared" si="47"/>
        <v>0.94937848493958632</v>
      </c>
      <c r="AW35" s="534">
        <f t="shared" si="31"/>
        <v>13.260477896655106</v>
      </c>
      <c r="AX35" s="534">
        <f t="shared" si="32"/>
        <v>6.3130079819952662</v>
      </c>
      <c r="AY35" s="9"/>
      <c r="AZ35" s="4">
        <f t="shared" si="48"/>
        <v>94.937848493958626</v>
      </c>
      <c r="BA35" s="348">
        <f t="shared" si="33"/>
        <v>0.25031876405960901</v>
      </c>
      <c r="BB35" s="348">
        <f t="shared" si="34"/>
        <v>0.47344422543445885</v>
      </c>
      <c r="BC35" s="348">
        <f t="shared" si="35"/>
        <v>0.31572566420607395</v>
      </c>
      <c r="BD35" s="348">
        <f t="shared" si="36"/>
        <v>0.15511076122838491</v>
      </c>
      <c r="BE35" s="348">
        <f t="shared" si="37"/>
        <v>2.8189079028835568E-2</v>
      </c>
    </row>
    <row r="36" spans="1:57" x14ac:dyDescent="0.2">
      <c r="A36" s="24" t="s">
        <v>508</v>
      </c>
      <c r="B36" s="15" t="s">
        <v>111</v>
      </c>
      <c r="C36" s="24" t="s">
        <v>76</v>
      </c>
      <c r="D36" s="17" t="s">
        <v>107</v>
      </c>
      <c r="G36">
        <v>27</v>
      </c>
      <c r="H36" s="531">
        <f t="shared" si="0"/>
        <v>50</v>
      </c>
      <c r="I36" s="4">
        <f t="shared" si="1"/>
        <v>1</v>
      </c>
      <c r="J36" s="348">
        <f t="shared" si="38"/>
        <v>1.35</v>
      </c>
      <c r="K36" s="348">
        <f t="shared" si="2"/>
        <v>1.35</v>
      </c>
      <c r="L36" s="4">
        <f t="shared" si="3"/>
        <v>0.36000000000000004</v>
      </c>
      <c r="M36" s="348">
        <f t="shared" si="4"/>
        <v>0.24029747938846657</v>
      </c>
      <c r="N36" s="4">
        <f t="shared" si="5"/>
        <v>12.200903732627708</v>
      </c>
      <c r="O36" s="4">
        <f t="shared" si="39"/>
        <v>7.4504518663138537</v>
      </c>
      <c r="P36" s="4">
        <f t="shared" si="40"/>
        <v>-4.7504518663138544</v>
      </c>
      <c r="Q36" s="4">
        <f t="shared" si="6"/>
        <v>50</v>
      </c>
      <c r="R36" s="4">
        <f t="shared" si="41"/>
        <v>3.7719585086624066</v>
      </c>
      <c r="S36" s="348">
        <f t="shared" si="7"/>
        <v>4.9796848468747539E-2</v>
      </c>
      <c r="T36" s="348">
        <f t="shared" si="8"/>
        <v>0.2</v>
      </c>
      <c r="U36" s="348">
        <f t="shared" si="9"/>
        <v>0.25079595632745255</v>
      </c>
      <c r="V36" s="4">
        <f t="shared" si="42"/>
        <v>3.5220975271946586</v>
      </c>
      <c r="W36" s="348">
        <f t="shared" si="10"/>
        <v>1.2405170991070729E-2</v>
      </c>
      <c r="X36" s="348">
        <f t="shared" si="43"/>
        <v>1.2405170991070729E-2</v>
      </c>
      <c r="Y36" s="4">
        <f t="shared" si="44"/>
        <v>1.611622411707579</v>
      </c>
      <c r="Z36" s="348">
        <f t="shared" si="11"/>
        <v>2.5973267979181535E-3</v>
      </c>
      <c r="AA36" s="525">
        <f t="shared" si="45"/>
        <v>2.5973267979181535E-3</v>
      </c>
      <c r="AB36" s="348">
        <f t="shared" si="46"/>
        <v>1.8490195987935611</v>
      </c>
      <c r="AC36" s="348">
        <f t="shared" si="12"/>
        <v>4.1026481720672421E-2</v>
      </c>
      <c r="AD36" s="348">
        <f t="shared" si="13"/>
        <v>8.9302529474294554E-2</v>
      </c>
      <c r="AE36" s="348">
        <f t="shared" si="14"/>
        <v>0</v>
      </c>
      <c r="AF36" s="348">
        <f t="shared" si="15"/>
        <v>1.582850561855776E-2</v>
      </c>
      <c r="AG36" s="348">
        <f t="shared" si="16"/>
        <v>0.14717189155989638</v>
      </c>
      <c r="AH36" s="348">
        <f t="shared" si="17"/>
        <v>3.2876735717446195</v>
      </c>
      <c r="AI36" s="348">
        <f t="shared" si="18"/>
        <v>4.4316069808826894E-2</v>
      </c>
      <c r="AJ36" s="348">
        <f t="shared" si="19"/>
        <v>2.4824905618557755E-2</v>
      </c>
      <c r="AK36" s="348">
        <f t="shared" si="20"/>
        <v>6.964342882046741E-2</v>
      </c>
      <c r="AL36" s="348">
        <f t="shared" si="21"/>
        <v>8.9963999999999999E-3</v>
      </c>
      <c r="AM36" s="348">
        <f t="shared" si="22"/>
        <v>0.27081</v>
      </c>
      <c r="AN36" s="348">
        <f t="shared" si="23"/>
        <v>2.8455341982141454E-2</v>
      </c>
      <c r="AO36" s="348">
        <f t="shared" si="24"/>
        <v>1.1E-4</v>
      </c>
      <c r="AP36" s="348">
        <f t="shared" si="25"/>
        <v>5.6099999999999997E-2</v>
      </c>
      <c r="AQ36" s="348">
        <f t="shared" si="26"/>
        <v>0.52647692307692318</v>
      </c>
      <c r="AR36" s="348">
        <f t="shared" si="27"/>
        <v>0.5048999999999999</v>
      </c>
      <c r="AS36" s="348">
        <f t="shared" si="28"/>
        <v>5.6209999999999996E-2</v>
      </c>
      <c r="AT36" s="348">
        <f t="shared" si="29"/>
        <v>0.84708551647894681</v>
      </c>
      <c r="AU36">
        <f t="shared" si="30"/>
        <v>16.200000000000003</v>
      </c>
      <c r="AV36" s="526">
        <f t="shared" si="47"/>
        <v>0.95030907097520601</v>
      </c>
      <c r="AW36" s="534">
        <f t="shared" si="31"/>
        <v>13.688072645515648</v>
      </c>
      <c r="AX36" s="534">
        <f t="shared" si="32"/>
        <v>6.471736662993024</v>
      </c>
      <c r="AY36" s="9"/>
      <c r="AZ36" s="4">
        <f t="shared" si="48"/>
        <v>95.030907097520597</v>
      </c>
      <c r="BA36" s="348">
        <f t="shared" si="33"/>
        <v>0.25079595632745255</v>
      </c>
      <c r="BB36" s="348">
        <f t="shared" si="34"/>
        <v>0.48762532038036377</v>
      </c>
      <c r="BC36" s="348">
        <f t="shared" si="35"/>
        <v>0.32590649155989637</v>
      </c>
      <c r="BD36" s="348">
        <f t="shared" si="36"/>
        <v>0.15901072882046741</v>
      </c>
      <c r="BE36" s="348">
        <f t="shared" si="37"/>
        <v>2.8455341982141454E-2</v>
      </c>
    </row>
    <row r="37" spans="1:57" x14ac:dyDescent="0.2">
      <c r="A37" s="23" t="s">
        <v>71</v>
      </c>
      <c r="B37" s="5">
        <f>Rdson1*1000</f>
        <v>12</v>
      </c>
      <c r="C37" s="429" t="s">
        <v>450</v>
      </c>
      <c r="D37" s="427" t="s">
        <v>511</v>
      </c>
      <c r="G37">
        <v>28</v>
      </c>
      <c r="H37" s="531">
        <f t="shared" si="0"/>
        <v>50</v>
      </c>
      <c r="I37" s="4">
        <f t="shared" si="1"/>
        <v>1</v>
      </c>
      <c r="J37" s="348">
        <f t="shared" si="38"/>
        <v>1.4</v>
      </c>
      <c r="K37" s="348">
        <f t="shared" si="2"/>
        <v>1.4</v>
      </c>
      <c r="L37" s="4">
        <f t="shared" si="3"/>
        <v>0.37333333333333329</v>
      </c>
      <c r="M37" s="348">
        <f t="shared" si="4"/>
        <v>0.24030849896402884</v>
      </c>
      <c r="N37" s="4">
        <f t="shared" si="5"/>
        <v>12.201214259633122</v>
      </c>
      <c r="O37" s="4">
        <f t="shared" si="39"/>
        <v>7.5006071298165615</v>
      </c>
      <c r="P37" s="4">
        <f t="shared" si="40"/>
        <v>-4.7006071298165608</v>
      </c>
      <c r="Q37" s="4">
        <f t="shared" si="6"/>
        <v>50</v>
      </c>
      <c r="R37" s="4">
        <f t="shared" si="41"/>
        <v>3.790224591074987</v>
      </c>
      <c r="S37" s="348">
        <f t="shared" si="7"/>
        <v>5.028030857776343E-2</v>
      </c>
      <c r="T37" s="348">
        <f t="shared" si="8"/>
        <v>0.2</v>
      </c>
      <c r="U37" s="348">
        <f t="shared" si="9"/>
        <v>0.25129110813455174</v>
      </c>
      <c r="V37" s="4">
        <f t="shared" si="42"/>
        <v>3.5221871686197419</v>
      </c>
      <c r="W37" s="348">
        <f t="shared" si="10"/>
        <v>1.2405802450789555E-2</v>
      </c>
      <c r="X37" s="348">
        <f t="shared" si="43"/>
        <v>1.2405802450789555E-2</v>
      </c>
      <c r="Y37" s="4">
        <f t="shared" si="44"/>
        <v>1.6194522389060075</v>
      </c>
      <c r="Z37" s="348">
        <f t="shared" si="11"/>
        <v>2.6226255540976805E-3</v>
      </c>
      <c r="AA37" s="525">
        <f t="shared" si="45"/>
        <v>2.6226255540976805E-3</v>
      </c>
      <c r="AB37" s="348">
        <f t="shared" si="46"/>
        <v>1.8580162602525856</v>
      </c>
      <c r="AC37" s="348">
        <f t="shared" si="12"/>
        <v>4.1426693080356049E-2</v>
      </c>
      <c r="AD37" s="348">
        <f t="shared" si="13"/>
        <v>9.2610030565935086E-2</v>
      </c>
      <c r="AE37" s="348">
        <f t="shared" si="14"/>
        <v>0</v>
      </c>
      <c r="AF37" s="348">
        <f t="shared" si="15"/>
        <v>1.566242295654878E-2</v>
      </c>
      <c r="AG37" s="348">
        <f t="shared" si="16"/>
        <v>0.15074830725079272</v>
      </c>
      <c r="AH37" s="348">
        <f t="shared" si="17"/>
        <v>3.3035704968150061</v>
      </c>
      <c r="AI37" s="348">
        <f t="shared" si="18"/>
        <v>4.4745669912448834E-2</v>
      </c>
      <c r="AJ37" s="348">
        <f t="shared" si="19"/>
        <v>2.499202295654878E-2</v>
      </c>
      <c r="AK37" s="348">
        <f t="shared" si="20"/>
        <v>7.0249431531018994E-2</v>
      </c>
      <c r="AL37" s="348">
        <f t="shared" si="21"/>
        <v>9.3295999999999987E-3</v>
      </c>
      <c r="AM37" s="348">
        <f t="shared" si="22"/>
        <v>0.28083999999999998</v>
      </c>
      <c r="AN37" s="348">
        <f t="shared" si="23"/>
        <v>2.8731604901579104E-2</v>
      </c>
      <c r="AO37" s="348">
        <f t="shared" si="24"/>
        <v>1.1E-4</v>
      </c>
      <c r="AP37" s="348">
        <f t="shared" si="25"/>
        <v>5.6099999999999997E-2</v>
      </c>
      <c r="AQ37" s="348">
        <f t="shared" si="26"/>
        <v>0.52647692307692318</v>
      </c>
      <c r="AR37" s="348">
        <f t="shared" si="27"/>
        <v>0.5048999999999999</v>
      </c>
      <c r="AS37" s="348">
        <f t="shared" si="28"/>
        <v>5.6209999999999996E-2</v>
      </c>
      <c r="AT37" s="348">
        <f t="shared" si="29"/>
        <v>0.86242847982282977</v>
      </c>
      <c r="AU37">
        <f t="shared" si="30"/>
        <v>16.799999999999997</v>
      </c>
      <c r="AV37" s="526">
        <f t="shared" si="47"/>
        <v>0.95117157978541578</v>
      </c>
      <c r="AW37" s="534">
        <f t="shared" si="31"/>
        <v>14.116313704533294</v>
      </c>
      <c r="AX37" s="534">
        <f t="shared" si="32"/>
        <v>6.6311139033124737</v>
      </c>
      <c r="AY37" s="9"/>
      <c r="AZ37" s="4">
        <f t="shared" si="48"/>
        <v>95.117157978541584</v>
      </c>
      <c r="BA37" s="348">
        <f t="shared" si="33"/>
        <v>0.25129110813455174</v>
      </c>
      <c r="BB37" s="348">
        <f t="shared" si="34"/>
        <v>0.5018377387818117</v>
      </c>
      <c r="BC37" s="348">
        <f t="shared" si="35"/>
        <v>0.33610270725079272</v>
      </c>
      <c r="BD37" s="348">
        <f t="shared" si="36"/>
        <v>0.16292663153101899</v>
      </c>
      <c r="BE37" s="348">
        <f t="shared" si="37"/>
        <v>2.8731604901579104E-2</v>
      </c>
    </row>
    <row r="38" spans="1:57" x14ac:dyDescent="0.2">
      <c r="A38" s="22" t="s">
        <v>79</v>
      </c>
      <c r="B38" s="5">
        <f>RdsonTopTc*1000000</f>
        <v>4000</v>
      </c>
      <c r="C38" s="427" t="s">
        <v>81</v>
      </c>
      <c r="D38" s="21" t="s">
        <v>109</v>
      </c>
      <c r="G38">
        <v>29</v>
      </c>
      <c r="H38" s="531">
        <f t="shared" si="0"/>
        <v>50</v>
      </c>
      <c r="I38" s="4">
        <f t="shared" si="1"/>
        <v>1</v>
      </c>
      <c r="J38" s="348">
        <f t="shared" si="38"/>
        <v>1.45</v>
      </c>
      <c r="K38" s="348">
        <f t="shared" si="2"/>
        <v>1.45</v>
      </c>
      <c r="L38" s="4">
        <f t="shared" si="3"/>
        <v>0.38666666666666666</v>
      </c>
      <c r="M38" s="348">
        <f t="shared" si="4"/>
        <v>0.24031951866964441</v>
      </c>
      <c r="N38" s="4">
        <f t="shared" si="5"/>
        <v>12.201524770406934</v>
      </c>
      <c r="O38" s="4">
        <f t="shared" si="39"/>
        <v>7.5507623852034671</v>
      </c>
      <c r="P38" s="4">
        <f t="shared" si="40"/>
        <v>-4.6507623852034667</v>
      </c>
      <c r="Q38" s="4">
        <f t="shared" si="6"/>
        <v>50</v>
      </c>
      <c r="R38" s="4">
        <f t="shared" si="41"/>
        <v>3.8090594499917123</v>
      </c>
      <c r="S38" s="348">
        <f t="shared" si="7"/>
        <v>5.0781268627499085E-2</v>
      </c>
      <c r="T38" s="348">
        <f t="shared" si="8"/>
        <v>0.2</v>
      </c>
      <c r="U38" s="348">
        <f t="shared" si="9"/>
        <v>0.25180422366136201</v>
      </c>
      <c r="V38" s="4">
        <f t="shared" si="42"/>
        <v>3.5222768053591653</v>
      </c>
      <c r="W38" s="348">
        <f t="shared" si="10"/>
        <v>1.2406433893571168E-2</v>
      </c>
      <c r="X38" s="348">
        <f t="shared" si="43"/>
        <v>1.2406433893571168E-2</v>
      </c>
      <c r="Y38" s="4">
        <f t="shared" si="44"/>
        <v>1.6275253350014602</v>
      </c>
      <c r="Z38" s="348">
        <f t="shared" si="11"/>
        <v>2.6488387160716153E-3</v>
      </c>
      <c r="AA38" s="525">
        <f t="shared" si="45"/>
        <v>2.6488387160716153E-3</v>
      </c>
      <c r="AB38" s="348">
        <f t="shared" si="46"/>
        <v>1.8672921597095384</v>
      </c>
      <c r="AC38" s="348">
        <f t="shared" si="12"/>
        <v>4.1841360116552546E-2</v>
      </c>
      <c r="AD38" s="348">
        <f t="shared" si="13"/>
        <v>9.5917531657575633E-2</v>
      </c>
      <c r="AE38" s="348">
        <f t="shared" si="14"/>
        <v>0</v>
      </c>
      <c r="AF38" s="348">
        <f t="shared" si="15"/>
        <v>1.549634026749795E-2</v>
      </c>
      <c r="AG38" s="348">
        <f t="shared" si="16"/>
        <v>0.15434014269208382</v>
      </c>
      <c r="AH38" s="348">
        <f t="shared" si="17"/>
        <v>3.3199629341091224</v>
      </c>
      <c r="AI38" s="348">
        <f t="shared" si="18"/>
        <v>4.5190830923819647E-2</v>
      </c>
      <c r="AJ38" s="348">
        <f t="shared" si="19"/>
        <v>2.5159140267497947E-2</v>
      </c>
      <c r="AK38" s="348">
        <f t="shared" si="20"/>
        <v>7.0871376677362138E-2</v>
      </c>
      <c r="AL38" s="348">
        <f t="shared" si="21"/>
        <v>9.6627999999999974E-3</v>
      </c>
      <c r="AM38" s="348">
        <f t="shared" si="22"/>
        <v>0.29086999999999996</v>
      </c>
      <c r="AN38" s="348">
        <f t="shared" si="23"/>
        <v>2.9017867787142333E-2</v>
      </c>
      <c r="AO38" s="348">
        <f t="shared" si="24"/>
        <v>1.1E-4</v>
      </c>
      <c r="AP38" s="348">
        <f t="shared" si="25"/>
        <v>5.6099999999999997E-2</v>
      </c>
      <c r="AQ38" s="348">
        <f t="shared" si="26"/>
        <v>0.52647692307692318</v>
      </c>
      <c r="AR38" s="348">
        <f t="shared" si="27"/>
        <v>0.5048999999999999</v>
      </c>
      <c r="AS38" s="348">
        <f t="shared" si="28"/>
        <v>5.6209999999999996E-2</v>
      </c>
      <c r="AT38" s="348">
        <f t="shared" si="29"/>
        <v>0.8778316834275931</v>
      </c>
      <c r="AU38">
        <f t="shared" si="30"/>
        <v>17.399999999999999</v>
      </c>
      <c r="AV38" s="526">
        <f t="shared" si="47"/>
        <v>0.95197287628906668</v>
      </c>
      <c r="AW38" s="534">
        <f t="shared" si="31"/>
        <v>14.545202393067521</v>
      </c>
      <c r="AX38" s="534">
        <f t="shared" si="32"/>
        <v>6.7911400007686398</v>
      </c>
      <c r="AY38" s="9"/>
      <c r="AZ38" s="4">
        <f t="shared" si="48"/>
        <v>95.197287628906665</v>
      </c>
      <c r="BA38" s="348">
        <f t="shared" si="33"/>
        <v>0.25180422366136201</v>
      </c>
      <c r="BB38" s="348">
        <f t="shared" si="34"/>
        <v>0.51608151936944591</v>
      </c>
      <c r="BC38" s="348">
        <f t="shared" si="35"/>
        <v>0.34631434269208383</v>
      </c>
      <c r="BD38" s="348">
        <f t="shared" si="36"/>
        <v>0.16685847667736214</v>
      </c>
      <c r="BE38" s="348">
        <f t="shared" si="37"/>
        <v>2.9017867787142333E-2</v>
      </c>
    </row>
    <row r="39" spans="1:57" x14ac:dyDescent="0.2">
      <c r="A39" s="23" t="s">
        <v>70</v>
      </c>
      <c r="B39" s="5">
        <f>Qg_Q1*1000000000</f>
        <v>8</v>
      </c>
      <c r="C39" s="427" t="s">
        <v>65</v>
      </c>
      <c r="D39" s="21" t="s">
        <v>99</v>
      </c>
      <c r="G39">
        <v>30</v>
      </c>
      <c r="H39" s="531">
        <f t="shared" si="0"/>
        <v>50</v>
      </c>
      <c r="I39" s="4">
        <f t="shared" si="1"/>
        <v>1</v>
      </c>
      <c r="J39" s="348">
        <f t="shared" si="38"/>
        <v>1.5</v>
      </c>
      <c r="K39" s="348">
        <f t="shared" si="2"/>
        <v>1.5</v>
      </c>
      <c r="L39" s="4">
        <f t="shared" si="3"/>
        <v>0.4</v>
      </c>
      <c r="M39" s="348">
        <f t="shared" si="4"/>
        <v>0.24033053850531547</v>
      </c>
      <c r="N39" s="4">
        <f t="shared" si="5"/>
        <v>12.20183526494885</v>
      </c>
      <c r="O39" s="4">
        <f t="shared" si="39"/>
        <v>7.6009176324744248</v>
      </c>
      <c r="P39" s="4">
        <f t="shared" si="40"/>
        <v>-4.6009176324744248</v>
      </c>
      <c r="Q39" s="4">
        <f t="shared" si="6"/>
        <v>50</v>
      </c>
      <c r="R39" s="4">
        <f t="shared" si="41"/>
        <v>3.8284546907874524</v>
      </c>
      <c r="S39" s="348">
        <f t="shared" si="7"/>
        <v>5.1299728617943567E-2</v>
      </c>
      <c r="T39" s="348">
        <f t="shared" si="8"/>
        <v>0.2</v>
      </c>
      <c r="U39" s="348">
        <f t="shared" si="9"/>
        <v>0.25233530724051673</v>
      </c>
      <c r="V39" s="4">
        <f t="shared" si="42"/>
        <v>3.5223664374128436</v>
      </c>
      <c r="W39" s="348">
        <f t="shared" si="10"/>
        <v>1.2407065319412448E-2</v>
      </c>
      <c r="X39" s="348">
        <f t="shared" si="43"/>
        <v>1.2407065319412448E-2</v>
      </c>
      <c r="Y39" s="4">
        <f t="shared" si="44"/>
        <v>1.6358381245140372</v>
      </c>
      <c r="Z39" s="348">
        <f t="shared" si="11"/>
        <v>2.6759663696136029E-3</v>
      </c>
      <c r="AA39" s="525">
        <f t="shared" si="45"/>
        <v>2.6759663696136029E-3</v>
      </c>
      <c r="AB39" s="348">
        <f t="shared" si="46"/>
        <v>1.8768432009952181</v>
      </c>
      <c r="AC39" s="348">
        <f t="shared" si="12"/>
        <v>4.2270484813463717E-2</v>
      </c>
      <c r="AD39" s="348">
        <f t="shared" si="13"/>
        <v>9.9225032749216166E-2</v>
      </c>
      <c r="AE39" s="348">
        <f t="shared" si="14"/>
        <v>0</v>
      </c>
      <c r="AF39" s="348">
        <f t="shared" si="15"/>
        <v>1.5330257551404783E-2</v>
      </c>
      <c r="AG39" s="348">
        <f t="shared" si="16"/>
        <v>0.15794742953690766</v>
      </c>
      <c r="AH39" s="348">
        <f t="shared" si="17"/>
        <v>3.3368435561605927</v>
      </c>
      <c r="AI39" s="348">
        <f t="shared" si="18"/>
        <v>4.5651552164990922E-2</v>
      </c>
      <c r="AJ39" s="348">
        <f t="shared" si="19"/>
        <v>2.5326257551404781E-2</v>
      </c>
      <c r="AK39" s="348">
        <f t="shared" si="20"/>
        <v>7.1509271822767423E-2</v>
      </c>
      <c r="AL39" s="348">
        <f t="shared" si="21"/>
        <v>9.9959999999999979E-3</v>
      </c>
      <c r="AM39" s="348">
        <f t="shared" si="22"/>
        <v>0.3009</v>
      </c>
      <c r="AN39" s="348">
        <f t="shared" si="23"/>
        <v>2.9314130638824897E-2</v>
      </c>
      <c r="AO39" s="348">
        <f t="shared" si="24"/>
        <v>1.1E-4</v>
      </c>
      <c r="AP39" s="348">
        <f t="shared" si="25"/>
        <v>5.6099999999999997E-2</v>
      </c>
      <c r="AQ39" s="348">
        <f t="shared" si="26"/>
        <v>0.52647692307692318</v>
      </c>
      <c r="AR39" s="348">
        <f t="shared" si="27"/>
        <v>0.5048999999999999</v>
      </c>
      <c r="AS39" s="348">
        <f t="shared" si="28"/>
        <v>5.6209999999999996E-2</v>
      </c>
      <c r="AT39" s="348">
        <f t="shared" si="29"/>
        <v>0.89329517092804267</v>
      </c>
      <c r="AU39">
        <f t="shared" si="30"/>
        <v>18</v>
      </c>
      <c r="AV39" s="526">
        <f t="shared" si="47"/>
        <v>0.95271893214781322</v>
      </c>
      <c r="AW39" s="534">
        <f t="shared" si="31"/>
        <v>14.974740040550124</v>
      </c>
      <c r="AX39" s="534">
        <f t="shared" si="32"/>
        <v>6.9518152631866341</v>
      </c>
      <c r="AY39" s="9"/>
      <c r="AZ39" s="4">
        <f t="shared" si="48"/>
        <v>95.271893214781329</v>
      </c>
      <c r="BA39" s="348">
        <f t="shared" si="33"/>
        <v>0.25233530724051673</v>
      </c>
      <c r="BB39" s="348">
        <f t="shared" si="34"/>
        <v>0.53035670135967505</v>
      </c>
      <c r="BC39" s="348">
        <f t="shared" si="35"/>
        <v>0.35654142953690771</v>
      </c>
      <c r="BD39" s="348">
        <f t="shared" si="36"/>
        <v>0.17080627182276742</v>
      </c>
      <c r="BE39" s="348">
        <f t="shared" si="37"/>
        <v>2.9314130638824897E-2</v>
      </c>
    </row>
    <row r="40" spans="1:57" x14ac:dyDescent="0.2">
      <c r="A40" s="23" t="s">
        <v>120</v>
      </c>
      <c r="B40" s="5">
        <f>Qgd_Q1*1000000000</f>
        <v>2.9</v>
      </c>
      <c r="C40" s="427" t="s">
        <v>65</v>
      </c>
      <c r="D40" s="21" t="s">
        <v>121</v>
      </c>
      <c r="G40">
        <v>31</v>
      </c>
      <c r="H40" s="531">
        <f t="shared" si="0"/>
        <v>50</v>
      </c>
      <c r="I40" s="4">
        <f t="shared" si="1"/>
        <v>1</v>
      </c>
      <c r="J40" s="348">
        <f t="shared" si="38"/>
        <v>1.55</v>
      </c>
      <c r="K40" s="348">
        <f t="shared" si="2"/>
        <v>1.55</v>
      </c>
      <c r="L40" s="4">
        <f t="shared" si="3"/>
        <v>0.41333333333333339</v>
      </c>
      <c r="M40" s="348">
        <f t="shared" si="4"/>
        <v>0.24034155847104433</v>
      </c>
      <c r="N40" s="4">
        <f t="shared" si="5"/>
        <v>12.202145743258578</v>
      </c>
      <c r="O40" s="4">
        <f t="shared" si="39"/>
        <v>7.6510728716292888</v>
      </c>
      <c r="P40" s="4">
        <f t="shared" si="40"/>
        <v>-4.5510728716292892</v>
      </c>
      <c r="Q40" s="4">
        <f t="shared" si="6"/>
        <v>50</v>
      </c>
      <c r="R40" s="4">
        <f t="shared" si="41"/>
        <v>3.8484018408048666</v>
      </c>
      <c r="S40" s="348">
        <f t="shared" si="7"/>
        <v>5.1835688549086004E-2</v>
      </c>
      <c r="T40" s="348">
        <f t="shared" si="8"/>
        <v>0.2</v>
      </c>
      <c r="U40" s="348">
        <f t="shared" si="9"/>
        <v>0.25288436335691827</v>
      </c>
      <c r="V40" s="4">
        <f t="shared" si="42"/>
        <v>3.5224560647806933</v>
      </c>
      <c r="W40" s="348">
        <f t="shared" si="10"/>
        <v>1.2407696728310288E-2</v>
      </c>
      <c r="X40" s="348">
        <f t="shared" si="43"/>
        <v>1.2407696728310288E-2</v>
      </c>
      <c r="Y40" s="4">
        <f t="shared" si="44"/>
        <v>1.6443869983954584</v>
      </c>
      <c r="Z40" s="348">
        <f t="shared" si="11"/>
        <v>2.7040086004920254E-3</v>
      </c>
      <c r="AA40" s="525">
        <f t="shared" si="45"/>
        <v>2.7040086004920254E-3</v>
      </c>
      <c r="AB40" s="348">
        <f t="shared" si="46"/>
        <v>1.8866652493075862</v>
      </c>
      <c r="AC40" s="348">
        <f t="shared" si="12"/>
        <v>4.2714069155338277E-2</v>
      </c>
      <c r="AD40" s="348">
        <f t="shared" si="13"/>
        <v>0.10253253384085671</v>
      </c>
      <c r="AE40" s="348">
        <f t="shared" si="14"/>
        <v>0</v>
      </c>
      <c r="AF40" s="348">
        <f t="shared" si="15"/>
        <v>1.5164174808268791E-2</v>
      </c>
      <c r="AG40" s="348">
        <f t="shared" si="16"/>
        <v>0.16157019967912986</v>
      </c>
      <c r="AH40" s="348">
        <f t="shared" si="17"/>
        <v>3.3542049677032906</v>
      </c>
      <c r="AI40" s="348">
        <f t="shared" si="18"/>
        <v>4.6127832957998265E-2</v>
      </c>
      <c r="AJ40" s="348">
        <f t="shared" si="19"/>
        <v>2.5493374808268788E-2</v>
      </c>
      <c r="AK40" s="348">
        <f t="shared" si="20"/>
        <v>7.2163124776718685E-2</v>
      </c>
      <c r="AL40" s="348">
        <f t="shared" si="21"/>
        <v>1.0329199999999998E-2</v>
      </c>
      <c r="AM40" s="348">
        <f t="shared" si="22"/>
        <v>0.31093000000000004</v>
      </c>
      <c r="AN40" s="348">
        <f t="shared" si="23"/>
        <v>2.9620393456620573E-2</v>
      </c>
      <c r="AO40" s="348">
        <f t="shared" si="24"/>
        <v>1.1E-4</v>
      </c>
      <c r="AP40" s="348">
        <f t="shared" si="25"/>
        <v>5.6099999999999997E-2</v>
      </c>
      <c r="AQ40" s="348">
        <f t="shared" si="26"/>
        <v>0.52647692307692318</v>
      </c>
      <c r="AR40" s="348">
        <f t="shared" si="27"/>
        <v>0.5048999999999999</v>
      </c>
      <c r="AS40" s="348">
        <f t="shared" si="28"/>
        <v>5.6209999999999996E-2</v>
      </c>
      <c r="AT40" s="348">
        <f t="shared" si="29"/>
        <v>0.90881898659818983</v>
      </c>
      <c r="AU40">
        <f t="shared" si="30"/>
        <v>18.600000000000001</v>
      </c>
      <c r="AV40" s="526">
        <f t="shared" si="47"/>
        <v>0.95341496647118862</v>
      </c>
      <c r="AW40" s="534">
        <f t="shared" si="31"/>
        <v>15.404927986523456</v>
      </c>
      <c r="AX40" s="534">
        <f t="shared" si="32"/>
        <v>7.1131400084124525</v>
      </c>
      <c r="AY40" s="9"/>
      <c r="AZ40" s="4">
        <f t="shared" si="48"/>
        <v>95.341496647118859</v>
      </c>
      <c r="BA40" s="348">
        <f t="shared" si="33"/>
        <v>0.25288436335691827</v>
      </c>
      <c r="BB40" s="348">
        <f t="shared" si="34"/>
        <v>0.54466332445584853</v>
      </c>
      <c r="BC40" s="348">
        <f t="shared" si="35"/>
        <v>0.36678399967912989</v>
      </c>
      <c r="BD40" s="348">
        <f t="shared" si="36"/>
        <v>0.17477002477671871</v>
      </c>
      <c r="BE40" s="348">
        <f t="shared" si="37"/>
        <v>2.9620393456620573E-2</v>
      </c>
    </row>
    <row r="41" spans="1:57" x14ac:dyDescent="0.2">
      <c r="A41" s="23" t="s">
        <v>124</v>
      </c>
      <c r="B41" s="5">
        <f>Qgs_Q1*1000000000</f>
        <v>3.1</v>
      </c>
      <c r="C41" s="427" t="s">
        <v>65</v>
      </c>
      <c r="D41" s="21"/>
      <c r="G41">
        <v>32</v>
      </c>
      <c r="H41" s="531">
        <f t="shared" ref="H41:H72" si="49">Vin</f>
        <v>50</v>
      </c>
      <c r="I41" s="4">
        <f t="shared" ref="I41:I72" si="50">MODE</f>
        <v>1</v>
      </c>
      <c r="J41" s="348">
        <f t="shared" si="38"/>
        <v>1.6</v>
      </c>
      <c r="K41" s="348">
        <f t="shared" ref="K41:K72" si="51">Iout*G41/100/Number_of_Phases</f>
        <v>1.6</v>
      </c>
      <c r="L41" s="4">
        <f t="shared" ref="L41:L72" si="52">Vout*K41/(Vin*Efficiency)</f>
        <v>0.42666666666666675</v>
      </c>
      <c r="M41" s="348">
        <f t="shared" ref="M41:M72" si="53">(Vout+(Rdson2+Rs+Rdcr)*K41)/(Vin+(Rs+Rdson2-Rdson1)*K41)</f>
        <v>0.2403525785668334</v>
      </c>
      <c r="N41" s="4">
        <f t="shared" ref="N41:N72" si="54">(Vin-(Rdson1+Rdcr)*K41-Vout)*M41/(Fsw*Lf)</f>
        <v>12.202456205335844</v>
      </c>
      <c r="O41" s="4">
        <f t="shared" si="39"/>
        <v>7.7012281026679226</v>
      </c>
      <c r="P41" s="4">
        <f t="shared" si="40"/>
        <v>-4.5012281026679215</v>
      </c>
      <c r="Q41" s="4">
        <f t="shared" ref="Q41:Q72" si="55">IF(MIN(Vin, -P41/(Coss_Q1+Coss_Q2)*0.00000002)&lt;0, 0, MIN(Vin, -P41/(Coss_Q1+Coss_Q2)*0.00000002))</f>
        <v>50</v>
      </c>
      <c r="R41" s="4">
        <f t="shared" si="41"/>
        <v>3.8688923634887549</v>
      </c>
      <c r="S41" s="348">
        <f t="shared" ref="S41:S72" si="56">R41^2*Rdcr</f>
        <v>5.2389148420915611E-2</v>
      </c>
      <c r="T41" s="348">
        <f t="shared" ref="T41:T72" si="57">Core_Loss_Ch1</f>
        <v>0.2</v>
      </c>
      <c r="U41" s="348">
        <f t="shared" ref="U41:U72" si="58">(T41+S41*(1+Ltc*(Ta-25)))/(1-S41*Ltc*ThetaCa)</f>
        <v>0.25345139664783339</v>
      </c>
      <c r="V41" s="4">
        <f t="shared" si="42"/>
        <v>3.5225456874626349</v>
      </c>
      <c r="W41" s="348">
        <f t="shared" si="10"/>
        <v>1.2408328120261606E-2</v>
      </c>
      <c r="X41" s="348">
        <f t="shared" si="43"/>
        <v>1.2408328120261606E-2</v>
      </c>
      <c r="Y41" s="4">
        <f t="shared" si="44"/>
        <v>1.6531683200660514</v>
      </c>
      <c r="Z41" s="348">
        <f t="shared" si="11"/>
        <v>2.7329654944700109E-3</v>
      </c>
      <c r="AA41" s="525">
        <f t="shared" si="45"/>
        <v>2.7329654944700109E-3</v>
      </c>
      <c r="AB41" s="348">
        <f t="shared" si="46"/>
        <v>1.8967541381368642</v>
      </c>
      <c r="AC41" s="348">
        <f t="shared" ref="AC41:AC72" si="59">Rdson1*AB41^2</f>
        <v>4.3172115126471823E-2</v>
      </c>
      <c r="AD41" s="348">
        <f t="shared" ref="AD41:AD72" si="60">(Vin*K41/2)*Fsw*(Tr_buck+Tf_buck)</f>
        <v>0.10584003493249725</v>
      </c>
      <c r="AE41" s="348">
        <f t="shared" ref="AE41:AE72" si="61">(0.5*Coss_Q1*(Vin-Q41)^2-0.5*Coss_Q2*(Vin-Q41)^2+(Qoss_Q2*(Vin-Q41)/Vin)*Vin)*Fsw</f>
        <v>0</v>
      </c>
      <c r="AF41" s="348">
        <f t="shared" ref="AF41:AF72" si="62">IF(K41&gt;N41/2,0,ABS(K41-N41/2)*Vsd_Q1*Deadtime*Fsw)</f>
        <v>1.4998092038089514E-2</v>
      </c>
      <c r="AG41" s="348">
        <f t="shared" ref="AG41:AG72" si="63">(AF41+AE41+AD41+AC41*(1+RdsonTopTc*Ta-RdsonTopTc*25))/(1-AC41*RdsonTopTc*ThetaJA_Q1)</f>
        <v>0.16520848525426346</v>
      </c>
      <c r="AH41" s="348">
        <f t="shared" ref="AH41:AH72" si="64">SQRT((1-M41))*SQRT(K41^2+(N41^2)/12)</f>
        <v>3.3720397179929957</v>
      </c>
      <c r="AI41" s="348">
        <f t="shared" ref="AI41:AI72" si="65">Rdson2*AH41^2</f>
        <v>4.6619672624861351E-2</v>
      </c>
      <c r="AJ41" s="348">
        <f t="shared" ref="AJ41:AJ72" si="66">IF(K41&lt;N41/2,Deadtime*Fsw*IF(VfdSky_Q2&gt;0,0,Vsd_Q2)*(K41+N41/2),2*Deadtime*Fsw*IF(VfdSky_Q2&gt;0,0,Vsd_Q2)*K41)</f>
        <v>2.5660492038089514E-2</v>
      </c>
      <c r="AK41" s="348">
        <f t="shared" ref="AK41:AK72" si="67">(AJ41+AI41*(1+RdsonBotTc*Ta-RdsonBotTc*25))/(1-AI41*RdsonBotTc*ThetaJA_Q2)</f>
        <v>7.2832943595187688E-2</v>
      </c>
      <c r="AL41" s="348">
        <f t="shared" ref="AL41:AL72" si="68">2*Deadtime*Fsw*IF(VfdSky_Q2&gt;0,VfdSky_Q2,Vsd_Q2)*K41</f>
        <v>1.0662399999999999E-2</v>
      </c>
      <c r="AM41" s="348">
        <f t="shared" ref="AM41:AM72" si="69">IF(QrrSky_Q2&gt;0,QrrSky_Q2,Qrr_Q2*K41/(Iout/Number_of_Phases))*Fsw*Vin</f>
        <v>0.32096000000000002</v>
      </c>
      <c r="AN41" s="348">
        <f t="shared" ref="AN41:AN72" si="70">Rs*R41^2</f>
        <v>2.9936656240523208E-2</v>
      </c>
      <c r="AO41" s="348">
        <f t="shared" ref="AO41:AO72" si="71">Iq*Vin</f>
        <v>1.1E-4</v>
      </c>
      <c r="AP41" s="348">
        <f t="shared" ref="AP41:AP72" si="72">IF(Ext_VCC=1,  (Qg_Q1+Qg_Q2)*Fsw*VCC, (Qg_Q1+Qg_Q2)*Fsw*Vin)</f>
        <v>5.6099999999999997E-2</v>
      </c>
      <c r="AQ41" s="348">
        <f t="shared" si="26"/>
        <v>0.52647692307692318</v>
      </c>
      <c r="AR41" s="348">
        <f t="shared" ref="AR41:AR72" si="73">(Qg_Q1+Qg_Q2)*Fsw*(Vin-VCC)</f>
        <v>0.5048999999999999</v>
      </c>
      <c r="AS41" s="348">
        <f t="shared" ref="AS41:AS74" si="74">SUM(AO41:AP41)</f>
        <v>5.6209999999999996E-2</v>
      </c>
      <c r="AT41" s="348">
        <f t="shared" ref="AT41:AT72" si="75" xml:space="preserve"> SUM(U41,X41,AA41,AG41,AK41,AL41,AM41,AS41,AN41)</f>
        <v>0.92440317535253935</v>
      </c>
      <c r="AU41">
        <f t="shared" ref="AU41:AU72" si="76">Vout*K41</f>
        <v>19.200000000000003</v>
      </c>
      <c r="AV41" s="526">
        <f t="shared" si="47"/>
        <v>0.95406556073748783</v>
      </c>
      <c r="AW41" s="534">
        <f t="shared" ref="AW41:AW72" si="77">ThetaJA_Q1*BC41</f>
        <v>15.835767580679068</v>
      </c>
      <c r="AX41" s="534">
        <f t="shared" ref="AX41:AX72" si="78">ThetaJA_Q2*BD41</f>
        <v>7.2751145643241397</v>
      </c>
      <c r="AY41" s="9"/>
      <c r="AZ41" s="4">
        <f t="shared" si="48"/>
        <v>95.406556073748789</v>
      </c>
      <c r="BA41" s="348">
        <f t="shared" ref="BA41:BA72" si="79">U41</f>
        <v>0.25345139664783339</v>
      </c>
      <c r="BB41" s="348">
        <f t="shared" ref="BB41:BB73" si="80">AG41+AK41+AM41</f>
        <v>0.55900142884945114</v>
      </c>
      <c r="BC41" s="348">
        <f t="shared" ref="BC41:BC73" si="81">AG41+AM41*0.66</f>
        <v>0.37704208525426353</v>
      </c>
      <c r="BD41" s="348">
        <f t="shared" ref="BD41:BD73" si="82">AK41+AM41*0.33</f>
        <v>0.17874974359518769</v>
      </c>
      <c r="BE41" s="348">
        <f t="shared" ref="BE41:BE73" si="83">AN41</f>
        <v>2.9936656240523208E-2</v>
      </c>
    </row>
    <row r="42" spans="1:57" x14ac:dyDescent="0.2">
      <c r="A42" s="23" t="s">
        <v>90</v>
      </c>
      <c r="B42" s="5">
        <f>Rgate1</f>
        <v>1.2</v>
      </c>
      <c r="C42" s="431" t="s">
        <v>116</v>
      </c>
      <c r="D42" s="21" t="s">
        <v>100</v>
      </c>
      <c r="G42">
        <v>33</v>
      </c>
      <c r="H42" s="531">
        <f t="shared" si="49"/>
        <v>50</v>
      </c>
      <c r="I42" s="4">
        <f t="shared" si="50"/>
        <v>1</v>
      </c>
      <c r="J42" s="348">
        <f t="shared" ref="J42:J73" si="84">Iout*G42/100</f>
        <v>1.65</v>
      </c>
      <c r="K42" s="348">
        <f t="shared" si="51"/>
        <v>1.65</v>
      </c>
      <c r="L42" s="4">
        <f t="shared" si="52"/>
        <v>0.43999999999999995</v>
      </c>
      <c r="M42" s="348">
        <f t="shared" si="53"/>
        <v>0.24036359879268496</v>
      </c>
      <c r="N42" s="4">
        <f t="shared" si="54"/>
        <v>12.202766651180353</v>
      </c>
      <c r="O42" s="4">
        <f t="shared" si="39"/>
        <v>7.7513833255901758</v>
      </c>
      <c r="P42" s="4">
        <f t="shared" si="40"/>
        <v>-4.4513833255901769</v>
      </c>
      <c r="Q42" s="4">
        <f t="shared" si="55"/>
        <v>50</v>
      </c>
      <c r="R42" s="4">
        <f t="shared" si="41"/>
        <v>3.8899176720418236</v>
      </c>
      <c r="S42" s="348">
        <f t="shared" si="56"/>
        <v>5.2960108233421482E-2</v>
      </c>
      <c r="T42" s="348">
        <f t="shared" si="57"/>
        <v>0.2</v>
      </c>
      <c r="U42" s="348">
        <f t="shared" si="58"/>
        <v>0.25403641190299053</v>
      </c>
      <c r="V42" s="4">
        <f t="shared" si="42"/>
        <v>3.5226353054585826</v>
      </c>
      <c r="W42" s="348">
        <f t="shared" si="10"/>
        <v>1.2408959495263282E-2</v>
      </c>
      <c r="X42" s="348">
        <f t="shared" si="43"/>
        <v>1.2408959495263282E-2</v>
      </c>
      <c r="Y42" s="4">
        <f t="shared" si="44"/>
        <v>1.6621784312478038</v>
      </c>
      <c r="Z42" s="348">
        <f t="shared" si="11"/>
        <v>2.7628371373054103E-3</v>
      </c>
      <c r="AA42" s="525">
        <f t="shared" si="45"/>
        <v>2.7628371373054103E-3</v>
      </c>
      <c r="AB42" s="348">
        <f t="shared" si="46"/>
        <v>1.9071056759569529</v>
      </c>
      <c r="AC42" s="348">
        <f t="shared" si="59"/>
        <v>4.3644624711206718E-2</v>
      </c>
      <c r="AD42" s="348">
        <f t="shared" si="60"/>
        <v>0.10914753602413778</v>
      </c>
      <c r="AE42" s="348">
        <f t="shared" si="61"/>
        <v>0</v>
      </c>
      <c r="AF42" s="348">
        <f t="shared" si="62"/>
        <v>1.4832009240866469E-2</v>
      </c>
      <c r="AG42" s="348">
        <f t="shared" si="63"/>
        <v>0.16886231864039827</v>
      </c>
      <c r="AH42" s="348">
        <f t="shared" si="64"/>
        <v>3.3903403127114027</v>
      </c>
      <c r="AI42" s="348">
        <f t="shared" si="65"/>
        <v>4.7127070487583807E-2</v>
      </c>
      <c r="AJ42" s="348">
        <f t="shared" si="66"/>
        <v>2.582760924086646E-2</v>
      </c>
      <c r="AK42" s="348">
        <f t="shared" si="67"/>
        <v>7.3518736580918204E-2</v>
      </c>
      <c r="AL42" s="348">
        <f t="shared" si="68"/>
        <v>1.0995599999999998E-2</v>
      </c>
      <c r="AM42" s="348">
        <f>IF(QrrSky_Q2&gt;0,QrrSky_Q2,Qrr_Q2*K42/(Iout/Number_of_Phases))*Fsw*Vin</f>
        <v>0.33098999999999995</v>
      </c>
      <c r="AN42" s="348">
        <f t="shared" si="70"/>
        <v>3.0262918990526563E-2</v>
      </c>
      <c r="AO42" s="348">
        <f t="shared" si="71"/>
        <v>1.1E-4</v>
      </c>
      <c r="AP42" s="348">
        <f t="shared" si="72"/>
        <v>5.6099999999999997E-2</v>
      </c>
      <c r="AQ42" s="348">
        <f t="shared" si="26"/>
        <v>0.52647692307692318</v>
      </c>
      <c r="AR42" s="348">
        <f t="shared" si="73"/>
        <v>0.5048999999999999</v>
      </c>
      <c r="AS42" s="348">
        <f t="shared" si="74"/>
        <v>5.6209999999999996E-2</v>
      </c>
      <c r="AT42" s="348">
        <f t="shared" si="75"/>
        <v>0.94004778274740219</v>
      </c>
      <c r="AU42">
        <f t="shared" si="76"/>
        <v>19.799999999999997</v>
      </c>
      <c r="AV42" s="526">
        <f t="shared" si="47"/>
        <v>0.95467475327952811</v>
      </c>
      <c r="AW42" s="534">
        <f t="shared" si="77"/>
        <v>16.267260182896727</v>
      </c>
      <c r="AX42" s="534">
        <f t="shared" si="78"/>
        <v>7.4377392688433703</v>
      </c>
      <c r="AY42" s="9"/>
      <c r="AZ42" s="4">
        <f t="shared" si="48"/>
        <v>95.467475327952812</v>
      </c>
      <c r="BA42" s="348">
        <f t="shared" si="79"/>
        <v>0.25403641190299053</v>
      </c>
      <c r="BB42" s="348">
        <f t="shared" si="80"/>
        <v>0.57337105522131648</v>
      </c>
      <c r="BC42" s="348">
        <f t="shared" si="81"/>
        <v>0.38731571864039827</v>
      </c>
      <c r="BD42" s="348">
        <f t="shared" si="82"/>
        <v>0.18274543658091819</v>
      </c>
      <c r="BE42" s="348">
        <f t="shared" si="83"/>
        <v>3.0262918990526563E-2</v>
      </c>
    </row>
    <row r="43" spans="1:57" x14ac:dyDescent="0.2">
      <c r="A43" s="23" t="s">
        <v>69</v>
      </c>
      <c r="B43" s="5">
        <f>Gfs_Q1</f>
        <v>55</v>
      </c>
      <c r="C43" s="427" t="s">
        <v>66</v>
      </c>
      <c r="D43" s="21" t="s">
        <v>101</v>
      </c>
      <c r="G43">
        <v>34</v>
      </c>
      <c r="H43" s="531">
        <f t="shared" si="49"/>
        <v>50</v>
      </c>
      <c r="I43" s="4">
        <f t="shared" si="50"/>
        <v>1</v>
      </c>
      <c r="J43" s="348">
        <f t="shared" si="84"/>
        <v>1.7</v>
      </c>
      <c r="K43" s="348">
        <f t="shared" si="51"/>
        <v>1.7</v>
      </c>
      <c r="L43" s="4">
        <f t="shared" si="52"/>
        <v>0.45333333333333331</v>
      </c>
      <c r="M43" s="348">
        <f t="shared" si="53"/>
        <v>0.24037461914860123</v>
      </c>
      <c r="N43" s="4">
        <f t="shared" si="54"/>
        <v>12.20307708079182</v>
      </c>
      <c r="O43" s="4">
        <f t="shared" si="39"/>
        <v>7.8015385403959101</v>
      </c>
      <c r="P43" s="4">
        <f t="shared" si="40"/>
        <v>-4.4015385403959097</v>
      </c>
      <c r="Q43" s="4">
        <f t="shared" si="55"/>
        <v>50</v>
      </c>
      <c r="R43" s="4">
        <f t="shared" si="41"/>
        <v>3.9114691425744645</v>
      </c>
      <c r="S43" s="348">
        <f t="shared" si="56"/>
        <v>5.3548567986592764E-2</v>
      </c>
      <c r="T43" s="348">
        <f t="shared" si="57"/>
        <v>0.2</v>
      </c>
      <c r="U43" s="348">
        <f t="shared" si="58"/>
        <v>0.25463941406468144</v>
      </c>
      <c r="V43" s="4">
        <f t="shared" si="42"/>
        <v>3.5227249187684553</v>
      </c>
      <c r="W43" s="348">
        <f t="shared" si="10"/>
        <v>1.2409590853312221E-2</v>
      </c>
      <c r="X43" s="348">
        <f t="shared" si="43"/>
        <v>1.2409590853312221E-2</v>
      </c>
      <c r="Y43" s="4">
        <f t="shared" si="44"/>
        <v>1.6714136575817531</v>
      </c>
      <c r="Z43" s="348">
        <f t="shared" si="11"/>
        <v>2.7936236147508135E-3</v>
      </c>
      <c r="AA43" s="525">
        <f t="shared" si="45"/>
        <v>2.7936236147508135E-3</v>
      </c>
      <c r="AB43" s="348">
        <f t="shared" si="46"/>
        <v>1.917715652669693</v>
      </c>
      <c r="AC43" s="348">
        <f t="shared" si="59"/>
        <v>4.4131599893932158E-2</v>
      </c>
      <c r="AD43" s="348">
        <f t="shared" si="60"/>
        <v>0.11245503711577833</v>
      </c>
      <c r="AE43" s="348">
        <f t="shared" si="61"/>
        <v>0</v>
      </c>
      <c r="AF43" s="348">
        <f t="shared" si="62"/>
        <v>1.4665926416599169E-2</v>
      </c>
      <c r="AG43" s="348">
        <f t="shared" si="63"/>
        <v>0.17253173245913983</v>
      </c>
      <c r="AH43" s="348">
        <f t="shared" si="64"/>
        <v>3.4090992254285983</v>
      </c>
      <c r="AI43" s="348">
        <f t="shared" si="65"/>
        <v>4.7650025868153256E-2</v>
      </c>
      <c r="AJ43" s="348">
        <f t="shared" si="66"/>
        <v>2.5994726416599168E-2</v>
      </c>
      <c r="AK43" s="348">
        <f t="shared" si="67"/>
        <v>7.4220512283719856E-2</v>
      </c>
      <c r="AL43" s="348">
        <f t="shared" si="68"/>
        <v>1.1328799999999998E-2</v>
      </c>
      <c r="AM43" s="348">
        <f t="shared" si="69"/>
        <v>0.34101999999999999</v>
      </c>
      <c r="AN43" s="348">
        <f t="shared" si="70"/>
        <v>3.0599181706624436E-2</v>
      </c>
      <c r="AO43" s="348">
        <f t="shared" si="71"/>
        <v>1.1E-4</v>
      </c>
      <c r="AP43" s="348">
        <f t="shared" si="72"/>
        <v>5.6099999999999997E-2</v>
      </c>
      <c r="AQ43" s="348">
        <f t="shared" si="26"/>
        <v>0.52647692307692318</v>
      </c>
      <c r="AR43" s="348">
        <f t="shared" si="73"/>
        <v>0.5048999999999999</v>
      </c>
      <c r="AS43" s="348">
        <f t="shared" si="74"/>
        <v>5.6209999999999996E-2</v>
      </c>
      <c r="AT43" s="348">
        <f t="shared" si="75"/>
        <v>0.95575285498222862</v>
      </c>
      <c r="AU43">
        <f t="shared" si="76"/>
        <v>20.399999999999999</v>
      </c>
      <c r="AV43" s="526">
        <f t="shared" si="47"/>
        <v>0.95524611745264432</v>
      </c>
      <c r="AW43" s="534">
        <f t="shared" si="77"/>
        <v>16.699407163283873</v>
      </c>
      <c r="AX43" s="534">
        <f t="shared" si="78"/>
        <v>7.6010144699473985</v>
      </c>
      <c r="AY43" s="9"/>
      <c r="AZ43" s="4">
        <f t="shared" si="48"/>
        <v>95.524611745264437</v>
      </c>
      <c r="BA43" s="348">
        <f t="shared" si="79"/>
        <v>0.25463941406468144</v>
      </c>
      <c r="BB43" s="348">
        <f t="shared" si="80"/>
        <v>0.58777224474285972</v>
      </c>
      <c r="BC43" s="348">
        <f t="shared" si="81"/>
        <v>0.39760493245913986</v>
      </c>
      <c r="BD43" s="348">
        <f t="shared" si="82"/>
        <v>0.18675711228371986</v>
      </c>
      <c r="BE43" s="348">
        <f t="shared" si="83"/>
        <v>3.0599181706624436E-2</v>
      </c>
    </row>
    <row r="44" spans="1:57" x14ac:dyDescent="0.2">
      <c r="A44" s="23" t="s">
        <v>92</v>
      </c>
      <c r="B44" s="5">
        <f>Vth_Q1</f>
        <v>3.1</v>
      </c>
      <c r="C44" s="427" t="s">
        <v>0</v>
      </c>
      <c r="D44" s="21" t="s">
        <v>102</v>
      </c>
      <c r="G44">
        <v>35</v>
      </c>
      <c r="H44" s="531">
        <f t="shared" si="49"/>
        <v>50</v>
      </c>
      <c r="I44" s="4">
        <f t="shared" si="50"/>
        <v>1</v>
      </c>
      <c r="J44" s="348">
        <f t="shared" si="84"/>
        <v>1.75</v>
      </c>
      <c r="K44" s="348">
        <f t="shared" si="51"/>
        <v>1.75</v>
      </c>
      <c r="L44" s="4">
        <f t="shared" si="52"/>
        <v>0.46666666666666667</v>
      </c>
      <c r="M44" s="348">
        <f t="shared" si="53"/>
        <v>0.24038563963458454</v>
      </c>
      <c r="N44" s="4">
        <f t="shared" si="54"/>
        <v>12.203387494169954</v>
      </c>
      <c r="O44" s="4">
        <f t="shared" si="39"/>
        <v>7.851693747084977</v>
      </c>
      <c r="P44" s="4">
        <f t="shared" si="40"/>
        <v>-4.351693747084977</v>
      </c>
      <c r="Q44" s="4">
        <f t="shared" si="55"/>
        <v>50</v>
      </c>
      <c r="R44" s="4">
        <f t="shared" si="41"/>
        <v>3.933538126725773</v>
      </c>
      <c r="S44" s="348">
        <f t="shared" si="56"/>
        <v>5.4154527680418563E-2</v>
      </c>
      <c r="T44" s="348">
        <f t="shared" si="57"/>
        <v>0.2</v>
      </c>
      <c r="U44" s="348">
        <f t="shared" si="58"/>
        <v>0.25526040822786583</v>
      </c>
      <c r="V44" s="4">
        <f t="shared" si="42"/>
        <v>3.522814527392168</v>
      </c>
      <c r="W44" s="348">
        <f t="shared" si="10"/>
        <v>1.2410222194405305E-2</v>
      </c>
      <c r="X44" s="348">
        <f t="shared" si="43"/>
        <v>1.2410222194405305E-2</v>
      </c>
      <c r="Y44" s="4">
        <f t="shared" si="44"/>
        <v>1.6808703140199563</v>
      </c>
      <c r="Z44" s="348">
        <f t="shared" si="11"/>
        <v>2.8253250125535464E-3</v>
      </c>
      <c r="AA44" s="525">
        <f t="shared" si="45"/>
        <v>2.8253250125535464E-3</v>
      </c>
      <c r="AB44" s="348">
        <f t="shared" si="46"/>
        <v>1.9285798457907701</v>
      </c>
      <c r="AC44" s="348">
        <f t="shared" si="59"/>
        <v>4.4633042659084209E-2</v>
      </c>
      <c r="AD44" s="348">
        <f t="shared" si="60"/>
        <v>0.11576253820741886</v>
      </c>
      <c r="AE44" s="348">
        <f t="shared" si="61"/>
        <v>0</v>
      </c>
      <c r="AF44" s="348">
        <f t="shared" si="62"/>
        <v>1.4499843565287144E-2</v>
      </c>
      <c r="AG44" s="348">
        <f t="shared" si="63"/>
        <v>0.1762167595765578</v>
      </c>
      <c r="AH44" s="348">
        <f t="shared" si="64"/>
        <v>3.4283089086042047</v>
      </c>
      <c r="AI44" s="348">
        <f t="shared" si="65"/>
        <v>4.8188538088541302E-2</v>
      </c>
      <c r="AJ44" s="348">
        <f t="shared" si="66"/>
        <v>2.6161843565287141E-2</v>
      </c>
      <c r="AK44" s="348">
        <f t="shared" si="67"/>
        <v>7.493827950077131E-2</v>
      </c>
      <c r="AL44" s="348">
        <f t="shared" si="68"/>
        <v>1.1661999999999999E-2</v>
      </c>
      <c r="AM44" s="348">
        <f t="shared" si="69"/>
        <v>0.35104999999999997</v>
      </c>
      <c r="AN44" s="348">
        <f t="shared" si="70"/>
        <v>3.0945444388810608E-2</v>
      </c>
      <c r="AO44" s="348">
        <f t="shared" si="71"/>
        <v>1.1E-4</v>
      </c>
      <c r="AP44" s="348">
        <f t="shared" si="72"/>
        <v>5.6099999999999997E-2</v>
      </c>
      <c r="AQ44" s="348">
        <f t="shared" si="26"/>
        <v>0.52647692307692318</v>
      </c>
      <c r="AR44" s="348">
        <f t="shared" si="73"/>
        <v>0.5048999999999999</v>
      </c>
      <c r="AS44" s="348">
        <f t="shared" si="74"/>
        <v>5.6209999999999996E-2</v>
      </c>
      <c r="AT44" s="348">
        <f t="shared" si="75"/>
        <v>0.97151843890096434</v>
      </c>
      <c r="AU44">
        <f t="shared" si="76"/>
        <v>21</v>
      </c>
      <c r="AV44" s="526">
        <f t="shared" si="47"/>
        <v>0.95578282668070524</v>
      </c>
      <c r="AW44" s="534">
        <f t="shared" si="77"/>
        <v>17.132209902215426</v>
      </c>
      <c r="AX44" s="534">
        <f t="shared" si="78"/>
        <v>7.7649405256813928</v>
      </c>
      <c r="AY44" s="9"/>
      <c r="AZ44" s="4">
        <f t="shared" si="48"/>
        <v>95.578282668070528</v>
      </c>
      <c r="BA44" s="348">
        <f t="shared" si="79"/>
        <v>0.25526040822786583</v>
      </c>
      <c r="BB44" s="348">
        <f t="shared" si="80"/>
        <v>0.60220503907732903</v>
      </c>
      <c r="BC44" s="348">
        <f t="shared" si="81"/>
        <v>0.40790975957655778</v>
      </c>
      <c r="BD44" s="348">
        <f t="shared" si="82"/>
        <v>0.1907847795007713</v>
      </c>
      <c r="BE44" s="348">
        <f t="shared" si="83"/>
        <v>3.0945444388810608E-2</v>
      </c>
    </row>
    <row r="45" spans="1:57" x14ac:dyDescent="0.2">
      <c r="A45" s="28" t="s">
        <v>123</v>
      </c>
      <c r="B45" s="434">
        <f>Vsp_Q1</f>
        <v>3.1909090909090909</v>
      </c>
      <c r="C45" s="432" t="s">
        <v>0</v>
      </c>
      <c r="G45">
        <v>36</v>
      </c>
      <c r="H45" s="531">
        <f t="shared" si="49"/>
        <v>50</v>
      </c>
      <c r="I45" s="4">
        <f t="shared" si="50"/>
        <v>1</v>
      </c>
      <c r="J45" s="348">
        <f t="shared" si="84"/>
        <v>1.8</v>
      </c>
      <c r="K45" s="348">
        <f t="shared" si="51"/>
        <v>1.8</v>
      </c>
      <c r="L45" s="4">
        <f t="shared" si="52"/>
        <v>0.48000000000000004</v>
      </c>
      <c r="M45" s="348">
        <f t="shared" si="53"/>
        <v>0.24039666025063725</v>
      </c>
      <c r="N45" s="4">
        <f t="shared" si="54"/>
        <v>12.203697891314468</v>
      </c>
      <c r="O45" s="4">
        <f t="shared" si="39"/>
        <v>7.9018489456572336</v>
      </c>
      <c r="P45" s="4">
        <f t="shared" si="40"/>
        <v>-4.301848945657234</v>
      </c>
      <c r="Q45" s="4">
        <f t="shared" si="55"/>
        <v>50</v>
      </c>
      <c r="R45" s="4">
        <f t="shared" si="41"/>
        <v>3.9561159637375938</v>
      </c>
      <c r="S45" s="348">
        <f t="shared" si="56"/>
        <v>5.4777987314888005E-2</v>
      </c>
      <c r="T45" s="348">
        <f t="shared" si="57"/>
        <v>0.2</v>
      </c>
      <c r="U45" s="348">
        <f t="shared" si="58"/>
        <v>0.25589939964027864</v>
      </c>
      <c r="V45" s="4">
        <f t="shared" si="42"/>
        <v>3.5229041313296383</v>
      </c>
      <c r="W45" s="348">
        <f t="shared" si="10"/>
        <v>1.2410853518539433E-2</v>
      </c>
      <c r="X45" s="348">
        <f t="shared" si="43"/>
        <v>1.2410853518539433E-2</v>
      </c>
      <c r="Y45" s="4">
        <f t="shared" si="44"/>
        <v>1.6905447099842303</v>
      </c>
      <c r="Z45" s="348">
        <f t="shared" si="11"/>
        <v>2.8579414164556652E-3</v>
      </c>
      <c r="AA45" s="525">
        <f t="shared" si="45"/>
        <v>2.8579414164556652E-3</v>
      </c>
      <c r="AB45" s="348">
        <f t="shared" si="46"/>
        <v>1.9396940263682863</v>
      </c>
      <c r="AC45" s="348">
        <f t="shared" si="59"/>
        <v>4.5148954991145768E-2</v>
      </c>
      <c r="AD45" s="348">
        <f t="shared" si="60"/>
        <v>0.1190700392990594</v>
      </c>
      <c r="AE45" s="348">
        <f t="shared" si="61"/>
        <v>0</v>
      </c>
      <c r="AF45" s="348">
        <f t="shared" si="62"/>
        <v>1.4333760686929905E-2</v>
      </c>
      <c r="AG45" s="348">
        <f t="shared" si="63"/>
        <v>0.17991743310414446</v>
      </c>
      <c r="AH45" s="348">
        <f t="shared" si="64"/>
        <v>3.447961804111324</v>
      </c>
      <c r="AI45" s="348">
        <f t="shared" si="65"/>
        <v>4.8742606470703519E-2</v>
      </c>
      <c r="AJ45" s="348">
        <f t="shared" si="66"/>
        <v>2.6328960686929897E-2</v>
      </c>
      <c r="AK45" s="348">
        <f t="shared" si="67"/>
        <v>7.5672047276933233E-2</v>
      </c>
      <c r="AL45" s="348">
        <f t="shared" si="68"/>
        <v>1.1995199999999998E-2</v>
      </c>
      <c r="AM45" s="348">
        <f t="shared" si="69"/>
        <v>0.36108000000000001</v>
      </c>
      <c r="AN45" s="348">
        <f t="shared" si="70"/>
        <v>3.1301707037078859E-2</v>
      </c>
      <c r="AO45" s="348">
        <f t="shared" si="71"/>
        <v>1.1E-4</v>
      </c>
      <c r="AP45" s="348">
        <f t="shared" si="72"/>
        <v>5.6099999999999997E-2</v>
      </c>
      <c r="AQ45" s="348">
        <f t="shared" si="26"/>
        <v>0.52647692307692318</v>
      </c>
      <c r="AR45" s="348">
        <f t="shared" si="73"/>
        <v>0.5048999999999999</v>
      </c>
      <c r="AS45" s="348">
        <f t="shared" si="74"/>
        <v>5.6209999999999996E-2</v>
      </c>
      <c r="AT45" s="348">
        <f t="shared" si="75"/>
        <v>0.98734458199343023</v>
      </c>
      <c r="AU45">
        <f t="shared" si="76"/>
        <v>21.6</v>
      </c>
      <c r="AV45" s="526">
        <f t="shared" si="47"/>
        <v>0.95628770888010728</v>
      </c>
      <c r="AW45" s="534">
        <f t="shared" si="77"/>
        <v>17.565669790374066</v>
      </c>
      <c r="AX45" s="534">
        <f t="shared" si="78"/>
        <v>7.9295178041711836</v>
      </c>
      <c r="AY45" s="9"/>
      <c r="AZ45" s="4">
        <f t="shared" si="48"/>
        <v>95.628770888010735</v>
      </c>
      <c r="BA45" s="348">
        <f t="shared" si="79"/>
        <v>0.25589939964027864</v>
      </c>
      <c r="BB45" s="348">
        <f t="shared" si="80"/>
        <v>0.61666948038107772</v>
      </c>
      <c r="BC45" s="348">
        <f t="shared" si="81"/>
        <v>0.41823023310414448</v>
      </c>
      <c r="BD45" s="348">
        <f t="shared" si="82"/>
        <v>0.19482844727693324</v>
      </c>
      <c r="BE45" s="348">
        <f t="shared" si="83"/>
        <v>3.1301707037078859E-2</v>
      </c>
    </row>
    <row r="46" spans="1:57" x14ac:dyDescent="0.2">
      <c r="A46" s="77" t="s">
        <v>200</v>
      </c>
      <c r="B46" s="5">
        <f>Vsd_Q1</f>
        <v>0.7</v>
      </c>
      <c r="C46" s="432" t="s">
        <v>0</v>
      </c>
      <c r="G46">
        <v>37</v>
      </c>
      <c r="H46" s="531">
        <f t="shared" si="49"/>
        <v>50</v>
      </c>
      <c r="I46" s="4">
        <f t="shared" si="50"/>
        <v>1</v>
      </c>
      <c r="J46" s="348">
        <f t="shared" si="84"/>
        <v>1.85</v>
      </c>
      <c r="K46" s="348">
        <f t="shared" si="51"/>
        <v>1.85</v>
      </c>
      <c r="L46" s="4">
        <f t="shared" si="52"/>
        <v>0.4933333333333334</v>
      </c>
      <c r="M46" s="348">
        <f t="shared" si="53"/>
        <v>0.24040768099676157</v>
      </c>
      <c r="N46" s="4">
        <f t="shared" si="54"/>
        <v>12.204008272225076</v>
      </c>
      <c r="O46" s="4">
        <f t="shared" si="39"/>
        <v>7.9520041361125386</v>
      </c>
      <c r="P46" s="4">
        <f t="shared" si="40"/>
        <v>-4.2520041361125376</v>
      </c>
      <c r="Q46" s="4">
        <f t="shared" si="55"/>
        <v>50</v>
      </c>
      <c r="R46" s="4">
        <f t="shared" si="41"/>
        <v>3.9791939919676582</v>
      </c>
      <c r="S46" s="348">
        <f t="shared" si="56"/>
        <v>5.541894688999028E-2</v>
      </c>
      <c r="T46" s="348">
        <f t="shared" si="57"/>
        <v>0.2</v>
      </c>
      <c r="U46" s="348">
        <f t="shared" si="58"/>
        <v>0.25655639370254135</v>
      </c>
      <c r="V46" s="4">
        <f t="shared" si="42"/>
        <v>3.5229937305807839</v>
      </c>
      <c r="W46" s="348">
        <f t="shared" si="10"/>
        <v>1.241148482571151E-2</v>
      </c>
      <c r="X46" s="348">
        <f t="shared" si="43"/>
        <v>1.241148482571151E-2</v>
      </c>
      <c r="Y46" s="4">
        <f t="shared" si="44"/>
        <v>1.7004331542856852</v>
      </c>
      <c r="Z46" s="348">
        <f t="shared" si="11"/>
        <v>2.8914729121939653E-3</v>
      </c>
      <c r="AA46" s="525">
        <f t="shared" si="45"/>
        <v>2.8914729121939653E-3</v>
      </c>
      <c r="AB46" s="348">
        <f t="shared" si="46"/>
        <v>1.9510539646271232</v>
      </c>
      <c r="AC46" s="348">
        <f t="shared" si="59"/>
        <v>4.5679338874646591E-2</v>
      </c>
      <c r="AD46" s="348">
        <f t="shared" si="60"/>
        <v>0.12237754039069994</v>
      </c>
      <c r="AE46" s="348">
        <f t="shared" si="61"/>
        <v>0</v>
      </c>
      <c r="AF46" s="348">
        <f t="shared" si="62"/>
        <v>1.4167677781526975E-2</v>
      </c>
      <c r="AG46" s="348">
        <f t="shared" si="63"/>
        <v>0.18363378639978226</v>
      </c>
      <c r="AH46" s="348">
        <f t="shared" si="64"/>
        <v>3.4680503532711708</v>
      </c>
      <c r="AI46" s="348">
        <f t="shared" si="65"/>
        <v>4.9312230336579589E-2</v>
      </c>
      <c r="AJ46" s="348">
        <f t="shared" si="66"/>
        <v>2.6496077781526975E-2</v>
      </c>
      <c r="AK46" s="348">
        <f t="shared" si="67"/>
        <v>7.6421824905071156E-2</v>
      </c>
      <c r="AL46" s="348">
        <f t="shared" si="68"/>
        <v>1.2328399999999998E-2</v>
      </c>
      <c r="AM46" s="348">
        <f t="shared" si="69"/>
        <v>0.37111</v>
      </c>
      <c r="AN46" s="348">
        <f t="shared" si="70"/>
        <v>3.1667969651423017E-2</v>
      </c>
      <c r="AO46" s="348">
        <f t="shared" si="71"/>
        <v>1.1E-4</v>
      </c>
      <c r="AP46" s="348">
        <f t="shared" si="72"/>
        <v>5.6099999999999997E-2</v>
      </c>
      <c r="AQ46" s="348">
        <f t="shared" si="26"/>
        <v>0.52647692307692318</v>
      </c>
      <c r="AR46" s="348">
        <f t="shared" si="73"/>
        <v>0.5048999999999999</v>
      </c>
      <c r="AS46" s="348">
        <f t="shared" si="74"/>
        <v>5.6209999999999996E-2</v>
      </c>
      <c r="AT46" s="348">
        <f t="shared" si="75"/>
        <v>1.003231332396723</v>
      </c>
      <c r="AU46">
        <f t="shared" si="76"/>
        <v>22.200000000000003</v>
      </c>
      <c r="AV46" s="526">
        <f t="shared" si="47"/>
        <v>0.95676329223180245</v>
      </c>
      <c r="AW46" s="534">
        <f t="shared" si="77"/>
        <v>17.999788228790855</v>
      </c>
      <c r="AX46" s="534">
        <f t="shared" si="78"/>
        <v>8.0947466836363962</v>
      </c>
      <c r="AY46" s="9"/>
      <c r="AZ46" s="4">
        <f t="shared" si="48"/>
        <v>95.676329223180247</v>
      </c>
      <c r="BA46" s="348">
        <f t="shared" si="79"/>
        <v>0.25655639370254135</v>
      </c>
      <c r="BB46" s="348">
        <f t="shared" si="80"/>
        <v>0.63116561130485338</v>
      </c>
      <c r="BC46" s="348">
        <f t="shared" si="81"/>
        <v>0.42856638639978228</v>
      </c>
      <c r="BD46" s="348">
        <f t="shared" si="82"/>
        <v>0.19888812490507116</v>
      </c>
      <c r="BE46" s="348">
        <f t="shared" si="83"/>
        <v>3.1667969651423017E-2</v>
      </c>
    </row>
    <row r="47" spans="1:57" ht="15.75" x14ac:dyDescent="0.3">
      <c r="A47" s="433" t="s">
        <v>456</v>
      </c>
      <c r="B47" s="5">
        <f>ThetaJA_Q1</f>
        <v>42</v>
      </c>
      <c r="C47" s="428" t="s">
        <v>202</v>
      </c>
      <c r="D47" s="21" t="s">
        <v>103</v>
      </c>
      <c r="G47">
        <v>38</v>
      </c>
      <c r="H47" s="531">
        <f t="shared" si="49"/>
        <v>50</v>
      </c>
      <c r="I47" s="4">
        <f t="shared" si="50"/>
        <v>1</v>
      </c>
      <c r="J47" s="348">
        <f t="shared" si="84"/>
        <v>1.9</v>
      </c>
      <c r="K47" s="348">
        <f t="shared" si="51"/>
        <v>1.9</v>
      </c>
      <c r="L47" s="4">
        <f t="shared" si="52"/>
        <v>0.5066666666666666</v>
      </c>
      <c r="M47" s="348">
        <f t="shared" si="53"/>
        <v>0.24041870187295991</v>
      </c>
      <c r="N47" s="4">
        <f t="shared" si="54"/>
        <v>12.204318636901496</v>
      </c>
      <c r="O47" s="4">
        <f t="shared" si="39"/>
        <v>8.0021593184507473</v>
      </c>
      <c r="P47" s="4">
        <f t="shared" si="40"/>
        <v>-4.2021593184507484</v>
      </c>
      <c r="Q47" s="4">
        <f t="shared" si="55"/>
        <v>50</v>
      </c>
      <c r="R47" s="4">
        <f t="shared" si="41"/>
        <v>4.0027635598319362</v>
      </c>
      <c r="S47" s="348">
        <f t="shared" si="56"/>
        <v>5.6077406405714514E-2</v>
      </c>
      <c r="T47" s="348">
        <f t="shared" si="57"/>
        <v>0.2</v>
      </c>
      <c r="U47" s="348">
        <f t="shared" si="58"/>
        <v>0.25723139596827632</v>
      </c>
      <c r="V47" s="4">
        <f t="shared" si="42"/>
        <v>3.5230833251455227</v>
      </c>
      <c r="W47" s="348">
        <f t="shared" si="10"/>
        <v>1.2412116115918434E-2</v>
      </c>
      <c r="X47" s="348">
        <f t="shared" si="43"/>
        <v>1.2412116115918434E-2</v>
      </c>
      <c r="Y47" s="4">
        <f t="shared" si="44"/>
        <v>1.710531959800802</v>
      </c>
      <c r="Z47" s="348">
        <f t="shared" si="11"/>
        <v>2.9259195854999726E-3</v>
      </c>
      <c r="AA47" s="525">
        <f t="shared" si="45"/>
        <v>2.9259195854999726E-3</v>
      </c>
      <c r="AB47" s="348">
        <f t="shared" si="46"/>
        <v>1.9626554353342158</v>
      </c>
      <c r="AC47" s="348">
        <f t="shared" si="59"/>
        <v>4.6224196294163286E-2</v>
      </c>
      <c r="AD47" s="348">
        <f t="shared" si="60"/>
        <v>0.12568504148234047</v>
      </c>
      <c r="AE47" s="348">
        <f t="shared" si="61"/>
        <v>0</v>
      </c>
      <c r="AF47" s="348">
        <f t="shared" si="62"/>
        <v>1.400159484907789E-2</v>
      </c>
      <c r="AG47" s="348">
        <f t="shared" si="63"/>
        <v>0.18736585306872178</v>
      </c>
      <c r="AH47" s="348">
        <f t="shared" si="64"/>
        <v>3.4885670063898004</v>
      </c>
      <c r="AI47" s="348">
        <f t="shared" si="65"/>
        <v>4.989740900809312E-2</v>
      </c>
      <c r="AJ47" s="348">
        <f t="shared" si="66"/>
        <v>2.6663194849077886E-2</v>
      </c>
      <c r="AK47" s="348">
        <f t="shared" si="67"/>
        <v>7.7187621926387229E-2</v>
      </c>
      <c r="AL47" s="348">
        <f t="shared" si="68"/>
        <v>1.2661599999999997E-2</v>
      </c>
      <c r="AM47" s="348">
        <f t="shared" si="69"/>
        <v>0.38113999999999992</v>
      </c>
      <c r="AN47" s="348">
        <f t="shared" si="70"/>
        <v>3.2044232231836868E-2</v>
      </c>
      <c r="AO47" s="348">
        <f t="shared" si="71"/>
        <v>1.1E-4</v>
      </c>
      <c r="AP47" s="348">
        <f t="shared" si="72"/>
        <v>5.6099999999999997E-2</v>
      </c>
      <c r="AQ47" s="348">
        <f t="shared" si="26"/>
        <v>0.52647692307692318</v>
      </c>
      <c r="AR47" s="348">
        <f t="shared" si="73"/>
        <v>0.5048999999999999</v>
      </c>
      <c r="AS47" s="348">
        <f t="shared" si="74"/>
        <v>5.6209999999999996E-2</v>
      </c>
      <c r="AT47" s="348">
        <f t="shared" si="75"/>
        <v>1.0191787388966407</v>
      </c>
      <c r="AU47">
        <f t="shared" si="76"/>
        <v>22.799999999999997</v>
      </c>
      <c r="AV47" s="526">
        <f t="shared" si="47"/>
        <v>0.95721184386461122</v>
      </c>
      <c r="AW47" s="534">
        <f t="shared" si="77"/>
        <v>18.434566628886312</v>
      </c>
      <c r="AX47" s="534">
        <f t="shared" si="78"/>
        <v>8.2606275524039603</v>
      </c>
      <c r="AY47" s="9"/>
      <c r="AZ47" s="4">
        <f t="shared" si="48"/>
        <v>95.721184386461118</v>
      </c>
      <c r="BA47" s="348">
        <f t="shared" si="79"/>
        <v>0.25723139596827632</v>
      </c>
      <c r="BB47" s="348">
        <f t="shared" si="80"/>
        <v>0.64569347499510887</v>
      </c>
      <c r="BC47" s="348">
        <f t="shared" si="81"/>
        <v>0.43891825306872173</v>
      </c>
      <c r="BD47" s="348">
        <f t="shared" si="82"/>
        <v>0.20296382192638721</v>
      </c>
      <c r="BE47" s="348">
        <f t="shared" si="83"/>
        <v>3.2044232231836868E-2</v>
      </c>
    </row>
    <row r="48" spans="1:57" x14ac:dyDescent="0.2">
      <c r="A48" s="24" t="s">
        <v>509</v>
      </c>
      <c r="B48" s="15" t="s">
        <v>111</v>
      </c>
      <c r="C48" s="24" t="s">
        <v>76</v>
      </c>
      <c r="D48" s="17" t="s">
        <v>107</v>
      </c>
      <c r="G48">
        <v>39</v>
      </c>
      <c r="H48" s="531">
        <f t="shared" si="49"/>
        <v>50</v>
      </c>
      <c r="I48" s="4">
        <f t="shared" si="50"/>
        <v>1</v>
      </c>
      <c r="J48" s="348">
        <f t="shared" si="84"/>
        <v>1.95</v>
      </c>
      <c r="K48" s="348">
        <f t="shared" si="51"/>
        <v>1.95</v>
      </c>
      <c r="L48" s="4">
        <f t="shared" si="52"/>
        <v>0.52</v>
      </c>
      <c r="M48" s="348">
        <f t="shared" si="53"/>
        <v>0.2404297228792345</v>
      </c>
      <c r="N48" s="4">
        <f t="shared" si="54"/>
        <v>12.204628985343431</v>
      </c>
      <c r="O48" s="4">
        <f t="shared" si="39"/>
        <v>8.0523144926717158</v>
      </c>
      <c r="P48" s="4">
        <f t="shared" si="40"/>
        <v>-4.1523144926717155</v>
      </c>
      <c r="Q48" s="4">
        <f t="shared" si="55"/>
        <v>50</v>
      </c>
      <c r="R48" s="4">
        <f t="shared" si="41"/>
        <v>4.0268160361701506</v>
      </c>
      <c r="S48" s="348">
        <f t="shared" si="56"/>
        <v>5.67533658620498E-2</v>
      </c>
      <c r="T48" s="348">
        <f t="shared" si="57"/>
        <v>0.2</v>
      </c>
      <c r="U48" s="348">
        <f t="shared" si="58"/>
        <v>0.25792441214422385</v>
      </c>
      <c r="V48" s="4">
        <f t="shared" si="42"/>
        <v>3.5231729150237698</v>
      </c>
      <c r="W48" s="348">
        <f t="shared" si="10"/>
        <v>1.2412747389157089E-2</v>
      </c>
      <c r="X48" s="348">
        <f t="shared" si="43"/>
        <v>1.2412747389157089E-2</v>
      </c>
      <c r="Y48" s="4">
        <f t="shared" si="44"/>
        <v>1.7208374479014397</v>
      </c>
      <c r="Z48" s="348">
        <f t="shared" si="11"/>
        <v>2.9612815220999402E-3</v>
      </c>
      <c r="AA48" s="525">
        <f t="shared" si="45"/>
        <v>2.9612815220999402E-3</v>
      </c>
      <c r="AB48" s="348">
        <f t="shared" si="46"/>
        <v>1.9744942228817151</v>
      </c>
      <c r="AC48" s="348">
        <f t="shared" si="59"/>
        <v>4.6783529234319214E-2</v>
      </c>
      <c r="AD48" s="348">
        <f t="shared" si="60"/>
        <v>0.12899254257398102</v>
      </c>
      <c r="AE48" s="348">
        <f t="shared" si="61"/>
        <v>0</v>
      </c>
      <c r="AF48" s="348">
        <f t="shared" si="62"/>
        <v>1.3835511889582154E-2</v>
      </c>
      <c r="AG48" s="348">
        <f t="shared" si="63"/>
        <v>0.19111366696456888</v>
      </c>
      <c r="AH48" s="348">
        <f t="shared" si="64"/>
        <v>3.5095042317916954</v>
      </c>
      <c r="AI48" s="348">
        <f t="shared" si="65"/>
        <v>5.0498141807151647E-2</v>
      </c>
      <c r="AJ48" s="348">
        <f t="shared" si="66"/>
        <v>2.6830311889582154E-2</v>
      </c>
      <c r="AK48" s="348">
        <f t="shared" si="67"/>
        <v>7.7969448130762342E-2</v>
      </c>
      <c r="AL48" s="348">
        <f t="shared" si="68"/>
        <v>1.2994799999999997E-2</v>
      </c>
      <c r="AM48" s="348">
        <f t="shared" si="69"/>
        <v>0.39116999999999996</v>
      </c>
      <c r="AN48" s="348">
        <f t="shared" si="70"/>
        <v>3.2430494778314167E-2</v>
      </c>
      <c r="AO48" s="348">
        <f t="shared" si="71"/>
        <v>1.1E-4</v>
      </c>
      <c r="AP48" s="348">
        <f t="shared" si="72"/>
        <v>5.6099999999999997E-2</v>
      </c>
      <c r="AQ48" s="348">
        <f t="shared" si="26"/>
        <v>0.52647692307692318</v>
      </c>
      <c r="AR48" s="348">
        <f t="shared" si="73"/>
        <v>0.5048999999999999</v>
      </c>
      <c r="AS48" s="348">
        <f t="shared" si="74"/>
        <v>5.6209999999999996E-2</v>
      </c>
      <c r="AT48" s="348">
        <f t="shared" si="75"/>
        <v>1.0351868509291262</v>
      </c>
      <c r="AU48">
        <f t="shared" si="76"/>
        <v>23.4</v>
      </c>
      <c r="AV48" s="526">
        <f t="shared" si="47"/>
        <v>0.95763540269839342</v>
      </c>
      <c r="AW48" s="534">
        <f t="shared" si="77"/>
        <v>18.870006412511891</v>
      </c>
      <c r="AX48" s="534">
        <f t="shared" si="78"/>
        <v>8.4271608089220269</v>
      </c>
      <c r="AY48" s="9"/>
      <c r="AZ48" s="4">
        <f t="shared" si="48"/>
        <v>95.763540269839339</v>
      </c>
      <c r="BA48" s="348">
        <f t="shared" si="79"/>
        <v>0.25792441214422385</v>
      </c>
      <c r="BB48" s="348">
        <f t="shared" si="80"/>
        <v>0.66025311509533124</v>
      </c>
      <c r="BC48" s="348">
        <f t="shared" si="81"/>
        <v>0.44928586696456885</v>
      </c>
      <c r="BD48" s="348">
        <f t="shared" si="82"/>
        <v>0.20705554813076232</v>
      </c>
      <c r="BE48" s="348">
        <f t="shared" si="83"/>
        <v>3.2430494778314167E-2</v>
      </c>
    </row>
    <row r="49" spans="1:64" x14ac:dyDescent="0.2">
      <c r="A49" s="23" t="s">
        <v>68</v>
      </c>
      <c r="B49" s="5">
        <f>Rdson2*1000</f>
        <v>4.0999999999999996</v>
      </c>
      <c r="C49" s="429" t="s">
        <v>450</v>
      </c>
      <c r="D49" s="427" t="s">
        <v>510</v>
      </c>
      <c r="G49">
        <v>40</v>
      </c>
      <c r="H49" s="531">
        <f t="shared" si="49"/>
        <v>50</v>
      </c>
      <c r="I49" s="4">
        <f t="shared" si="50"/>
        <v>1</v>
      </c>
      <c r="J49" s="348">
        <f t="shared" si="84"/>
        <v>2</v>
      </c>
      <c r="K49" s="348">
        <f t="shared" si="51"/>
        <v>2</v>
      </c>
      <c r="L49" s="4">
        <f t="shared" si="52"/>
        <v>0.53333333333333333</v>
      </c>
      <c r="M49" s="348">
        <f t="shared" si="53"/>
        <v>0.24044074401558768</v>
      </c>
      <c r="N49" s="4">
        <f t="shared" si="54"/>
        <v>12.204939317550599</v>
      </c>
      <c r="O49" s="4">
        <f t="shared" si="39"/>
        <v>8.1024696587752985</v>
      </c>
      <c r="P49" s="4">
        <f t="shared" si="40"/>
        <v>-4.1024696587752993</v>
      </c>
      <c r="Q49" s="4">
        <f t="shared" si="55"/>
        <v>50</v>
      </c>
      <c r="R49" s="4">
        <f t="shared" si="41"/>
        <v>4.0513428200319428</v>
      </c>
      <c r="S49" s="348">
        <f t="shared" si="56"/>
        <v>5.7446825258985305E-2</v>
      </c>
      <c r="T49" s="348">
        <f t="shared" si="57"/>
        <v>0.2</v>
      </c>
      <c r="U49" s="348">
        <f t="shared" si="58"/>
        <v>0.25863544809036343</v>
      </c>
      <c r="V49" s="4">
        <f t="shared" si="42"/>
        <v>3.5232625002154432</v>
      </c>
      <c r="W49" s="348">
        <f t="shared" si="10"/>
        <v>1.2413378645424375E-2</v>
      </c>
      <c r="X49" s="348">
        <f t="shared" si="43"/>
        <v>1.2413378645424375E-2</v>
      </c>
      <c r="Y49" s="4">
        <f t="shared" si="44"/>
        <v>1.7313459526376769</v>
      </c>
      <c r="Z49" s="348">
        <f t="shared" si="11"/>
        <v>2.997558807714865E-3</v>
      </c>
      <c r="AA49" s="525">
        <f t="shared" si="45"/>
        <v>2.997558807714865E-3</v>
      </c>
      <c r="AB49" s="348">
        <f t="shared" si="46"/>
        <v>1.9865661260867697</v>
      </c>
      <c r="AC49" s="348">
        <f t="shared" si="59"/>
        <v>4.7357339679784748E-2</v>
      </c>
      <c r="AD49" s="348">
        <f t="shared" si="60"/>
        <v>0.13230004366562156</v>
      </c>
      <c r="AE49" s="348">
        <f t="shared" si="61"/>
        <v>0</v>
      </c>
      <c r="AF49" s="348">
        <f t="shared" si="62"/>
        <v>1.3669428903039297E-2</v>
      </c>
      <c r="AG49" s="348">
        <f t="shared" si="63"/>
        <v>0.19487726219028279</v>
      </c>
      <c r="AH49" s="348">
        <f t="shared" si="64"/>
        <v>3.5308545243480336</v>
      </c>
      <c r="AI49" s="348">
        <f t="shared" si="65"/>
        <v>5.111442805564681E-2</v>
      </c>
      <c r="AJ49" s="348">
        <f t="shared" si="66"/>
        <v>2.699742890303929E-2</v>
      </c>
      <c r="AK49" s="348">
        <f t="shared" si="67"/>
        <v>7.8767313557107782E-2</v>
      </c>
      <c r="AL49" s="348">
        <f t="shared" si="68"/>
        <v>1.3327999999999998E-2</v>
      </c>
      <c r="AM49" s="348">
        <f t="shared" si="69"/>
        <v>0.4012</v>
      </c>
      <c r="AN49" s="348">
        <f t="shared" si="70"/>
        <v>3.2826757290848746E-2</v>
      </c>
      <c r="AO49" s="348">
        <f t="shared" si="71"/>
        <v>1.1E-4</v>
      </c>
      <c r="AP49" s="348">
        <f t="shared" si="72"/>
        <v>5.6099999999999997E-2</v>
      </c>
      <c r="AQ49" s="348">
        <f t="shared" si="26"/>
        <v>0.52647692307692318</v>
      </c>
      <c r="AR49" s="348">
        <f t="shared" si="73"/>
        <v>0.5048999999999999</v>
      </c>
      <c r="AS49" s="348">
        <f t="shared" si="74"/>
        <v>5.6209999999999996E-2</v>
      </c>
      <c r="AT49" s="348">
        <f t="shared" si="75"/>
        <v>1.0512557185817419</v>
      </c>
      <c r="AU49">
        <f t="shared" si="76"/>
        <v>24</v>
      </c>
      <c r="AV49" s="526">
        <f t="shared" si="47"/>
        <v>0.95803580745048345</v>
      </c>
      <c r="AW49" s="534">
        <f t="shared" si="77"/>
        <v>19.306109011991879</v>
      </c>
      <c r="AX49" s="534">
        <f t="shared" si="78"/>
        <v>8.5943468617742873</v>
      </c>
      <c r="AY49" s="9"/>
      <c r="AZ49" s="4">
        <f t="shared" si="48"/>
        <v>95.80358074504835</v>
      </c>
      <c r="BA49" s="348">
        <f t="shared" si="79"/>
        <v>0.25863544809036343</v>
      </c>
      <c r="BB49" s="348">
        <f t="shared" si="80"/>
        <v>0.67484457574739054</v>
      </c>
      <c r="BC49" s="348">
        <f t="shared" si="81"/>
        <v>0.45966926219028281</v>
      </c>
      <c r="BD49" s="348">
        <f t="shared" si="82"/>
        <v>0.2111633135571078</v>
      </c>
      <c r="BE49" s="348">
        <f t="shared" si="83"/>
        <v>3.2826757290848746E-2</v>
      </c>
    </row>
    <row r="50" spans="1:64" x14ac:dyDescent="0.2">
      <c r="A50" s="23" t="s">
        <v>80</v>
      </c>
      <c r="B50" s="5">
        <f>RdsonBotTc*1000000</f>
        <v>4000</v>
      </c>
      <c r="C50" s="427" t="s">
        <v>81</v>
      </c>
      <c r="D50" s="21" t="s">
        <v>104</v>
      </c>
      <c r="G50">
        <v>41</v>
      </c>
      <c r="H50" s="531">
        <f t="shared" si="49"/>
        <v>50</v>
      </c>
      <c r="I50" s="4">
        <f t="shared" si="50"/>
        <v>1</v>
      </c>
      <c r="J50" s="348">
        <f t="shared" si="84"/>
        <v>2.0499999999999998</v>
      </c>
      <c r="K50" s="348">
        <f t="shared" si="51"/>
        <v>2.0499999999999998</v>
      </c>
      <c r="L50" s="4">
        <f t="shared" si="52"/>
        <v>0.54666666666666663</v>
      </c>
      <c r="M50" s="348">
        <f t="shared" si="53"/>
        <v>0.24045176528202172</v>
      </c>
      <c r="N50" s="4">
        <f t="shared" si="54"/>
        <v>12.205249633522712</v>
      </c>
      <c r="O50" s="4">
        <f t="shared" si="39"/>
        <v>8.1526248167613566</v>
      </c>
      <c r="P50" s="4">
        <f t="shared" si="40"/>
        <v>-4.0526248167613561</v>
      </c>
      <c r="Q50" s="4">
        <f t="shared" si="55"/>
        <v>50</v>
      </c>
      <c r="R50" s="4">
        <f t="shared" si="41"/>
        <v>4.0763353498844017</v>
      </c>
      <c r="S50" s="348">
        <f t="shared" si="56"/>
        <v>5.8157784596510165E-2</v>
      </c>
      <c r="T50" s="348">
        <f t="shared" si="57"/>
        <v>0.2</v>
      </c>
      <c r="U50" s="348">
        <f t="shared" si="58"/>
        <v>0.25936450982003761</v>
      </c>
      <c r="V50" s="4">
        <f t="shared" si="42"/>
        <v>3.5233520807204597</v>
      </c>
      <c r="W50" s="348">
        <f t="shared" si="10"/>
        <v>1.2414009884717192E-2</v>
      </c>
      <c r="X50" s="348">
        <f t="shared" si="43"/>
        <v>1.2414009884717192E-2</v>
      </c>
      <c r="Y50" s="4">
        <f t="shared" si="44"/>
        <v>1.742053824673758</v>
      </c>
      <c r="Z50" s="348">
        <f t="shared" si="11"/>
        <v>3.0347515280604686E-3</v>
      </c>
      <c r="AA50" s="525">
        <f t="shared" si="45"/>
        <v>3.0347515280604686E-3</v>
      </c>
      <c r="AB50" s="348">
        <f t="shared" si="46"/>
        <v>1.9988669627082267</v>
      </c>
      <c r="AC50" s="348">
        <f t="shared" si="59"/>
        <v>4.7945629615276937E-2</v>
      </c>
      <c r="AD50" s="348">
        <f t="shared" si="60"/>
        <v>0.13560754475726206</v>
      </c>
      <c r="AE50" s="348">
        <f t="shared" si="61"/>
        <v>0</v>
      </c>
      <c r="AF50" s="348">
        <f t="shared" si="62"/>
        <v>1.3503345889448837E-2</v>
      </c>
      <c r="AG50" s="348">
        <f t="shared" si="63"/>
        <v>0.19865667309918261</v>
      </c>
      <c r="AH50" s="348">
        <f t="shared" si="64"/>
        <v>3.5526104135003007</v>
      </c>
      <c r="AI50" s="348">
        <f t="shared" si="65"/>
        <v>5.1746267075454183E-2</v>
      </c>
      <c r="AJ50" s="348">
        <f t="shared" si="66"/>
        <v>2.7164545889448836E-2</v>
      </c>
      <c r="AK50" s="348">
        <f t="shared" si="67"/>
        <v>7.9581228493726397E-2</v>
      </c>
      <c r="AL50" s="348">
        <f t="shared" si="68"/>
        <v>1.3661199999999997E-2</v>
      </c>
      <c r="AM50" s="348">
        <f t="shared" si="69"/>
        <v>0.41122999999999993</v>
      </c>
      <c r="AN50" s="348">
        <f t="shared" si="70"/>
        <v>3.323301976943438E-2</v>
      </c>
      <c r="AO50" s="348">
        <f t="shared" si="71"/>
        <v>1.1E-4</v>
      </c>
      <c r="AP50" s="348">
        <f t="shared" si="72"/>
        <v>5.6099999999999997E-2</v>
      </c>
      <c r="AQ50" s="348">
        <f t="shared" si="26"/>
        <v>0.52647692307692318</v>
      </c>
      <c r="AR50" s="348">
        <f t="shared" si="73"/>
        <v>0.5048999999999999</v>
      </c>
      <c r="AS50" s="348">
        <f t="shared" si="74"/>
        <v>5.6209999999999996E-2</v>
      </c>
      <c r="AT50" s="348">
        <f t="shared" si="75"/>
        <v>1.0673853925951589</v>
      </c>
      <c r="AU50">
        <f t="shared" si="76"/>
        <v>24.599999999999998</v>
      </c>
      <c r="AV50" s="526">
        <f t="shared" si="47"/>
        <v>0.95841472061649524</v>
      </c>
      <c r="AW50" s="534">
        <f t="shared" si="77"/>
        <v>19.742875870165669</v>
      </c>
      <c r="AX50" s="534">
        <f t="shared" si="78"/>
        <v>8.7621861296946637</v>
      </c>
      <c r="AY50" s="9"/>
      <c r="AZ50" s="4">
        <f t="shared" si="48"/>
        <v>95.841472061649526</v>
      </c>
      <c r="BA50" s="348">
        <f t="shared" si="79"/>
        <v>0.25936450982003761</v>
      </c>
      <c r="BB50" s="348">
        <f t="shared" si="80"/>
        <v>0.68946790159290894</v>
      </c>
      <c r="BC50" s="348">
        <f t="shared" si="81"/>
        <v>0.47006847309918259</v>
      </c>
      <c r="BD50" s="348">
        <f t="shared" si="82"/>
        <v>0.21528712849372639</v>
      </c>
      <c r="BE50" s="348">
        <f t="shared" si="83"/>
        <v>3.323301976943438E-2</v>
      </c>
    </row>
    <row r="51" spans="1:64" x14ac:dyDescent="0.2">
      <c r="A51" s="23" t="s">
        <v>67</v>
      </c>
      <c r="B51" s="5">
        <f>Qg_Q2*1000000000</f>
        <v>25</v>
      </c>
      <c r="C51" s="427" t="s">
        <v>65</v>
      </c>
      <c r="D51" s="21" t="s">
        <v>99</v>
      </c>
      <c r="G51">
        <v>42</v>
      </c>
      <c r="H51" s="531">
        <f t="shared" si="49"/>
        <v>50</v>
      </c>
      <c r="I51" s="4">
        <f t="shared" si="50"/>
        <v>1</v>
      </c>
      <c r="J51" s="348">
        <f t="shared" si="84"/>
        <v>2.1</v>
      </c>
      <c r="K51" s="348">
        <f t="shared" si="51"/>
        <v>2.1</v>
      </c>
      <c r="L51" s="4">
        <f t="shared" si="52"/>
        <v>0.56000000000000005</v>
      </c>
      <c r="M51" s="348">
        <f t="shared" si="53"/>
        <v>0.24046278667853896</v>
      </c>
      <c r="N51" s="4">
        <f t="shared" si="54"/>
        <v>12.205559933259485</v>
      </c>
      <c r="O51" s="4">
        <f t="shared" si="39"/>
        <v>8.202779966629743</v>
      </c>
      <c r="P51" s="4">
        <f t="shared" si="40"/>
        <v>-4.0027799666297419</v>
      </c>
      <c r="Q51" s="4">
        <f t="shared" si="55"/>
        <v>50</v>
      </c>
      <c r="R51" s="4">
        <f t="shared" si="41"/>
        <v>4.1017851122447215</v>
      </c>
      <c r="S51" s="348">
        <f t="shared" si="56"/>
        <v>5.8886243874613546E-2</v>
      </c>
      <c r="T51" s="348">
        <f t="shared" si="57"/>
        <v>0.2</v>
      </c>
      <c r="U51" s="348">
        <f t="shared" si="58"/>
        <v>0.26011160350007934</v>
      </c>
      <c r="V51" s="4">
        <f t="shared" si="42"/>
        <v>3.5234416565387372</v>
      </c>
      <c r="W51" s="348">
        <f t="shared" si="10"/>
        <v>1.2414641107032441E-2</v>
      </c>
      <c r="X51" s="348">
        <f t="shared" si="43"/>
        <v>1.2414641107032441E-2</v>
      </c>
      <c r="Y51" s="4">
        <f t="shared" si="44"/>
        <v>1.7529574349787296</v>
      </c>
      <c r="Z51" s="348">
        <f t="shared" si="11"/>
        <v>3.0728597688472071E-3</v>
      </c>
      <c r="AA51" s="525">
        <f t="shared" si="45"/>
        <v>3.0728597688472071E-3</v>
      </c>
      <c r="AB51" s="348">
        <f t="shared" si="46"/>
        <v>2.0113925736820546</v>
      </c>
      <c r="AC51" s="348">
        <f t="shared" si="59"/>
        <v>4.854840102555983E-2</v>
      </c>
      <c r="AD51" s="348">
        <f t="shared" si="60"/>
        <v>0.13891504584890263</v>
      </c>
      <c r="AE51" s="348">
        <f t="shared" si="61"/>
        <v>0</v>
      </c>
      <c r="AF51" s="348">
        <f t="shared" si="62"/>
        <v>1.3337262848810299E-2</v>
      </c>
      <c r="AG51" s="348">
        <f t="shared" si="63"/>
        <v>0.2024519342959657</v>
      </c>
      <c r="AH51" s="348">
        <f t="shared" si="64"/>
        <v>3.574764470782533</v>
      </c>
      <c r="AI51" s="348">
        <f t="shared" si="65"/>
        <v>5.2393658188433397E-2</v>
      </c>
      <c r="AJ51" s="348">
        <f t="shared" si="66"/>
        <v>2.7331662848810299E-2</v>
      </c>
      <c r="AK51" s="348">
        <f t="shared" si="67"/>
        <v>8.041120347868376E-2</v>
      </c>
      <c r="AL51" s="348">
        <f t="shared" si="68"/>
        <v>1.3994399999999999E-2</v>
      </c>
      <c r="AM51" s="348">
        <f t="shared" si="69"/>
        <v>0.42125999999999997</v>
      </c>
      <c r="AN51" s="348">
        <f t="shared" si="70"/>
        <v>3.3649282214064886E-2</v>
      </c>
      <c r="AO51" s="348">
        <f t="shared" si="71"/>
        <v>1.1E-4</v>
      </c>
      <c r="AP51" s="348">
        <f t="shared" si="72"/>
        <v>5.6099999999999997E-2</v>
      </c>
      <c r="AQ51" s="348">
        <f t="shared" si="26"/>
        <v>0.52647692307692318</v>
      </c>
      <c r="AR51" s="348">
        <f t="shared" si="73"/>
        <v>0.5048999999999999</v>
      </c>
      <c r="AS51" s="348">
        <f t="shared" si="74"/>
        <v>5.6209999999999996E-2</v>
      </c>
      <c r="AT51" s="348">
        <f t="shared" si="75"/>
        <v>1.0835759243646732</v>
      </c>
      <c r="AU51">
        <f t="shared" si="76"/>
        <v>25.200000000000003</v>
      </c>
      <c r="AV51" s="526">
        <f t="shared" si="47"/>
        <v>0.95877364908478047</v>
      </c>
      <c r="AW51" s="534">
        <f t="shared" si="77"/>
        <v>20.180308440430558</v>
      </c>
      <c r="AX51" s="534">
        <f t="shared" si="78"/>
        <v>8.9306790415824295</v>
      </c>
      <c r="AY51" s="9"/>
      <c r="AZ51" s="4">
        <f t="shared" si="48"/>
        <v>95.877364908478043</v>
      </c>
      <c r="BA51" s="348">
        <f t="shared" si="79"/>
        <v>0.26011160350007934</v>
      </c>
      <c r="BB51" s="348">
        <f t="shared" si="80"/>
        <v>0.70412313777464941</v>
      </c>
      <c r="BC51" s="348">
        <f t="shared" si="81"/>
        <v>0.48048353429596569</v>
      </c>
      <c r="BD51" s="348">
        <f t="shared" si="82"/>
        <v>0.21942700347868377</v>
      </c>
      <c r="BE51" s="348">
        <f t="shared" si="83"/>
        <v>3.3649282214064886E-2</v>
      </c>
    </row>
    <row r="52" spans="1:64" x14ac:dyDescent="0.2">
      <c r="A52" s="23" t="s">
        <v>91</v>
      </c>
      <c r="B52" s="5">
        <f>Rgate2</f>
        <v>1.2</v>
      </c>
      <c r="C52" s="431" t="s">
        <v>116</v>
      </c>
      <c r="D52" s="21" t="s">
        <v>100</v>
      </c>
      <c r="G52">
        <v>43</v>
      </c>
      <c r="H52" s="531">
        <f t="shared" si="49"/>
        <v>50</v>
      </c>
      <c r="I52" s="4">
        <f t="shared" si="50"/>
        <v>1</v>
      </c>
      <c r="J52" s="348">
        <f t="shared" si="84"/>
        <v>2.15</v>
      </c>
      <c r="K52" s="348">
        <f t="shared" si="51"/>
        <v>2.15</v>
      </c>
      <c r="L52" s="4">
        <f t="shared" si="52"/>
        <v>0.57333333333333325</v>
      </c>
      <c r="M52" s="348">
        <f t="shared" si="53"/>
        <v>0.24047380820514164</v>
      </c>
      <c r="N52" s="4">
        <f t="shared" si="54"/>
        <v>12.205870216760623</v>
      </c>
      <c r="O52" s="4">
        <f t="shared" si="39"/>
        <v>8.2529351083803117</v>
      </c>
      <c r="P52" s="4">
        <f t="shared" si="40"/>
        <v>-3.9529351083803115</v>
      </c>
      <c r="Q52" s="4">
        <f t="shared" si="55"/>
        <v>50</v>
      </c>
      <c r="R52" s="4">
        <f t="shared" si="41"/>
        <v>4.1276836497443696</v>
      </c>
      <c r="S52" s="348">
        <f t="shared" si="56"/>
        <v>5.96322030932845E-2</v>
      </c>
      <c r="T52" s="348">
        <f t="shared" si="57"/>
        <v>0.2</v>
      </c>
      <c r="U52" s="348">
        <f t="shared" si="58"/>
        <v>0.26087673545094242</v>
      </c>
      <c r="V52" s="4">
        <f t="shared" si="42"/>
        <v>3.5235312276701909</v>
      </c>
      <c r="W52" s="348">
        <f t="shared" si="10"/>
        <v>1.2415272312367004E-2</v>
      </c>
      <c r="X52" s="348">
        <f t="shared" si="43"/>
        <v>1.2415272312367004E-2</v>
      </c>
      <c r="Y52" s="4">
        <f t="shared" si="44"/>
        <v>1.7640531782744706</v>
      </c>
      <c r="Z52" s="348">
        <f t="shared" si="11"/>
        <v>3.1118836157802612E-3</v>
      </c>
      <c r="AA52" s="525">
        <f t="shared" si="45"/>
        <v>3.1118836157802612E-3</v>
      </c>
      <c r="AB52" s="348">
        <f t="shared" si="46"/>
        <v>2.0241388270785712</v>
      </c>
      <c r="AC52" s="348">
        <f t="shared" si="59"/>
        <v>4.9165655895444173E-2</v>
      </c>
      <c r="AD52" s="348">
        <f t="shared" si="60"/>
        <v>0.14222254694054318</v>
      </c>
      <c r="AE52" s="348">
        <f t="shared" si="61"/>
        <v>0</v>
      </c>
      <c r="AF52" s="348">
        <f t="shared" si="62"/>
        <v>1.3171179781123196E-2</v>
      </c>
      <c r="AG52" s="348">
        <f t="shared" si="63"/>
        <v>0.20626308063773416</v>
      </c>
      <c r="AH52" s="348">
        <f t="shared" si="64"/>
        <v>3.5973093168477996</v>
      </c>
      <c r="AI52" s="348">
        <f t="shared" si="65"/>
        <v>5.3056600716427926E-2</v>
      </c>
      <c r="AJ52" s="348">
        <f t="shared" si="66"/>
        <v>2.7498779781123195E-2</v>
      </c>
      <c r="AK52" s="348">
        <f t="shared" si="67"/>
        <v>8.1257249300188794E-2</v>
      </c>
      <c r="AL52" s="348">
        <f t="shared" si="68"/>
        <v>1.4327599999999998E-2</v>
      </c>
      <c r="AM52" s="348">
        <f t="shared" si="69"/>
        <v>0.43129000000000006</v>
      </c>
      <c r="AN52" s="348">
        <f t="shared" si="70"/>
        <v>3.4075544624734E-2</v>
      </c>
      <c r="AO52" s="348">
        <f t="shared" si="71"/>
        <v>1.1E-4</v>
      </c>
      <c r="AP52" s="348">
        <f t="shared" si="72"/>
        <v>5.6099999999999997E-2</v>
      </c>
      <c r="AQ52" s="348">
        <f t="shared" si="26"/>
        <v>0.52647692307692318</v>
      </c>
      <c r="AR52" s="348">
        <f t="shared" si="73"/>
        <v>0.5048999999999999</v>
      </c>
      <c r="AS52" s="348">
        <f t="shared" si="74"/>
        <v>5.6209999999999996E-2</v>
      </c>
      <c r="AT52" s="348">
        <f t="shared" si="75"/>
        <v>1.0998273659417468</v>
      </c>
      <c r="AU52">
        <f t="shared" si="76"/>
        <v>25.799999999999997</v>
      </c>
      <c r="AV52" s="526">
        <f t="shared" si="47"/>
        <v>0.9591139619232556</v>
      </c>
      <c r="AW52" s="534">
        <f t="shared" si="77"/>
        <v>20.618408186784837</v>
      </c>
      <c r="AX52" s="534">
        <f t="shared" si="78"/>
        <v>9.0998260365176851</v>
      </c>
      <c r="AY52" s="9"/>
      <c r="AZ52" s="4">
        <f t="shared" si="48"/>
        <v>95.911396192325554</v>
      </c>
      <c r="BA52" s="348">
        <f t="shared" si="79"/>
        <v>0.26087673545094242</v>
      </c>
      <c r="BB52" s="348">
        <f t="shared" si="80"/>
        <v>0.71881032993792304</v>
      </c>
      <c r="BC52" s="348">
        <f t="shared" si="81"/>
        <v>0.49091448063773424</v>
      </c>
      <c r="BD52" s="348">
        <f t="shared" si="82"/>
        <v>0.22358294930018882</v>
      </c>
      <c r="BE52" s="348">
        <f t="shared" si="83"/>
        <v>3.4075544624734E-2</v>
      </c>
    </row>
    <row r="53" spans="1:64" x14ac:dyDescent="0.2">
      <c r="A53" s="23" t="s">
        <v>72</v>
      </c>
      <c r="B53" s="5">
        <f>Vsd_Q2</f>
        <v>0.7</v>
      </c>
      <c r="C53" s="427" t="s">
        <v>0</v>
      </c>
      <c r="D53" s="21" t="s">
        <v>105</v>
      </c>
      <c r="G53">
        <v>44</v>
      </c>
      <c r="H53" s="531">
        <f t="shared" si="49"/>
        <v>50</v>
      </c>
      <c r="I53" s="4">
        <f t="shared" si="50"/>
        <v>1</v>
      </c>
      <c r="J53" s="348">
        <f t="shared" si="84"/>
        <v>2.2000000000000002</v>
      </c>
      <c r="K53" s="348">
        <f t="shared" si="51"/>
        <v>2.2000000000000002</v>
      </c>
      <c r="L53" s="4">
        <f t="shared" si="52"/>
        <v>0.58666666666666667</v>
      </c>
      <c r="M53" s="348">
        <f t="shared" si="53"/>
        <v>0.24048482986183212</v>
      </c>
      <c r="N53" s="4">
        <f t="shared" si="54"/>
        <v>12.206180484025843</v>
      </c>
      <c r="O53" s="4">
        <f t="shared" si="39"/>
        <v>8.3030902420129209</v>
      </c>
      <c r="P53" s="4">
        <f t="shared" si="40"/>
        <v>-3.9030902420129214</v>
      </c>
      <c r="Q53" s="4">
        <f t="shared" si="55"/>
        <v>50</v>
      </c>
      <c r="R53" s="4">
        <f t="shared" si="41"/>
        <v>4.1540225686336587</v>
      </c>
      <c r="S53" s="348">
        <f t="shared" si="56"/>
        <v>6.0395662252512222E-2</v>
      </c>
      <c r="T53" s="348">
        <f t="shared" si="57"/>
        <v>0.2</v>
      </c>
      <c r="U53" s="348">
        <f t="shared" si="58"/>
        <v>0.26165991214683559</v>
      </c>
      <c r="V53" s="4">
        <f t="shared" si="42"/>
        <v>3.5236207941147386</v>
      </c>
      <c r="W53" s="348">
        <f t="shared" si="10"/>
        <v>1.241590350071778E-2</v>
      </c>
      <c r="X53" s="348">
        <f t="shared" si="43"/>
        <v>1.241590350071778E-2</v>
      </c>
      <c r="Y53" s="4">
        <f t="shared" si="44"/>
        <v>1.7753374762448844</v>
      </c>
      <c r="Z53" s="348">
        <f t="shared" si="11"/>
        <v>3.1518231545595555E-3</v>
      </c>
      <c r="AA53" s="525">
        <f t="shared" si="45"/>
        <v>3.1518231545595555E-3</v>
      </c>
      <c r="AB53" s="348">
        <f t="shared" si="46"/>
        <v>2.0371016217857929</v>
      </c>
      <c r="AC53" s="348">
        <f t="shared" si="59"/>
        <v>4.9797396209787688E-2</v>
      </c>
      <c r="AD53" s="348">
        <f t="shared" si="60"/>
        <v>0.14553004803218375</v>
      </c>
      <c r="AE53" s="348">
        <f t="shared" si="61"/>
        <v>0</v>
      </c>
      <c r="AF53" s="348">
        <f t="shared" si="62"/>
        <v>1.3005096686387054E-2</v>
      </c>
      <c r="AG53" s="348">
        <f t="shared" si="63"/>
        <v>0.21009014723503325</v>
      </c>
      <c r="AH53" s="348">
        <f t="shared" si="64"/>
        <v>3.6202376280066857</v>
      </c>
      <c r="AI53" s="348">
        <f t="shared" si="65"/>
        <v>5.3735093981265435E-2</v>
      </c>
      <c r="AJ53" s="348">
        <f t="shared" si="66"/>
        <v>2.7665896686387047E-2</v>
      </c>
      <c r="AK53" s="348">
        <f t="shared" si="67"/>
        <v>8.2119376996984753E-2</v>
      </c>
      <c r="AL53" s="348">
        <f t="shared" si="68"/>
        <v>1.4660799999999998E-2</v>
      </c>
      <c r="AM53" s="348">
        <f t="shared" si="69"/>
        <v>0.4413200000000001</v>
      </c>
      <c r="AN53" s="348">
        <f t="shared" si="70"/>
        <v>3.4511807001435559E-2</v>
      </c>
      <c r="AO53" s="348">
        <f t="shared" si="71"/>
        <v>1.1E-4</v>
      </c>
      <c r="AP53" s="348">
        <f t="shared" si="72"/>
        <v>5.6099999999999997E-2</v>
      </c>
      <c r="AQ53" s="348">
        <f t="shared" si="26"/>
        <v>0.52647692307692318</v>
      </c>
      <c r="AR53" s="348">
        <f t="shared" si="73"/>
        <v>0.5048999999999999</v>
      </c>
      <c r="AS53" s="348">
        <f t="shared" si="74"/>
        <v>5.6209999999999996E-2</v>
      </c>
      <c r="AT53" s="348">
        <f t="shared" si="75"/>
        <v>1.1161397700355669</v>
      </c>
      <c r="AU53">
        <f t="shared" si="76"/>
        <v>26.400000000000002</v>
      </c>
      <c r="AV53" s="526">
        <f t="shared" si="47"/>
        <v>0.95943690578098395</v>
      </c>
      <c r="AW53" s="534">
        <f t="shared" si="77"/>
        <v>21.057176583871399</v>
      </c>
      <c r="AX53" s="534">
        <f t="shared" si="78"/>
        <v>9.2696275637772807</v>
      </c>
      <c r="AY53" s="9"/>
      <c r="AZ53" s="4">
        <f t="shared" si="48"/>
        <v>95.943690578098398</v>
      </c>
      <c r="BA53" s="348">
        <f t="shared" si="79"/>
        <v>0.26165991214683559</v>
      </c>
      <c r="BB53" s="348">
        <f t="shared" si="80"/>
        <v>0.73352952423201812</v>
      </c>
      <c r="BC53" s="348">
        <f t="shared" si="81"/>
        <v>0.50136134723503334</v>
      </c>
      <c r="BD53" s="348">
        <f t="shared" si="82"/>
        <v>0.22775497699698477</v>
      </c>
      <c r="BE53" s="348">
        <f t="shared" si="83"/>
        <v>3.4511807001435559E-2</v>
      </c>
    </row>
    <row r="54" spans="1:64" x14ac:dyDescent="0.2">
      <c r="A54" s="23" t="s">
        <v>73</v>
      </c>
      <c r="B54" s="5">
        <f>Qrr_Q2*1000000000</f>
        <v>59</v>
      </c>
      <c r="C54" s="427" t="s">
        <v>65</v>
      </c>
      <c r="D54" s="21" t="s">
        <v>110</v>
      </c>
      <c r="G54">
        <v>45</v>
      </c>
      <c r="H54" s="531">
        <f t="shared" si="49"/>
        <v>50</v>
      </c>
      <c r="I54" s="4">
        <f t="shared" si="50"/>
        <v>1</v>
      </c>
      <c r="J54" s="348">
        <f t="shared" si="84"/>
        <v>2.25</v>
      </c>
      <c r="K54" s="348">
        <f t="shared" si="51"/>
        <v>2.25</v>
      </c>
      <c r="L54" s="4">
        <f t="shared" si="52"/>
        <v>0.6</v>
      </c>
      <c r="M54" s="348">
        <f t="shared" si="53"/>
        <v>0.2404958516486127</v>
      </c>
      <c r="N54" s="4">
        <f t="shared" si="54"/>
        <v>12.206490735054864</v>
      </c>
      <c r="O54" s="4">
        <f t="shared" si="39"/>
        <v>8.3532453675274319</v>
      </c>
      <c r="P54" s="4">
        <f t="shared" si="40"/>
        <v>-3.8532453675274319</v>
      </c>
      <c r="Q54" s="4">
        <f t="shared" si="55"/>
        <v>50</v>
      </c>
      <c r="R54" s="4">
        <f t="shared" si="41"/>
        <v>4.1807935457376617</v>
      </c>
      <c r="S54" s="348">
        <f t="shared" si="56"/>
        <v>6.1176621352285909E-2</v>
      </c>
      <c r="T54" s="348">
        <f t="shared" si="57"/>
        <v>0.2</v>
      </c>
      <c r="U54" s="348">
        <f t="shared" si="58"/>
        <v>0.26246114021585992</v>
      </c>
      <c r="V54" s="4">
        <f t="shared" si="42"/>
        <v>3.5237103558722995</v>
      </c>
      <c r="W54" s="348">
        <f t="shared" si="10"/>
        <v>1.2416534672081689E-2</v>
      </c>
      <c r="X54" s="348">
        <f t="shared" si="43"/>
        <v>1.2416534672081689E-2</v>
      </c>
      <c r="Y54" s="4">
        <f t="shared" si="44"/>
        <v>1.7868067805109027</v>
      </c>
      <c r="Z54" s="348">
        <f t="shared" si="11"/>
        <v>3.1926784708797376E-3</v>
      </c>
      <c r="AA54" s="525">
        <f t="shared" si="45"/>
        <v>3.1926784708797376E-3</v>
      </c>
      <c r="AB54" s="348">
        <f t="shared" si="46"/>
        <v>2.0502768909242275</v>
      </c>
      <c r="AC54" s="348">
        <f t="shared" si="59"/>
        <v>5.0443623953494998E-2</v>
      </c>
      <c r="AD54" s="348">
        <f t="shared" si="60"/>
        <v>0.14883754912382424</v>
      </c>
      <c r="AE54" s="348">
        <f t="shared" si="61"/>
        <v>0</v>
      </c>
      <c r="AF54" s="348">
        <f t="shared" si="62"/>
        <v>1.2839013564601402E-2</v>
      </c>
      <c r="AG54" s="348">
        <f t="shared" si="63"/>
        <v>0.21393316945289895</v>
      </c>
      <c r="AH54" s="348">
        <f t="shared" si="64"/>
        <v>3.643542142287334</v>
      </c>
      <c r="AI54" s="348">
        <f t="shared" si="65"/>
        <v>5.4429137304757472E-2</v>
      </c>
      <c r="AJ54" s="348">
        <f t="shared" si="66"/>
        <v>2.7833013564601397E-2</v>
      </c>
      <c r="AK54" s="348">
        <f t="shared" si="67"/>
        <v>8.2997597858749383E-2</v>
      </c>
      <c r="AL54" s="348">
        <f t="shared" si="68"/>
        <v>1.4993999999999997E-2</v>
      </c>
      <c r="AM54" s="348">
        <f t="shared" si="69"/>
        <v>0.45135000000000003</v>
      </c>
      <c r="AN54" s="348">
        <f t="shared" si="70"/>
        <v>3.495806934416338E-2</v>
      </c>
      <c r="AO54" s="348">
        <f t="shared" si="71"/>
        <v>1.1E-4</v>
      </c>
      <c r="AP54" s="348">
        <f t="shared" si="72"/>
        <v>5.6099999999999997E-2</v>
      </c>
      <c r="AQ54" s="348">
        <f t="shared" si="26"/>
        <v>0.52647692307692318</v>
      </c>
      <c r="AR54" s="348">
        <f t="shared" si="73"/>
        <v>0.5048999999999999</v>
      </c>
      <c r="AS54" s="348">
        <f t="shared" si="74"/>
        <v>5.6209999999999996E-2</v>
      </c>
      <c r="AT54" s="348">
        <f t="shared" si="75"/>
        <v>1.1325131900146332</v>
      </c>
      <c r="AU54">
        <f t="shared" si="76"/>
        <v>27</v>
      </c>
      <c r="AV54" s="526">
        <f t="shared" si="47"/>
        <v>0.95974361826953269</v>
      </c>
      <c r="AW54" s="534">
        <f t="shared" si="77"/>
        <v>21.496615117021758</v>
      </c>
      <c r="AX54" s="534">
        <f t="shared" si="78"/>
        <v>9.4400840828511008</v>
      </c>
      <c r="AY54" s="9"/>
      <c r="AZ54" s="4">
        <f t="shared" si="48"/>
        <v>95.97436182695327</v>
      </c>
      <c r="BA54" s="348">
        <f t="shared" si="79"/>
        <v>0.26246114021585992</v>
      </c>
      <c r="BB54" s="348">
        <f t="shared" si="80"/>
        <v>0.74828076731164839</v>
      </c>
      <c r="BC54" s="348">
        <f t="shared" si="81"/>
        <v>0.51182416945289899</v>
      </c>
      <c r="BD54" s="348">
        <f t="shared" si="82"/>
        <v>0.23194309785874939</v>
      </c>
      <c r="BE54" s="348">
        <f t="shared" si="83"/>
        <v>3.495806934416338E-2</v>
      </c>
    </row>
    <row r="55" spans="1:64" x14ac:dyDescent="0.2">
      <c r="A55" s="23" t="s">
        <v>74</v>
      </c>
      <c r="B55" s="5">
        <f>Trr_Q2*1000000000</f>
        <v>40</v>
      </c>
      <c r="C55" s="427" t="s">
        <v>75</v>
      </c>
      <c r="D55" s="76" t="s">
        <v>106</v>
      </c>
      <c r="G55">
        <v>46</v>
      </c>
      <c r="H55" s="531">
        <f t="shared" si="49"/>
        <v>50</v>
      </c>
      <c r="I55" s="4">
        <f t="shared" si="50"/>
        <v>1</v>
      </c>
      <c r="J55" s="348">
        <f t="shared" si="84"/>
        <v>2.2999999999999998</v>
      </c>
      <c r="K55" s="348">
        <f t="shared" si="51"/>
        <v>2.2999999999999998</v>
      </c>
      <c r="L55" s="4">
        <f t="shared" si="52"/>
        <v>0.61333333333333329</v>
      </c>
      <c r="M55" s="348">
        <f t="shared" si="53"/>
        <v>0.2405068735654857</v>
      </c>
      <c r="N55" s="4">
        <f t="shared" si="54"/>
        <v>12.206800969847389</v>
      </c>
      <c r="O55" s="4">
        <f t="shared" si="39"/>
        <v>8.4034004849236936</v>
      </c>
      <c r="P55" s="4">
        <f t="shared" si="40"/>
        <v>-3.8034004849236949</v>
      </c>
      <c r="Q55" s="4">
        <f t="shared" si="55"/>
        <v>50</v>
      </c>
      <c r="R55" s="4">
        <f t="shared" si="41"/>
        <v>4.2079883348763687</v>
      </c>
      <c r="S55" s="348">
        <f t="shared" si="56"/>
        <v>6.1975080392594577E-2</v>
      </c>
      <c r="T55" s="348">
        <f t="shared" si="57"/>
        <v>0.2</v>
      </c>
      <c r="U55" s="348">
        <f t="shared" si="58"/>
        <v>0.2632804264401486</v>
      </c>
      <c r="V55" s="4">
        <f t="shared" si="42"/>
        <v>3.5237999129427879</v>
      </c>
      <c r="W55" s="348">
        <f t="shared" si="10"/>
        <v>1.2417165826455599E-2</v>
      </c>
      <c r="X55" s="348">
        <f t="shared" si="43"/>
        <v>1.2417165826455599E-2</v>
      </c>
      <c r="Y55" s="4">
        <f t="shared" si="44"/>
        <v>1.7984575753767955</v>
      </c>
      <c r="Z55" s="348">
        <f t="shared" si="11"/>
        <v>3.2344496504301823E-3</v>
      </c>
      <c r="AA55" s="525">
        <f t="shared" si="45"/>
        <v>3.2344496504301823E-3</v>
      </c>
      <c r="AB55" s="348">
        <f t="shared" si="46"/>
        <v>2.0636606049993889</v>
      </c>
      <c r="AC55" s="348">
        <f t="shared" si="59"/>
        <v>5.1104341111517328E-2</v>
      </c>
      <c r="AD55" s="348">
        <f t="shared" si="60"/>
        <v>0.15214505021546476</v>
      </c>
      <c r="AE55" s="348">
        <f t="shared" si="61"/>
        <v>0</v>
      </c>
      <c r="AF55" s="348">
        <f t="shared" si="62"/>
        <v>1.2672930415765751E-2</v>
      </c>
      <c r="AG55" s="348">
        <f t="shared" si="63"/>
        <v>0.21779218291191588</v>
      </c>
      <c r="AH55" s="348">
        <f t="shared" si="64"/>
        <v>3.6672156650283263</v>
      </c>
      <c r="AI55" s="348">
        <f t="shared" si="65"/>
        <v>5.5138730008699503E-2</v>
      </c>
      <c r="AJ55" s="348">
        <f t="shared" si="66"/>
        <v>2.8000130415765743E-2</v>
      </c>
      <c r="AK55" s="348">
        <f t="shared" si="67"/>
        <v>8.3891923426505199E-2</v>
      </c>
      <c r="AL55" s="348">
        <f t="shared" si="68"/>
        <v>1.5327199999999996E-2</v>
      </c>
      <c r="AM55" s="348">
        <f t="shared" si="69"/>
        <v>0.46137999999999996</v>
      </c>
      <c r="AN55" s="348">
        <f t="shared" si="70"/>
        <v>3.5414331652911191E-2</v>
      </c>
      <c r="AO55" s="348">
        <f t="shared" si="71"/>
        <v>1.1E-4</v>
      </c>
      <c r="AP55" s="348">
        <f t="shared" si="72"/>
        <v>5.6099999999999997E-2</v>
      </c>
      <c r="AQ55" s="348">
        <f t="shared" si="26"/>
        <v>0.52647692307692318</v>
      </c>
      <c r="AR55" s="348">
        <f t="shared" si="73"/>
        <v>0.5048999999999999</v>
      </c>
      <c r="AS55" s="348">
        <f t="shared" si="74"/>
        <v>5.6209999999999996E-2</v>
      </c>
      <c r="AT55" s="348">
        <f t="shared" si="75"/>
        <v>1.1489476799083667</v>
      </c>
      <c r="AU55">
        <f t="shared" si="76"/>
        <v>27.599999999999998</v>
      </c>
      <c r="AV55" s="526">
        <f t="shared" si="47"/>
        <v>0.96003513962664699</v>
      </c>
      <c r="AW55" s="534">
        <f t="shared" si="77"/>
        <v>21.936725282300468</v>
      </c>
      <c r="AX55" s="534">
        <f t="shared" si="78"/>
        <v>9.6111960634587614</v>
      </c>
      <c r="AY55" s="9"/>
      <c r="AZ55" s="4">
        <f t="shared" si="48"/>
        <v>96.003513962664698</v>
      </c>
      <c r="BA55" s="348">
        <f t="shared" si="79"/>
        <v>0.2632804264401486</v>
      </c>
      <c r="BB55" s="348">
        <f t="shared" si="80"/>
        <v>0.76306410633842103</v>
      </c>
      <c r="BC55" s="348">
        <f t="shared" si="81"/>
        <v>0.5223029829119159</v>
      </c>
      <c r="BD55" s="348">
        <f t="shared" si="82"/>
        <v>0.23614732342650518</v>
      </c>
      <c r="BE55" s="348">
        <f t="shared" si="83"/>
        <v>3.5414331652911191E-2</v>
      </c>
    </row>
    <row r="56" spans="1:64" ht="15.75" x14ac:dyDescent="0.3">
      <c r="A56" s="433" t="s">
        <v>455</v>
      </c>
      <c r="B56" s="5">
        <f>ThetaJA_Q2</f>
        <v>40.700000000000003</v>
      </c>
      <c r="C56" s="428" t="s">
        <v>202</v>
      </c>
      <c r="D56" s="76" t="s">
        <v>103</v>
      </c>
      <c r="E56" s="2"/>
      <c r="G56">
        <v>47</v>
      </c>
      <c r="H56" s="531">
        <f t="shared" si="49"/>
        <v>50</v>
      </c>
      <c r="I56" s="4">
        <f t="shared" si="50"/>
        <v>1</v>
      </c>
      <c r="J56" s="348">
        <f t="shared" si="84"/>
        <v>2.35</v>
      </c>
      <c r="K56" s="348">
        <f t="shared" si="51"/>
        <v>2.35</v>
      </c>
      <c r="L56" s="4">
        <f t="shared" si="52"/>
        <v>0.62666666666666671</v>
      </c>
      <c r="M56" s="348">
        <f t="shared" si="53"/>
        <v>0.24051789561245335</v>
      </c>
      <c r="N56" s="4">
        <f t="shared" si="54"/>
        <v>12.207111188403132</v>
      </c>
      <c r="O56" s="4">
        <f t="shared" si="39"/>
        <v>8.4535555942015659</v>
      </c>
      <c r="P56" s="4">
        <f t="shared" si="40"/>
        <v>-3.7535555942015661</v>
      </c>
      <c r="Q56" s="4">
        <f t="shared" si="55"/>
        <v>50</v>
      </c>
      <c r="R56" s="4">
        <f t="shared" si="41"/>
        <v>4.2355987727635878</v>
      </c>
      <c r="S56" s="348">
        <f t="shared" si="56"/>
        <v>6.2791039373427435E-2</v>
      </c>
      <c r="T56" s="348">
        <f t="shared" si="57"/>
        <v>0.2</v>
      </c>
      <c r="U56" s="348">
        <f t="shared" si="58"/>
        <v>0.26411777775601147</v>
      </c>
      <c r="V56" s="4">
        <f t="shared" si="42"/>
        <v>3.5238894653261208</v>
      </c>
      <c r="W56" s="348">
        <f t="shared" si="10"/>
        <v>1.2417796963836415E-2</v>
      </c>
      <c r="X56" s="348">
        <f t="shared" si="43"/>
        <v>1.2417796963836415E-2</v>
      </c>
      <c r="Y56" s="4">
        <f t="shared" si="44"/>
        <v>1.8102863803539482</v>
      </c>
      <c r="Z56" s="348">
        <f t="shared" si="11"/>
        <v>3.2771367788949997E-3</v>
      </c>
      <c r="AA56" s="525">
        <f t="shared" si="45"/>
        <v>3.2771367788949997E-3</v>
      </c>
      <c r="AB56" s="348">
        <f t="shared" si="46"/>
        <v>2.0772487747991137</v>
      </c>
      <c r="AC56" s="348">
        <f t="shared" si="59"/>
        <v>5.177954966885303E-2</v>
      </c>
      <c r="AD56" s="348">
        <f t="shared" si="60"/>
        <v>0.15545255130710534</v>
      </c>
      <c r="AE56" s="348">
        <f t="shared" si="61"/>
        <v>0</v>
      </c>
      <c r="AF56" s="348">
        <f t="shared" si="62"/>
        <v>1.2506847239879619E-2</v>
      </c>
      <c r="AG56" s="348">
        <f t="shared" si="63"/>
        <v>0.22166722348928622</v>
      </c>
      <c r="AH56" s="348">
        <f t="shared" si="64"/>
        <v>3.6912510740170452</v>
      </c>
      <c r="AI56" s="348">
        <f t="shared" si="65"/>
        <v>5.5863871414871154E-2</v>
      </c>
      <c r="AJ56" s="348">
        <f t="shared" si="66"/>
        <v>2.8167247239879612E-2</v>
      </c>
      <c r="AK56" s="348">
        <f t="shared" si="67"/>
        <v>8.4802365493040016E-2</v>
      </c>
      <c r="AL56" s="348">
        <f t="shared" si="68"/>
        <v>1.5660399999999998E-2</v>
      </c>
      <c r="AM56" s="348">
        <f t="shared" si="69"/>
        <v>0.47141000000000005</v>
      </c>
      <c r="AN56" s="348">
        <f t="shared" si="70"/>
        <v>3.5880593927672823E-2</v>
      </c>
      <c r="AO56" s="348">
        <f t="shared" si="71"/>
        <v>1.1E-4</v>
      </c>
      <c r="AP56" s="348">
        <f t="shared" si="72"/>
        <v>5.6099999999999997E-2</v>
      </c>
      <c r="AQ56" s="348">
        <f t="shared" si="26"/>
        <v>0.52647692307692318</v>
      </c>
      <c r="AR56" s="348">
        <f t="shared" si="73"/>
        <v>0.5048999999999999</v>
      </c>
      <c r="AS56" s="348">
        <f t="shared" si="74"/>
        <v>5.6209999999999996E-2</v>
      </c>
      <c r="AT56" s="348">
        <f t="shared" si="75"/>
        <v>1.1654432944087421</v>
      </c>
      <c r="AU56">
        <f t="shared" si="76"/>
        <v>28.200000000000003</v>
      </c>
      <c r="AV56" s="526">
        <f t="shared" si="47"/>
        <v>0.9603124229140908</v>
      </c>
      <c r="AW56" s="534">
        <f t="shared" si="77"/>
        <v>22.377508586550025</v>
      </c>
      <c r="AX56" s="534">
        <f t="shared" si="78"/>
        <v>9.7829639855667292</v>
      </c>
      <c r="AY56" s="9"/>
      <c r="AZ56" s="4">
        <f t="shared" si="48"/>
        <v>96.031242291409086</v>
      </c>
      <c r="BA56" s="348">
        <f t="shared" si="79"/>
        <v>0.26411777775601147</v>
      </c>
      <c r="BB56" s="348">
        <f t="shared" si="80"/>
        <v>0.77787958898232623</v>
      </c>
      <c r="BC56" s="348">
        <f t="shared" si="81"/>
        <v>0.53279782348928628</v>
      </c>
      <c r="BD56" s="348">
        <f t="shared" si="82"/>
        <v>0.24036766549304003</v>
      </c>
      <c r="BE56" s="348">
        <f t="shared" si="83"/>
        <v>3.5880593927672823E-2</v>
      </c>
      <c r="BK56" s="18"/>
      <c r="BL56" s="19"/>
    </row>
    <row r="57" spans="1:64" x14ac:dyDescent="0.2">
      <c r="A57" s="24" t="s">
        <v>221</v>
      </c>
      <c r="B57" s="15" t="s">
        <v>111</v>
      </c>
      <c r="C57" s="24" t="s">
        <v>76</v>
      </c>
      <c r="D57" s="24" t="s">
        <v>210</v>
      </c>
      <c r="G57">
        <v>48</v>
      </c>
      <c r="H57" s="531">
        <f t="shared" si="49"/>
        <v>50</v>
      </c>
      <c r="I57" s="4">
        <f t="shared" si="50"/>
        <v>1</v>
      </c>
      <c r="J57" s="348">
        <f t="shared" si="84"/>
        <v>2.4</v>
      </c>
      <c r="K57" s="348">
        <f t="shared" si="51"/>
        <v>2.4</v>
      </c>
      <c r="L57" s="4">
        <f t="shared" si="52"/>
        <v>0.6399999999999999</v>
      </c>
      <c r="M57" s="348">
        <f t="shared" si="53"/>
        <v>0.24052891778951799</v>
      </c>
      <c r="N57" s="4">
        <f t="shared" si="54"/>
        <v>12.207421390721811</v>
      </c>
      <c r="O57" s="4">
        <f t="shared" si="39"/>
        <v>8.5037106953609047</v>
      </c>
      <c r="P57" s="4">
        <f t="shared" si="40"/>
        <v>-3.7037106953609054</v>
      </c>
      <c r="Q57" s="4">
        <f t="shared" si="55"/>
        <v>50</v>
      </c>
      <c r="R57" s="4">
        <f t="shared" si="41"/>
        <v>4.2636167844004262</v>
      </c>
      <c r="S57" s="348">
        <f t="shared" si="56"/>
        <v>6.362449829477361E-2</v>
      </c>
      <c r="T57" s="348">
        <f t="shared" si="57"/>
        <v>0.2</v>
      </c>
      <c r="U57" s="348">
        <f t="shared" si="58"/>
        <v>0.26497320125408169</v>
      </c>
      <c r="V57" s="4">
        <f t="shared" si="42"/>
        <v>3.5239790130222168</v>
      </c>
      <c r="W57" s="348">
        <f t="shared" si="10"/>
        <v>1.2418428084221039E-2</v>
      </c>
      <c r="X57" s="348">
        <f t="shared" si="43"/>
        <v>1.2418428084221039E-2</v>
      </c>
      <c r="Y57" s="4">
        <f t="shared" si="44"/>
        <v>1.8222897524688628</v>
      </c>
      <c r="Z57" s="348">
        <f t="shared" si="11"/>
        <v>3.3207399419530295E-3</v>
      </c>
      <c r="AA57" s="525">
        <f t="shared" si="45"/>
        <v>3.3207399419530295E-3</v>
      </c>
      <c r="AB57" s="348">
        <f t="shared" si="46"/>
        <v>2.0910374540433909</v>
      </c>
      <c r="AC57" s="348">
        <f t="shared" si="59"/>
        <v>5.2469251610547198E-2</v>
      </c>
      <c r="AD57" s="348">
        <f t="shared" si="60"/>
        <v>0.15876005239874588</v>
      </c>
      <c r="AE57" s="348">
        <f t="shared" si="61"/>
        <v>0</v>
      </c>
      <c r="AF57" s="348">
        <f t="shared" si="62"/>
        <v>1.2340764036942536E-2</v>
      </c>
      <c r="AG57" s="348">
        <f t="shared" si="63"/>
        <v>0.22555832731990802</v>
      </c>
      <c r="AH57" s="348">
        <f t="shared" si="64"/>
        <v>3.7156413241873558</v>
      </c>
      <c r="AI57" s="348">
        <f t="shared" si="65"/>
        <v>5.6604560845035942E-2</v>
      </c>
      <c r="AJ57" s="348">
        <f t="shared" si="66"/>
        <v>2.833436403694253E-2</v>
      </c>
      <c r="AK57" s="348">
        <f t="shared" si="67"/>
        <v>8.5728936103336678E-2</v>
      </c>
      <c r="AL57" s="348">
        <f t="shared" si="68"/>
        <v>1.5993599999999997E-2</v>
      </c>
      <c r="AM57" s="348">
        <f t="shared" si="69"/>
        <v>0.48143999999999998</v>
      </c>
      <c r="AN57" s="348">
        <f t="shared" si="70"/>
        <v>3.6356856168442066E-2</v>
      </c>
      <c r="AO57" s="348">
        <f t="shared" si="71"/>
        <v>1.1E-4</v>
      </c>
      <c r="AP57" s="348">
        <f t="shared" si="72"/>
        <v>5.6099999999999997E-2</v>
      </c>
      <c r="AQ57" s="348">
        <f t="shared" si="26"/>
        <v>0.52647692307692318</v>
      </c>
      <c r="AR57" s="348">
        <f t="shared" si="73"/>
        <v>0.5048999999999999</v>
      </c>
      <c r="AS57" s="348">
        <f t="shared" si="74"/>
        <v>5.6209999999999996E-2</v>
      </c>
      <c r="AT57" s="348">
        <f t="shared" si="75"/>
        <v>1.1820000888719426</v>
      </c>
      <c r="AU57">
        <f t="shared" si="76"/>
        <v>28.799999999999997</v>
      </c>
      <c r="AV57" s="526">
        <f t="shared" si="47"/>
        <v>0.96057634296016658</v>
      </c>
      <c r="AW57" s="534">
        <f t="shared" si="77"/>
        <v>22.818966547436133</v>
      </c>
      <c r="AX57" s="534">
        <f t="shared" si="78"/>
        <v>9.955388339405804</v>
      </c>
      <c r="AY57" s="9"/>
      <c r="AZ57" s="4">
        <f t="shared" si="48"/>
        <v>96.057634296016658</v>
      </c>
      <c r="BA57" s="348">
        <f t="shared" si="79"/>
        <v>0.26497320125408169</v>
      </c>
      <c r="BB57" s="348">
        <f t="shared" si="80"/>
        <v>0.79272726342324473</v>
      </c>
      <c r="BC57" s="348">
        <f t="shared" si="81"/>
        <v>0.54330872731990798</v>
      </c>
      <c r="BD57" s="348">
        <f t="shared" si="82"/>
        <v>0.24460413610333667</v>
      </c>
      <c r="BE57" s="348">
        <f t="shared" si="83"/>
        <v>3.6356856168442066E-2</v>
      </c>
      <c r="BK57" s="18"/>
      <c r="BL57" s="19"/>
    </row>
    <row r="58" spans="1:64" x14ac:dyDescent="0.2">
      <c r="A58" s="23" t="s">
        <v>192</v>
      </c>
      <c r="B58" s="73">
        <f>VfdSky_Q2</f>
        <v>0</v>
      </c>
      <c r="C58" s="427" t="s">
        <v>0</v>
      </c>
      <c r="D58" s="76" t="s">
        <v>195</v>
      </c>
      <c r="G58">
        <v>49</v>
      </c>
      <c r="H58" s="531">
        <f t="shared" si="49"/>
        <v>50</v>
      </c>
      <c r="I58" s="4">
        <f t="shared" si="50"/>
        <v>1</v>
      </c>
      <c r="J58" s="348">
        <f t="shared" si="84"/>
        <v>2.4500000000000002</v>
      </c>
      <c r="K58" s="348">
        <f t="shared" si="51"/>
        <v>2.4500000000000002</v>
      </c>
      <c r="L58" s="4">
        <f t="shared" si="52"/>
        <v>0.65333333333333343</v>
      </c>
      <c r="M58" s="348">
        <f t="shared" si="53"/>
        <v>0.24053994009668192</v>
      </c>
      <c r="N58" s="4">
        <f t="shared" si="54"/>
        <v>12.20773157680313</v>
      </c>
      <c r="O58" s="4">
        <f t="shared" si="39"/>
        <v>8.5538657884015663</v>
      </c>
      <c r="P58" s="4">
        <f t="shared" si="40"/>
        <v>-3.6538657884015651</v>
      </c>
      <c r="Q58" s="4">
        <f t="shared" si="55"/>
        <v>50</v>
      </c>
      <c r="R58" s="4">
        <f t="shared" si="41"/>
        <v>4.2920343879804079</v>
      </c>
      <c r="S58" s="348">
        <f t="shared" si="56"/>
        <v>6.4475457156622243E-2</v>
      </c>
      <c r="T58" s="348">
        <f t="shared" si="57"/>
        <v>0.2</v>
      </c>
      <c r="U58" s="348">
        <f t="shared" si="58"/>
        <v>0.26584670417946643</v>
      </c>
      <c r="V58" s="4">
        <f t="shared" si="42"/>
        <v>3.5240685560309912</v>
      </c>
      <c r="W58" s="348">
        <f t="shared" si="10"/>
        <v>1.2419059187606357E-2</v>
      </c>
      <c r="X58" s="348">
        <f t="shared" si="43"/>
        <v>1.2419059187606357E-2</v>
      </c>
      <c r="Y58" s="4">
        <f t="shared" si="44"/>
        <v>1.8344642883626372</v>
      </c>
      <c r="Z58" s="348">
        <f t="shared" si="11"/>
        <v>3.365259225277837E-3</v>
      </c>
      <c r="AA58" s="525">
        <f t="shared" si="45"/>
        <v>3.365259225277837E-3</v>
      </c>
      <c r="AB58" s="348">
        <f t="shared" si="46"/>
        <v>2.1050227417950413</v>
      </c>
      <c r="AC58" s="348">
        <f t="shared" si="59"/>
        <v>5.3173448921691756E-2</v>
      </c>
      <c r="AD58" s="348">
        <f t="shared" si="60"/>
        <v>0.16206755349038643</v>
      </c>
      <c r="AE58" s="348">
        <f t="shared" si="61"/>
        <v>0</v>
      </c>
      <c r="AF58" s="348">
        <f t="shared" si="62"/>
        <v>1.2174680806954013E-2</v>
      </c>
      <c r="AG58" s="348">
        <f t="shared" si="63"/>
        <v>0.22946553079746507</v>
      </c>
      <c r="AH58" s="348">
        <f t="shared" si="64"/>
        <v>3.7403794518914846</v>
      </c>
      <c r="AI58" s="348">
        <f t="shared" si="65"/>
        <v>5.7360797620941366E-2</v>
      </c>
      <c r="AJ58" s="348">
        <f t="shared" si="66"/>
        <v>2.8501480806954013E-2</v>
      </c>
      <c r="AK58" s="348">
        <f t="shared" si="67"/>
        <v>8.667164755501329E-2</v>
      </c>
      <c r="AL58" s="348">
        <f t="shared" si="68"/>
        <v>1.6326799999999999E-2</v>
      </c>
      <c r="AM58" s="348">
        <f t="shared" si="69"/>
        <v>0.49147000000000002</v>
      </c>
      <c r="AN58" s="348">
        <f t="shared" si="70"/>
        <v>3.6843118375212709E-2</v>
      </c>
      <c r="AO58" s="348">
        <f t="shared" si="71"/>
        <v>1.1E-4</v>
      </c>
      <c r="AP58" s="348">
        <f t="shared" si="72"/>
        <v>5.6099999999999997E-2</v>
      </c>
      <c r="AQ58" s="348">
        <f t="shared" si="26"/>
        <v>0.52647692307692318</v>
      </c>
      <c r="AR58" s="348">
        <f t="shared" si="73"/>
        <v>0.5048999999999999</v>
      </c>
      <c r="AS58" s="348">
        <f t="shared" si="74"/>
        <v>5.6209999999999996E-2</v>
      </c>
      <c r="AT58" s="348">
        <f t="shared" si="75"/>
        <v>1.1986181193200418</v>
      </c>
      <c r="AU58">
        <f t="shared" si="76"/>
        <v>29.400000000000002</v>
      </c>
      <c r="AV58" s="526">
        <f t="shared" si="47"/>
        <v>0.96082770422356978</v>
      </c>
      <c r="AW58" s="534">
        <f t="shared" si="77"/>
        <v>23.261100693493532</v>
      </c>
      <c r="AX58" s="534">
        <f t="shared" si="78"/>
        <v>10.128469625489043</v>
      </c>
      <c r="AY58" s="9"/>
      <c r="AZ58" s="4">
        <f t="shared" si="48"/>
        <v>96.082770422356973</v>
      </c>
      <c r="BA58" s="348">
        <f t="shared" si="79"/>
        <v>0.26584670417946643</v>
      </c>
      <c r="BB58" s="348">
        <f t="shared" si="80"/>
        <v>0.80760717835247831</v>
      </c>
      <c r="BC58" s="348">
        <f t="shared" si="81"/>
        <v>0.55383573079746506</v>
      </c>
      <c r="BD58" s="348">
        <f t="shared" si="82"/>
        <v>0.2488567475550133</v>
      </c>
      <c r="BE58" s="348">
        <f t="shared" si="83"/>
        <v>3.6843118375212709E-2</v>
      </c>
      <c r="BK58" s="18"/>
      <c r="BL58" s="19"/>
    </row>
    <row r="59" spans="1:64" x14ac:dyDescent="0.2">
      <c r="A59" s="23" t="s">
        <v>193</v>
      </c>
      <c r="B59" s="73">
        <f>QrrSky_Q2*1000000000</f>
        <v>0</v>
      </c>
      <c r="C59" s="427" t="s">
        <v>65</v>
      </c>
      <c r="D59" s="76" t="s">
        <v>196</v>
      </c>
      <c r="G59">
        <v>50</v>
      </c>
      <c r="H59" s="531">
        <f t="shared" si="49"/>
        <v>50</v>
      </c>
      <c r="I59" s="4">
        <f t="shared" si="50"/>
        <v>1</v>
      </c>
      <c r="J59" s="348">
        <f t="shared" si="84"/>
        <v>2.5</v>
      </c>
      <c r="K59" s="348">
        <f t="shared" si="51"/>
        <v>2.5</v>
      </c>
      <c r="L59" s="4">
        <f t="shared" si="52"/>
        <v>0.66666666666666663</v>
      </c>
      <c r="M59" s="348">
        <f t="shared" si="53"/>
        <v>0.2405509625339475</v>
      </c>
      <c r="N59" s="4">
        <f t="shared" si="54"/>
        <v>12.20804174664681</v>
      </c>
      <c r="O59" s="4">
        <f t="shared" si="39"/>
        <v>8.6040208733234049</v>
      </c>
      <c r="P59" s="4">
        <f t="shared" si="40"/>
        <v>-3.6040208733234049</v>
      </c>
      <c r="Q59" s="4">
        <f t="shared" si="55"/>
        <v>50</v>
      </c>
      <c r="R59" s="4">
        <f t="shared" si="41"/>
        <v>4.3208436993241577</v>
      </c>
      <c r="S59" s="348">
        <f t="shared" si="56"/>
        <v>6.5343915958962454E-2</v>
      </c>
      <c r="T59" s="348">
        <f t="shared" si="57"/>
        <v>0.2</v>
      </c>
      <c r="U59" s="348">
        <f t="shared" si="58"/>
        <v>0.26673829393190029</v>
      </c>
      <c r="V59" s="4">
        <f t="shared" si="42"/>
        <v>3.5241580943523627</v>
      </c>
      <c r="W59" s="348">
        <f t="shared" si="10"/>
        <v>1.2419690273989276E-2</v>
      </c>
      <c r="X59" s="348">
        <f t="shared" si="43"/>
        <v>1.2419690273989276E-2</v>
      </c>
      <c r="Y59" s="4">
        <f t="shared" si="44"/>
        <v>1.8468066261895748</v>
      </c>
      <c r="Z59" s="348">
        <f t="shared" si="11"/>
        <v>3.4106947145377199E-3</v>
      </c>
      <c r="AA59" s="525">
        <f t="shared" si="45"/>
        <v>3.4106947145377199E-3</v>
      </c>
      <c r="AB59" s="348">
        <f t="shared" si="46"/>
        <v>2.1192007846400012</v>
      </c>
      <c r="AC59" s="348">
        <f t="shared" si="59"/>
        <v>5.3892143587425563E-2</v>
      </c>
      <c r="AD59" s="348">
        <f t="shared" si="60"/>
        <v>0.16537505458202695</v>
      </c>
      <c r="AE59" s="348">
        <f t="shared" si="61"/>
        <v>0</v>
      </c>
      <c r="AF59" s="348">
        <f t="shared" si="62"/>
        <v>1.2008597549913583E-2</v>
      </c>
      <c r="AG59" s="348">
        <f t="shared" si="63"/>
        <v>0.23338887057552632</v>
      </c>
      <c r="AH59" s="348">
        <f t="shared" si="64"/>
        <v>3.7654585787617521</v>
      </c>
      <c r="AI59" s="348">
        <f t="shared" si="65"/>
        <v>5.8132581064318935E-2</v>
      </c>
      <c r="AJ59" s="348">
        <f t="shared" si="66"/>
        <v>2.866859754991358E-2</v>
      </c>
      <c r="AK59" s="348">
        <f t="shared" si="67"/>
        <v>8.7630512398773286E-2</v>
      </c>
      <c r="AL59" s="348">
        <f t="shared" si="68"/>
        <v>1.6659999999999998E-2</v>
      </c>
      <c r="AM59" s="348">
        <f t="shared" si="69"/>
        <v>0.50149999999999995</v>
      </c>
      <c r="AN59" s="348">
        <f t="shared" si="70"/>
        <v>3.7339380547978543E-2</v>
      </c>
      <c r="AO59" s="348">
        <f t="shared" si="71"/>
        <v>1.1E-4</v>
      </c>
      <c r="AP59" s="348">
        <f t="shared" si="72"/>
        <v>5.6099999999999997E-2</v>
      </c>
      <c r="AQ59" s="348">
        <f t="shared" si="26"/>
        <v>0.52647692307692318</v>
      </c>
      <c r="AR59" s="348">
        <f t="shared" si="73"/>
        <v>0.5048999999999999</v>
      </c>
      <c r="AS59" s="348">
        <f t="shared" si="74"/>
        <v>5.6209999999999996E-2</v>
      </c>
      <c r="AT59" s="348">
        <f t="shared" si="75"/>
        <v>1.2152974424427054</v>
      </c>
      <c r="AU59">
        <f t="shared" si="76"/>
        <v>30</v>
      </c>
      <c r="AV59" s="526">
        <f t="shared" si="47"/>
        <v>0.96106724772738217</v>
      </c>
      <c r="AW59" s="534">
        <f t="shared" si="77"/>
        <v>23.703912564172107</v>
      </c>
      <c r="AX59" s="534">
        <f t="shared" si="78"/>
        <v>10.302208354630073</v>
      </c>
      <c r="AY59" s="9"/>
      <c r="AZ59" s="4">
        <f t="shared" si="48"/>
        <v>96.106724772738218</v>
      </c>
      <c r="BA59" s="348">
        <f t="shared" si="79"/>
        <v>0.26673829393190029</v>
      </c>
      <c r="BB59" s="348">
        <f t="shared" si="80"/>
        <v>0.82251938297429961</v>
      </c>
      <c r="BC59" s="348">
        <f t="shared" si="81"/>
        <v>0.56437887057552638</v>
      </c>
      <c r="BD59" s="348">
        <f t="shared" si="82"/>
        <v>0.25312551239877329</v>
      </c>
      <c r="BE59" s="348">
        <f t="shared" si="83"/>
        <v>3.7339380547978543E-2</v>
      </c>
      <c r="BK59" s="18"/>
      <c r="BL59" s="19"/>
    </row>
    <row r="60" spans="1:64" x14ac:dyDescent="0.2">
      <c r="A60" s="23" t="s">
        <v>194</v>
      </c>
      <c r="B60" s="73">
        <f>Ireverse</f>
        <v>0</v>
      </c>
      <c r="C60" s="427" t="s">
        <v>64</v>
      </c>
      <c r="D60" s="76" t="s">
        <v>197</v>
      </c>
      <c r="E60" s="2"/>
      <c r="G60">
        <v>51</v>
      </c>
      <c r="H60" s="531">
        <f t="shared" si="49"/>
        <v>50</v>
      </c>
      <c r="I60" s="4">
        <f t="shared" si="50"/>
        <v>1</v>
      </c>
      <c r="J60" s="348">
        <f t="shared" si="84"/>
        <v>2.5499999999999998</v>
      </c>
      <c r="K60" s="348">
        <f t="shared" si="51"/>
        <v>2.5499999999999998</v>
      </c>
      <c r="L60" s="4">
        <f t="shared" si="52"/>
        <v>0.67999999999999994</v>
      </c>
      <c r="M60" s="348">
        <f t="shared" si="53"/>
        <v>0.24056198510131699</v>
      </c>
      <c r="N60" s="4">
        <f t="shared" si="54"/>
        <v>12.208351900252563</v>
      </c>
      <c r="O60" s="4">
        <f t="shared" si="39"/>
        <v>8.6541759501262803</v>
      </c>
      <c r="P60" s="4">
        <f t="shared" si="40"/>
        <v>-3.5541759501262815</v>
      </c>
      <c r="Q60" s="4">
        <f t="shared" si="55"/>
        <v>50</v>
      </c>
      <c r="R60" s="4">
        <f t="shared" si="41"/>
        <v>4.3500369358623496</v>
      </c>
      <c r="S60" s="348">
        <f t="shared" si="56"/>
        <v>6.6229874701783445E-2</v>
      </c>
      <c r="T60" s="348">
        <f t="shared" si="57"/>
        <v>0.2</v>
      </c>
      <c r="U60" s="348">
        <f t="shared" si="58"/>
        <v>0.26764797806590268</v>
      </c>
      <c r="V60" s="4">
        <f t="shared" si="42"/>
        <v>3.5242476279862482</v>
      </c>
      <c r="W60" s="348">
        <f t="shared" si="10"/>
        <v>1.2420321343366696E-2</v>
      </c>
      <c r="X60" s="348">
        <f t="shared" si="43"/>
        <v>1.2420321343366696E-2</v>
      </c>
      <c r="Y60" s="4">
        <f t="shared" si="44"/>
        <v>1.8593134473228836</v>
      </c>
      <c r="Z60" s="348">
        <f t="shared" si="11"/>
        <v>3.4570464953957054E-3</v>
      </c>
      <c r="AA60" s="525">
        <f t="shared" si="45"/>
        <v>3.4570464953957054E-3</v>
      </c>
      <c r="AB60" s="348">
        <f t="shared" si="46"/>
        <v>2.1335677786463365</v>
      </c>
      <c r="AC60" s="348">
        <f t="shared" si="59"/>
        <v>5.462533759293435E-2</v>
      </c>
      <c r="AD60" s="348">
        <f t="shared" si="60"/>
        <v>0.16868255567366747</v>
      </c>
      <c r="AE60" s="348">
        <f t="shared" si="61"/>
        <v>0</v>
      </c>
      <c r="AF60" s="348">
        <f t="shared" si="62"/>
        <v>1.1842514265820768E-2</v>
      </c>
      <c r="AG60" s="348">
        <f t="shared" si="63"/>
        <v>0.23732838356865693</v>
      </c>
      <c r="AH60" s="348">
        <f t="shared" si="64"/>
        <v>3.7908719151784638</v>
      </c>
      <c r="AI60" s="348">
        <f t="shared" si="65"/>
        <v>5.8919910496884206E-2</v>
      </c>
      <c r="AJ60" s="348">
        <f t="shared" si="66"/>
        <v>2.883571426582076E-2</v>
      </c>
      <c r="AK60" s="348">
        <f t="shared" si="67"/>
        <v>8.8605543438865328E-2</v>
      </c>
      <c r="AL60" s="348">
        <f t="shared" si="68"/>
        <v>1.6993199999999997E-2</v>
      </c>
      <c r="AM60" s="348">
        <f t="shared" si="69"/>
        <v>0.51152999999999993</v>
      </c>
      <c r="AN60" s="348">
        <f t="shared" si="70"/>
        <v>3.7845642686733398E-2</v>
      </c>
      <c r="AO60" s="348">
        <f t="shared" si="71"/>
        <v>1.1E-4</v>
      </c>
      <c r="AP60" s="348">
        <f t="shared" si="72"/>
        <v>5.6099999999999997E-2</v>
      </c>
      <c r="AQ60" s="348">
        <f t="shared" si="26"/>
        <v>0.52647692307692318</v>
      </c>
      <c r="AR60" s="348">
        <f t="shared" si="73"/>
        <v>0.5048999999999999</v>
      </c>
      <c r="AS60" s="348">
        <f t="shared" si="74"/>
        <v>5.6209999999999996E-2</v>
      </c>
      <c r="AT60" s="348">
        <f t="shared" si="75"/>
        <v>1.2320381155989206</v>
      </c>
      <c r="AU60">
        <f t="shared" si="76"/>
        <v>30.599999999999998</v>
      </c>
      <c r="AV60" s="526">
        <f t="shared" si="47"/>
        <v>0.96129565718900112</v>
      </c>
      <c r="AW60" s="534">
        <f t="shared" si="77"/>
        <v>24.147403709883591</v>
      </c>
      <c r="AX60" s="534">
        <f t="shared" si="78"/>
        <v>10.476605047961819</v>
      </c>
      <c r="AY60" s="9"/>
      <c r="AZ60" s="4">
        <f t="shared" si="48"/>
        <v>96.12956571890011</v>
      </c>
      <c r="BA60" s="348">
        <f t="shared" si="79"/>
        <v>0.26764797806590268</v>
      </c>
      <c r="BB60" s="348">
        <f t="shared" si="80"/>
        <v>0.83746392700752215</v>
      </c>
      <c r="BC60" s="348">
        <f t="shared" si="81"/>
        <v>0.57493818356865689</v>
      </c>
      <c r="BD60" s="348">
        <f t="shared" si="82"/>
        <v>0.25741044343886532</v>
      </c>
      <c r="BE60" s="348">
        <f t="shared" si="83"/>
        <v>3.7845642686733398E-2</v>
      </c>
      <c r="BK60" s="18"/>
      <c r="BL60" s="19"/>
    </row>
    <row r="61" spans="1:64" x14ac:dyDescent="0.2">
      <c r="A61" s="24" t="s">
        <v>117</v>
      </c>
      <c r="B61" s="15" t="s">
        <v>111</v>
      </c>
      <c r="C61" s="24" t="s">
        <v>76</v>
      </c>
      <c r="D61" s="24" t="s">
        <v>210</v>
      </c>
      <c r="G61">
        <v>52</v>
      </c>
      <c r="H61" s="531">
        <f t="shared" si="49"/>
        <v>50</v>
      </c>
      <c r="I61" s="4">
        <f t="shared" si="50"/>
        <v>1</v>
      </c>
      <c r="J61" s="348">
        <f t="shared" si="84"/>
        <v>2.6</v>
      </c>
      <c r="K61" s="348">
        <f t="shared" si="51"/>
        <v>2.6</v>
      </c>
      <c r="L61" s="4">
        <f t="shared" si="52"/>
        <v>0.69333333333333336</v>
      </c>
      <c r="M61" s="348">
        <f t="shared" si="53"/>
        <v>0.24057300779879268</v>
      </c>
      <c r="N61" s="4">
        <f t="shared" si="54"/>
        <v>12.208662037620092</v>
      </c>
      <c r="O61" s="4">
        <f t="shared" si="39"/>
        <v>8.7043310188100467</v>
      </c>
      <c r="P61" s="4">
        <f t="shared" si="40"/>
        <v>-3.5043310188100461</v>
      </c>
      <c r="Q61" s="4">
        <f t="shared" si="55"/>
        <v>50</v>
      </c>
      <c r="R61" s="4">
        <f t="shared" si="41"/>
        <v>4.3796064201861222</v>
      </c>
      <c r="S61" s="348">
        <f t="shared" si="56"/>
        <v>6.7133333385074254E-2</v>
      </c>
      <c r="T61" s="348">
        <f t="shared" si="57"/>
        <v>0.2</v>
      </c>
      <c r="U61" s="348">
        <f t="shared" si="58"/>
        <v>0.26857576429093788</v>
      </c>
      <c r="V61" s="4">
        <f t="shared" si="42"/>
        <v>3.524337156932563</v>
      </c>
      <c r="W61" s="348">
        <f t="shared" si="10"/>
        <v>1.2420952395735501E-2</v>
      </c>
      <c r="X61" s="348">
        <f t="shared" si="43"/>
        <v>1.2420952395735501E-2</v>
      </c>
      <c r="Y61" s="4">
        <f t="shared" si="44"/>
        <v>1.8719814778756603</v>
      </c>
      <c r="Z61" s="348">
        <f t="shared" si="11"/>
        <v>3.5043146535095413E-3</v>
      </c>
      <c r="AA61" s="525">
        <f t="shared" si="45"/>
        <v>3.5043146535095413E-3</v>
      </c>
      <c r="AB61" s="348">
        <f t="shared" si="46"/>
        <v>2.1481199711113779</v>
      </c>
      <c r="AC61" s="348">
        <f t="shared" si="59"/>
        <v>5.5373032923450562E-2</v>
      </c>
      <c r="AD61" s="348">
        <f t="shared" si="60"/>
        <v>0.17199005676530801</v>
      </c>
      <c r="AE61" s="348">
        <f t="shared" si="61"/>
        <v>0</v>
      </c>
      <c r="AF61" s="348">
        <f t="shared" si="62"/>
        <v>1.1676430954675075E-2</v>
      </c>
      <c r="AG61" s="348">
        <f t="shared" si="63"/>
        <v>0.24128410695353858</v>
      </c>
      <c r="AH61" s="348">
        <f t="shared" si="64"/>
        <v>3.8166127633607205</v>
      </c>
      <c r="AI61" s="348">
        <f t="shared" si="65"/>
        <v>5.9722785240336605E-2</v>
      </c>
      <c r="AJ61" s="348">
        <f t="shared" si="66"/>
        <v>2.9002830954675072E-2</v>
      </c>
      <c r="AK61" s="348">
        <f t="shared" si="67"/>
        <v>8.9596753733553414E-2</v>
      </c>
      <c r="AL61" s="348">
        <f t="shared" si="68"/>
        <v>1.7326399999999999E-2</v>
      </c>
      <c r="AM61" s="348">
        <f t="shared" si="69"/>
        <v>0.52156000000000002</v>
      </c>
      <c r="AN61" s="348">
        <f t="shared" si="70"/>
        <v>3.8361904791471002E-2</v>
      </c>
      <c r="AO61" s="348">
        <f t="shared" si="71"/>
        <v>1.1E-4</v>
      </c>
      <c r="AP61" s="348">
        <f t="shared" si="72"/>
        <v>5.6099999999999997E-2</v>
      </c>
      <c r="AQ61" s="348">
        <f t="shared" si="26"/>
        <v>0.52647692307692318</v>
      </c>
      <c r="AR61" s="348">
        <f t="shared" si="73"/>
        <v>0.5048999999999999</v>
      </c>
      <c r="AS61" s="348">
        <f t="shared" si="74"/>
        <v>5.6209999999999996E-2</v>
      </c>
      <c r="AT61" s="348">
        <f t="shared" si="75"/>
        <v>1.2488401968187459</v>
      </c>
      <c r="AU61">
        <f t="shared" si="76"/>
        <v>31.200000000000003</v>
      </c>
      <c r="AV61" s="526">
        <f t="shared" si="47"/>
        <v>0.96151356445272329</v>
      </c>
      <c r="AW61" s="534">
        <f t="shared" si="77"/>
        <v>24.591575692048618</v>
      </c>
      <c r="AX61" s="534">
        <f t="shared" si="78"/>
        <v>10.651660236955625</v>
      </c>
      <c r="AY61" s="9"/>
      <c r="AZ61" s="4">
        <f t="shared" si="48"/>
        <v>96.151356445272327</v>
      </c>
      <c r="BA61" s="348">
        <f t="shared" si="79"/>
        <v>0.26857576429093788</v>
      </c>
      <c r="BB61" s="348">
        <f t="shared" si="80"/>
        <v>0.85244086068709202</v>
      </c>
      <c r="BC61" s="348">
        <f t="shared" si="81"/>
        <v>0.58551370695353855</v>
      </c>
      <c r="BD61" s="348">
        <f t="shared" si="82"/>
        <v>0.26171155373355343</v>
      </c>
      <c r="BE61" s="348">
        <f t="shared" si="83"/>
        <v>3.8361904791471002E-2</v>
      </c>
      <c r="BK61" s="18"/>
      <c r="BL61" s="19"/>
    </row>
    <row r="62" spans="1:64" ht="15.75" x14ac:dyDescent="0.3">
      <c r="A62" s="433" t="s">
        <v>454</v>
      </c>
      <c r="B62" s="74">
        <v>30</v>
      </c>
      <c r="C62" s="428" t="s">
        <v>202</v>
      </c>
      <c r="D62" s="76" t="s">
        <v>103</v>
      </c>
      <c r="G62">
        <v>53</v>
      </c>
      <c r="H62" s="531">
        <f t="shared" si="49"/>
        <v>50</v>
      </c>
      <c r="I62" s="4">
        <f t="shared" si="50"/>
        <v>1</v>
      </c>
      <c r="J62" s="348">
        <f t="shared" si="84"/>
        <v>2.65</v>
      </c>
      <c r="K62" s="348">
        <f t="shared" si="51"/>
        <v>2.65</v>
      </c>
      <c r="L62" s="4">
        <f t="shared" si="52"/>
        <v>0.70666666666666655</v>
      </c>
      <c r="M62" s="348">
        <f t="shared" si="53"/>
        <v>0.24058403062637687</v>
      </c>
      <c r="N62" s="4">
        <f t="shared" si="54"/>
        <v>12.208972158749122</v>
      </c>
      <c r="O62" s="4">
        <f t="shared" si="39"/>
        <v>8.7544860793745602</v>
      </c>
      <c r="P62" s="4">
        <f t="shared" si="40"/>
        <v>-3.4544860793745609</v>
      </c>
      <c r="Q62" s="4">
        <f t="shared" si="55"/>
        <v>50</v>
      </c>
      <c r="R62" s="4">
        <f t="shared" si="41"/>
        <v>4.4095445831845943</v>
      </c>
      <c r="S62" s="348">
        <f t="shared" si="56"/>
        <v>6.8054292008824097E-2</v>
      </c>
      <c r="T62" s="348">
        <f t="shared" si="57"/>
        <v>0.2</v>
      </c>
      <c r="U62" s="348">
        <f t="shared" si="58"/>
        <v>0.26952166047157899</v>
      </c>
      <c r="V62" s="4">
        <f t="shared" si="42"/>
        <v>3.5244266811912262</v>
      </c>
      <c r="W62" s="348">
        <f t="shared" si="10"/>
        <v>1.2421583431092603E-2</v>
      </c>
      <c r="X62" s="348">
        <f t="shared" si="43"/>
        <v>1.2421583431092603E-2</v>
      </c>
      <c r="Y62" s="4">
        <f t="shared" si="44"/>
        <v>1.8848074900455247</v>
      </c>
      <c r="Z62" s="348">
        <f t="shared" si="11"/>
        <v>3.5524992745317109E-3</v>
      </c>
      <c r="AA62" s="525">
        <f t="shared" si="45"/>
        <v>3.5524992745317109E-3</v>
      </c>
      <c r="AB62" s="348">
        <f t="shared" si="46"/>
        <v>2.1628536621065719</v>
      </c>
      <c r="AC62" s="348">
        <f t="shared" si="59"/>
        <v>5.6135231564253714E-2</v>
      </c>
      <c r="AD62" s="348">
        <f t="shared" si="60"/>
        <v>0.17529755785694856</v>
      </c>
      <c r="AE62" s="348">
        <f t="shared" si="61"/>
        <v>0</v>
      </c>
      <c r="AF62" s="348">
        <f t="shared" si="62"/>
        <v>1.1510347616476038E-2</v>
      </c>
      <c r="AG62" s="348">
        <f t="shared" si="63"/>
        <v>0.24525607817010239</v>
      </c>
      <c r="AH62" s="348">
        <f t="shared" si="64"/>
        <v>3.8426745200972707</v>
      </c>
      <c r="AI62" s="348">
        <f t="shared" si="65"/>
        <v>6.0541204616359631E-2</v>
      </c>
      <c r="AJ62" s="348">
        <f t="shared" si="66"/>
        <v>2.9169947616476032E-2</v>
      </c>
      <c r="AK62" s="348">
        <f t="shared" si="67"/>
        <v>9.0604156595597063E-2</v>
      </c>
      <c r="AL62" s="348">
        <f t="shared" si="68"/>
        <v>1.7659599999999998E-2</v>
      </c>
      <c r="AM62" s="348">
        <f t="shared" si="69"/>
        <v>0.53159000000000001</v>
      </c>
      <c r="AN62" s="348">
        <f t="shared" si="70"/>
        <v>3.8888166862185193E-2</v>
      </c>
      <c r="AO62" s="348">
        <f t="shared" si="71"/>
        <v>1.1E-4</v>
      </c>
      <c r="AP62" s="348">
        <f t="shared" si="72"/>
        <v>5.6099999999999997E-2</v>
      </c>
      <c r="AQ62" s="348">
        <f t="shared" si="26"/>
        <v>0.52647692307692318</v>
      </c>
      <c r="AR62" s="348">
        <f t="shared" si="73"/>
        <v>0.5048999999999999</v>
      </c>
      <c r="AS62" s="348">
        <f t="shared" si="74"/>
        <v>5.6209999999999996E-2</v>
      </c>
      <c r="AT62" s="348">
        <f t="shared" si="75"/>
        <v>1.2657037448050881</v>
      </c>
      <c r="AU62">
        <f t="shared" si="76"/>
        <v>31.799999999999997</v>
      </c>
      <c r="AV62" s="526">
        <f t="shared" si="47"/>
        <v>0.96172155431580852</v>
      </c>
      <c r="AW62" s="534">
        <f t="shared" si="77"/>
        <v>25.0364300831443</v>
      </c>
      <c r="AX62" s="534">
        <f t="shared" si="78"/>
        <v>10.827374463440801</v>
      </c>
      <c r="AY62" s="9"/>
      <c r="AZ62" s="4">
        <f t="shared" si="48"/>
        <v>96.172155431580848</v>
      </c>
      <c r="BA62" s="348">
        <f t="shared" si="79"/>
        <v>0.26952166047157899</v>
      </c>
      <c r="BB62" s="348">
        <f t="shared" si="80"/>
        <v>0.86745023476569949</v>
      </c>
      <c r="BC62" s="348">
        <f t="shared" si="81"/>
        <v>0.5961054781701024</v>
      </c>
      <c r="BD62" s="348">
        <f t="shared" si="82"/>
        <v>0.26602885659559705</v>
      </c>
      <c r="BE62" s="348">
        <f t="shared" si="83"/>
        <v>3.8888166862185193E-2</v>
      </c>
      <c r="BK62" s="18"/>
      <c r="BL62" s="19"/>
    </row>
    <row r="63" spans="1:64" x14ac:dyDescent="0.2">
      <c r="A63" s="23" t="s">
        <v>118</v>
      </c>
      <c r="B63" s="74">
        <v>2</v>
      </c>
      <c r="C63" s="428" t="s">
        <v>202</v>
      </c>
      <c r="D63" s="21" t="s">
        <v>103</v>
      </c>
      <c r="G63">
        <v>54</v>
      </c>
      <c r="H63" s="531">
        <f t="shared" si="49"/>
        <v>50</v>
      </c>
      <c r="I63" s="4">
        <f t="shared" si="50"/>
        <v>1</v>
      </c>
      <c r="J63" s="348">
        <f t="shared" si="84"/>
        <v>2.7</v>
      </c>
      <c r="K63" s="348">
        <f t="shared" si="51"/>
        <v>2.7</v>
      </c>
      <c r="L63" s="4">
        <f t="shared" si="52"/>
        <v>0.72000000000000008</v>
      </c>
      <c r="M63" s="348">
        <f t="shared" si="53"/>
        <v>0.24059505358407185</v>
      </c>
      <c r="N63" s="4">
        <f t="shared" si="54"/>
        <v>12.209282263639354</v>
      </c>
      <c r="O63" s="4">
        <f t="shared" si="39"/>
        <v>8.8046411318196771</v>
      </c>
      <c r="P63" s="4">
        <f t="shared" si="40"/>
        <v>-3.4046411318196768</v>
      </c>
      <c r="Q63" s="4">
        <f t="shared" si="55"/>
        <v>50</v>
      </c>
      <c r="R63" s="4">
        <f t="shared" si="41"/>
        <v>4.4398439667892466</v>
      </c>
      <c r="S63" s="348">
        <f t="shared" si="56"/>
        <v>6.8992750573022066E-2</v>
      </c>
      <c r="T63" s="348">
        <f t="shared" si="57"/>
        <v>0.2</v>
      </c>
      <c r="U63" s="348">
        <f t="shared" si="58"/>
        <v>0.27048567462767509</v>
      </c>
      <c r="V63" s="4">
        <f t="shared" si="42"/>
        <v>3.5245162007621524</v>
      </c>
      <c r="W63" s="348">
        <f t="shared" si="10"/>
        <v>1.2422214449434877E-2</v>
      </c>
      <c r="X63" s="348">
        <f t="shared" si="43"/>
        <v>1.2422214449434877E-2</v>
      </c>
      <c r="Y63" s="4">
        <f t="shared" si="44"/>
        <v>1.8977883032913392</v>
      </c>
      <c r="Z63" s="348">
        <f t="shared" si="11"/>
        <v>3.6016004441094198E-3</v>
      </c>
      <c r="AA63" s="525">
        <f t="shared" si="45"/>
        <v>3.6016004441094198E-3</v>
      </c>
      <c r="AB63" s="348">
        <f t="shared" si="46"/>
        <v>2.1777652058297052</v>
      </c>
      <c r="AC63" s="348">
        <f t="shared" si="59"/>
        <v>5.6911935500669981E-2</v>
      </c>
      <c r="AD63" s="348">
        <f t="shared" si="60"/>
        <v>0.17860505894858911</v>
      </c>
      <c r="AE63" s="348">
        <f t="shared" si="61"/>
        <v>0</v>
      </c>
      <c r="AF63" s="348">
        <f t="shared" si="62"/>
        <v>1.1344264251223162E-2</v>
      </c>
      <c r="AG63" s="348">
        <f t="shared" si="63"/>
        <v>0.24924433492267067</v>
      </c>
      <c r="AH63" s="348">
        <f t="shared" si="64"/>
        <v>3.8690506791346602</v>
      </c>
      <c r="AI63" s="348">
        <f t="shared" si="65"/>
        <v>6.1375167946620728E-2</v>
      </c>
      <c r="AJ63" s="348">
        <f t="shared" si="66"/>
        <v>2.933706425122316E-2</v>
      </c>
      <c r="AK63" s="348">
        <f t="shared" si="67"/>
        <v>9.1627765592741495E-2</v>
      </c>
      <c r="AL63" s="348">
        <f t="shared" si="68"/>
        <v>1.79928E-2</v>
      </c>
      <c r="AM63" s="348">
        <f t="shared" si="69"/>
        <v>0.54161999999999999</v>
      </c>
      <c r="AN63" s="348">
        <f t="shared" si="70"/>
        <v>3.9424428898869747E-2</v>
      </c>
      <c r="AO63" s="348">
        <f t="shared" si="71"/>
        <v>1.1E-4</v>
      </c>
      <c r="AP63" s="348">
        <f t="shared" si="72"/>
        <v>5.6099999999999997E-2</v>
      </c>
      <c r="AQ63" s="348">
        <f t="shared" si="26"/>
        <v>0.52647692307692318</v>
      </c>
      <c r="AR63" s="348">
        <f t="shared" si="73"/>
        <v>0.5048999999999999</v>
      </c>
      <c r="AS63" s="348">
        <f t="shared" si="74"/>
        <v>5.6209999999999996E-2</v>
      </c>
      <c r="AT63" s="348">
        <f t="shared" si="75"/>
        <v>1.2826288189355013</v>
      </c>
      <c r="AU63">
        <f t="shared" si="76"/>
        <v>32.400000000000006</v>
      </c>
      <c r="AV63" s="526">
        <f t="shared" si="47"/>
        <v>0.96192016882558651</v>
      </c>
      <c r="AW63" s="534">
        <f t="shared" si="77"/>
        <v>25.481968466752168</v>
      </c>
      <c r="AX63" s="534">
        <f t="shared" si="78"/>
        <v>11.003748279624581</v>
      </c>
      <c r="AY63" s="9"/>
      <c r="AZ63" s="4">
        <f t="shared" si="48"/>
        <v>96.192016882558647</v>
      </c>
      <c r="BA63" s="348">
        <f t="shared" si="79"/>
        <v>0.27048567462767509</v>
      </c>
      <c r="BB63" s="348">
        <f t="shared" si="80"/>
        <v>0.88249210051541216</v>
      </c>
      <c r="BC63" s="348">
        <f t="shared" si="81"/>
        <v>0.60671353492267066</v>
      </c>
      <c r="BD63" s="348">
        <f t="shared" si="82"/>
        <v>0.27036236559274152</v>
      </c>
      <c r="BE63" s="348">
        <f t="shared" si="83"/>
        <v>3.9424428898869747E-2</v>
      </c>
      <c r="BK63" s="18"/>
      <c r="BL63" s="19"/>
    </row>
    <row r="64" spans="1:64" x14ac:dyDescent="0.2">
      <c r="A64" s="75"/>
      <c r="B64" s="30"/>
      <c r="G64">
        <v>55</v>
      </c>
      <c r="H64" s="531">
        <f t="shared" si="49"/>
        <v>50</v>
      </c>
      <c r="I64" s="4">
        <f t="shared" si="50"/>
        <v>1</v>
      </c>
      <c r="J64" s="348">
        <f t="shared" si="84"/>
        <v>2.75</v>
      </c>
      <c r="K64" s="348">
        <f t="shared" si="51"/>
        <v>2.75</v>
      </c>
      <c r="L64" s="4">
        <f t="shared" si="52"/>
        <v>0.73333333333333328</v>
      </c>
      <c r="M64" s="348">
        <f t="shared" si="53"/>
        <v>0.24060607667188003</v>
      </c>
      <c r="N64" s="4">
        <f t="shared" si="54"/>
        <v>12.20959235229051</v>
      </c>
      <c r="O64" s="4">
        <f t="shared" si="39"/>
        <v>8.8547961761452552</v>
      </c>
      <c r="P64" s="4">
        <f t="shared" si="40"/>
        <v>-3.3547961761452552</v>
      </c>
      <c r="Q64" s="4">
        <f t="shared" si="55"/>
        <v>50</v>
      </c>
      <c r="R64" s="4">
        <f t="shared" si="41"/>
        <v>4.4704972263451008</v>
      </c>
      <c r="S64" s="348">
        <f t="shared" si="56"/>
        <v>6.9948709077657337E-2</v>
      </c>
      <c r="T64" s="348">
        <f t="shared" si="57"/>
        <v>0.2</v>
      </c>
      <c r="U64" s="348">
        <f t="shared" si="58"/>
        <v>0.27146781493452155</v>
      </c>
      <c r="V64" s="4">
        <f t="shared" si="42"/>
        <v>3.5246057156452615</v>
      </c>
      <c r="W64" s="348">
        <f t="shared" si="10"/>
        <v>1.2422845450759246E-2</v>
      </c>
      <c r="X64" s="348">
        <f t="shared" si="43"/>
        <v>1.2422845450759246E-2</v>
      </c>
      <c r="Y64" s="4">
        <f t="shared" si="44"/>
        <v>1.9109207853505097</v>
      </c>
      <c r="Z64" s="348">
        <f t="shared" si="11"/>
        <v>3.6516182478846088E-3</v>
      </c>
      <c r="AA64" s="525">
        <f t="shared" si="45"/>
        <v>3.6516182478846088E-3</v>
      </c>
      <c r="AB64" s="348">
        <f t="shared" si="46"/>
        <v>2.1928510117742577</v>
      </c>
      <c r="AC64" s="348">
        <f t="shared" si="59"/>
        <v>5.7703146718072633E-2</v>
      </c>
      <c r="AD64" s="348">
        <f t="shared" si="60"/>
        <v>0.18191256004022965</v>
      </c>
      <c r="AE64" s="348">
        <f t="shared" si="61"/>
        <v>0</v>
      </c>
      <c r="AF64" s="348">
        <f t="shared" si="62"/>
        <v>1.117818085891599E-2</v>
      </c>
      <c r="AG64" s="348">
        <f t="shared" si="63"/>
        <v>0.25324891518111153</v>
      </c>
      <c r="AH64" s="348">
        <f t="shared" si="64"/>
        <v>3.8957348332400463</v>
      </c>
      <c r="AI64" s="348">
        <f t="shared" si="65"/>
        <v>6.2224674552771378E-2</v>
      </c>
      <c r="AJ64" s="348">
        <f t="shared" si="66"/>
        <v>2.9504180858915985E-2</v>
      </c>
      <c r="AK64" s="348">
        <f t="shared" si="67"/>
        <v>9.2667594548218116E-2</v>
      </c>
      <c r="AL64" s="348">
        <f t="shared" si="68"/>
        <v>1.8325999999999999E-2</v>
      </c>
      <c r="AM64" s="348">
        <f t="shared" si="69"/>
        <v>0.55164999999999997</v>
      </c>
      <c r="AN64" s="348">
        <f t="shared" si="70"/>
        <v>3.9970690901518481E-2</v>
      </c>
      <c r="AO64" s="348">
        <f t="shared" si="71"/>
        <v>1.1E-4</v>
      </c>
      <c r="AP64" s="348">
        <f t="shared" si="72"/>
        <v>5.6099999999999997E-2</v>
      </c>
      <c r="AQ64" s="348">
        <f t="shared" si="26"/>
        <v>0.52647692307692318</v>
      </c>
      <c r="AR64" s="348">
        <f t="shared" si="73"/>
        <v>0.5048999999999999</v>
      </c>
      <c r="AS64" s="348">
        <f t="shared" si="74"/>
        <v>5.6209999999999996E-2</v>
      </c>
      <c r="AT64" s="348">
        <f t="shared" si="75"/>
        <v>1.2996154792640136</v>
      </c>
      <c r="AU64">
        <f t="shared" si="76"/>
        <v>33</v>
      </c>
      <c r="AV64" s="526">
        <f t="shared" si="47"/>
        <v>0.96210991111402688</v>
      </c>
      <c r="AW64" s="534">
        <f t="shared" si="77"/>
        <v>25.928192437606686</v>
      </c>
      <c r="AX64" s="534">
        <f t="shared" si="78"/>
        <v>11.180782248112477</v>
      </c>
      <c r="AY64" s="9"/>
      <c r="AZ64" s="4">
        <f t="shared" si="48"/>
        <v>96.210991111402691</v>
      </c>
      <c r="BA64" s="348">
        <f t="shared" si="79"/>
        <v>0.27146781493452155</v>
      </c>
      <c r="BB64" s="348">
        <f t="shared" si="80"/>
        <v>0.89756650972932961</v>
      </c>
      <c r="BC64" s="348">
        <f t="shared" si="81"/>
        <v>0.61733791518111159</v>
      </c>
      <c r="BD64" s="348">
        <f t="shared" si="82"/>
        <v>0.2747120945482181</v>
      </c>
      <c r="BE64" s="348">
        <f t="shared" si="83"/>
        <v>3.9970690901518481E-2</v>
      </c>
      <c r="BK64" s="18"/>
      <c r="BL64" s="19"/>
    </row>
    <row r="65" spans="1:64" x14ac:dyDescent="0.2">
      <c r="G65">
        <v>56</v>
      </c>
      <c r="H65" s="531">
        <f t="shared" si="49"/>
        <v>50</v>
      </c>
      <c r="I65" s="4">
        <f t="shared" si="50"/>
        <v>1</v>
      </c>
      <c r="J65" s="348">
        <f t="shared" si="84"/>
        <v>2.8</v>
      </c>
      <c r="K65" s="348">
        <f t="shared" si="51"/>
        <v>2.8</v>
      </c>
      <c r="L65" s="4">
        <f t="shared" si="52"/>
        <v>0.74666666666666659</v>
      </c>
      <c r="M65" s="348">
        <f t="shared" si="53"/>
        <v>0.24061709988980359</v>
      </c>
      <c r="N65" s="4">
        <f t="shared" si="54"/>
        <v>12.2099024247023</v>
      </c>
      <c r="O65" s="4">
        <f t="shared" si="39"/>
        <v>8.9049512123511505</v>
      </c>
      <c r="P65" s="4">
        <f t="shared" si="40"/>
        <v>-3.30495121235115</v>
      </c>
      <c r="Q65" s="4">
        <f t="shared" si="55"/>
        <v>50</v>
      </c>
      <c r="R65" s="4">
        <f t="shared" si="41"/>
        <v>4.501497132628498</v>
      </c>
      <c r="S65" s="348">
        <f t="shared" si="56"/>
        <v>7.0922167522719071E-2</v>
      </c>
      <c r="T65" s="348">
        <f t="shared" si="57"/>
        <v>0.2</v>
      </c>
      <c r="U65" s="348">
        <f t="shared" si="58"/>
        <v>0.27246808972303366</v>
      </c>
      <c r="V65" s="4">
        <f t="shared" si="42"/>
        <v>3.5246952258404689</v>
      </c>
      <c r="W65" s="348">
        <f t="shared" si="10"/>
        <v>1.2423476435062595E-2</v>
      </c>
      <c r="X65" s="348">
        <f t="shared" si="43"/>
        <v>1.2423476435062595E-2</v>
      </c>
      <c r="Y65" s="4">
        <f t="shared" si="44"/>
        <v>1.9242018531053169</v>
      </c>
      <c r="Z65" s="348">
        <f t="shared" si="11"/>
        <v>3.7025527714939356E-3</v>
      </c>
      <c r="AA65" s="525">
        <f t="shared" si="45"/>
        <v>3.7025527714939356E-3</v>
      </c>
      <c r="AB65" s="348">
        <f t="shared" si="46"/>
        <v>2.2081075457255555</v>
      </c>
      <c r="AC65" s="348">
        <f t="shared" si="59"/>
        <v>5.8508867201881636E-2</v>
      </c>
      <c r="AD65" s="348">
        <f t="shared" si="60"/>
        <v>0.18522006113187017</v>
      </c>
      <c r="AE65" s="348">
        <f t="shared" si="61"/>
        <v>0</v>
      </c>
      <c r="AF65" s="348">
        <f t="shared" si="62"/>
        <v>1.1012097439554029E-2</v>
      </c>
      <c r="AG65" s="348">
        <f t="shared" si="63"/>
        <v>0.25726985718200251</v>
      </c>
      <c r="AH65" s="348">
        <f t="shared" si="64"/>
        <v>3.9227206759559685</v>
      </c>
      <c r="AI65" s="348">
        <f t="shared" si="65"/>
        <v>6.3089723756447044E-2</v>
      </c>
      <c r="AJ65" s="348">
        <f t="shared" si="66"/>
        <v>2.9671297439554028E-2</v>
      </c>
      <c r="AK65" s="348">
        <f t="shared" si="67"/>
        <v>9.3723657541254959E-2</v>
      </c>
      <c r="AL65" s="348">
        <f t="shared" si="68"/>
        <v>1.8659199999999997E-2</v>
      </c>
      <c r="AM65" s="348">
        <f t="shared" si="69"/>
        <v>0.56167999999999996</v>
      </c>
      <c r="AN65" s="348">
        <f t="shared" si="70"/>
        <v>4.0526952870125178E-2</v>
      </c>
      <c r="AO65" s="348">
        <f t="shared" si="71"/>
        <v>1.1E-4</v>
      </c>
      <c r="AP65" s="348">
        <f t="shared" si="72"/>
        <v>5.6099999999999997E-2</v>
      </c>
      <c r="AQ65" s="348">
        <f t="shared" si="26"/>
        <v>0.52647692307692318</v>
      </c>
      <c r="AR65" s="348">
        <f t="shared" si="73"/>
        <v>0.5048999999999999</v>
      </c>
      <c r="AS65" s="348">
        <f t="shared" si="74"/>
        <v>5.6209999999999996E-2</v>
      </c>
      <c r="AT65" s="348">
        <f t="shared" si="75"/>
        <v>1.3166637865229729</v>
      </c>
      <c r="AU65">
        <f t="shared" si="76"/>
        <v>33.599999999999994</v>
      </c>
      <c r="AV65" s="526">
        <f t="shared" si="47"/>
        <v>0.96229124882683736</v>
      </c>
      <c r="AW65" s="534">
        <f t="shared" si="77"/>
        <v>26.375103601644106</v>
      </c>
      <c r="AX65" s="534">
        <f t="shared" si="78"/>
        <v>11.358476941929078</v>
      </c>
      <c r="AY65" s="9"/>
      <c r="AZ65" s="4">
        <f t="shared" si="48"/>
        <v>96.229124882683735</v>
      </c>
      <c r="BA65" s="348">
        <f t="shared" si="79"/>
        <v>0.27246808972303366</v>
      </c>
      <c r="BB65" s="348">
        <f t="shared" si="80"/>
        <v>0.91267351472325742</v>
      </c>
      <c r="BC65" s="348">
        <f t="shared" si="81"/>
        <v>0.62797865718200252</v>
      </c>
      <c r="BD65" s="348">
        <f t="shared" si="82"/>
        <v>0.27907805754125498</v>
      </c>
      <c r="BE65" s="348">
        <f t="shared" si="83"/>
        <v>4.0526952870125178E-2</v>
      </c>
      <c r="BK65" s="18"/>
      <c r="BL65" s="19"/>
    </row>
    <row r="66" spans="1:64" x14ac:dyDescent="0.2">
      <c r="A66" s="11" t="s">
        <v>77</v>
      </c>
      <c r="B66" s="31"/>
      <c r="C66" s="31"/>
      <c r="G66">
        <v>57</v>
      </c>
      <c r="H66" s="531">
        <f t="shared" si="49"/>
        <v>50</v>
      </c>
      <c r="I66" s="4">
        <f t="shared" si="50"/>
        <v>1</v>
      </c>
      <c r="J66" s="348">
        <f t="shared" si="84"/>
        <v>2.85</v>
      </c>
      <c r="K66" s="348">
        <f t="shared" si="51"/>
        <v>2.85</v>
      </c>
      <c r="L66" s="4">
        <f t="shared" si="52"/>
        <v>0.76</v>
      </c>
      <c r="M66" s="348">
        <f t="shared" si="53"/>
        <v>0.24062812323784488</v>
      </c>
      <c r="N66" s="4">
        <f t="shared" si="54"/>
        <v>12.21021248087443</v>
      </c>
      <c r="O66" s="4">
        <f t="shared" si="39"/>
        <v>8.9551062404372157</v>
      </c>
      <c r="P66" s="4">
        <f t="shared" si="40"/>
        <v>-3.2551062404372151</v>
      </c>
      <c r="Q66" s="4">
        <f t="shared" si="55"/>
        <v>50</v>
      </c>
      <c r="R66" s="4">
        <f t="shared" si="41"/>
        <v>4.5328365735311715</v>
      </c>
      <c r="S66" s="348">
        <f t="shared" si="56"/>
        <v>7.1913125908196346E-2</v>
      </c>
      <c r="T66" s="348">
        <f t="shared" si="57"/>
        <v>0.2</v>
      </c>
      <c r="U66" s="348">
        <f t="shared" si="58"/>
        <v>0.27348650747992409</v>
      </c>
      <c r="V66" s="4">
        <f t="shared" si="42"/>
        <v>3.5247847313476903</v>
      </c>
      <c r="W66" s="348">
        <f t="shared" si="10"/>
        <v>1.2424107402341809E-2</v>
      </c>
      <c r="X66" s="348">
        <f t="shared" si="43"/>
        <v>1.2424107402341809E-2</v>
      </c>
      <c r="Y66" s="4">
        <f t="shared" si="44"/>
        <v>1.9376284733066831</v>
      </c>
      <c r="Z66" s="348">
        <f t="shared" si="11"/>
        <v>3.7544041005687875E-3</v>
      </c>
      <c r="AA66" s="525">
        <f t="shared" si="45"/>
        <v>3.7544041005687875E-3</v>
      </c>
      <c r="AB66" s="348">
        <f t="shared" si="46"/>
        <v>2.2235313305933699</v>
      </c>
      <c r="AC66" s="348">
        <f t="shared" si="59"/>
        <v>5.9329098937563871E-2</v>
      </c>
      <c r="AD66" s="348">
        <f t="shared" si="60"/>
        <v>0.18852756222351072</v>
      </c>
      <c r="AE66" s="348">
        <f t="shared" si="61"/>
        <v>0</v>
      </c>
      <c r="AF66" s="348">
        <f t="shared" si="62"/>
        <v>1.0846013993136798E-2</v>
      </c>
      <c r="AG66" s="348">
        <f t="shared" si="63"/>
        <v>0.26130719942980696</v>
      </c>
      <c r="AH66" s="348">
        <f t="shared" si="64"/>
        <v>3.9500020030642378</v>
      </c>
      <c r="AI66" s="348">
        <f t="shared" si="65"/>
        <v>6.3970314879267104E-2</v>
      </c>
      <c r="AJ66" s="348">
        <f t="shared" si="66"/>
        <v>2.9838413993136796E-2</v>
      </c>
      <c r="AK66" s="348">
        <f t="shared" si="67"/>
        <v>9.4795968907597436E-2</v>
      </c>
      <c r="AL66" s="348">
        <f t="shared" si="68"/>
        <v>1.8992399999999996E-2</v>
      </c>
      <c r="AM66" s="348">
        <f t="shared" si="69"/>
        <v>0.57171000000000005</v>
      </c>
      <c r="AN66" s="348">
        <f t="shared" si="70"/>
        <v>4.1093214804683628E-2</v>
      </c>
      <c r="AO66" s="348">
        <f t="shared" si="71"/>
        <v>1.1E-4</v>
      </c>
      <c r="AP66" s="348">
        <f t="shared" si="72"/>
        <v>5.6099999999999997E-2</v>
      </c>
      <c r="AQ66" s="348">
        <f t="shared" si="26"/>
        <v>0.52647692307692318</v>
      </c>
      <c r="AR66" s="348">
        <f t="shared" si="73"/>
        <v>0.5048999999999999</v>
      </c>
      <c r="AS66" s="348">
        <f t="shared" si="74"/>
        <v>5.6209999999999996E-2</v>
      </c>
      <c r="AT66" s="348">
        <f t="shared" si="75"/>
        <v>1.3337738021249228</v>
      </c>
      <c r="AU66">
        <f t="shared" si="76"/>
        <v>34.200000000000003</v>
      </c>
      <c r="AV66" s="526">
        <f t="shared" si="47"/>
        <v>0.96246461719624155</v>
      </c>
      <c r="AW66" s="534">
        <f t="shared" si="77"/>
        <v>26.822703576051897</v>
      </c>
      <c r="AX66" s="534">
        <f t="shared" si="78"/>
        <v>11.536832944539217</v>
      </c>
      <c r="AY66" s="9"/>
      <c r="AZ66" s="4">
        <f t="shared" si="48"/>
        <v>96.246461719624151</v>
      </c>
      <c r="BA66" s="348">
        <f t="shared" si="79"/>
        <v>0.27348650747992409</v>
      </c>
      <c r="BB66" s="348">
        <f t="shared" si="80"/>
        <v>0.92781316833740446</v>
      </c>
      <c r="BC66" s="348">
        <f t="shared" si="81"/>
        <v>0.63863579942980708</v>
      </c>
      <c r="BD66" s="348">
        <f t="shared" si="82"/>
        <v>0.28346026890759746</v>
      </c>
      <c r="BE66" s="348">
        <f t="shared" si="83"/>
        <v>4.1093214804683628E-2</v>
      </c>
      <c r="BK66" s="18"/>
      <c r="BL66" s="19"/>
    </row>
    <row r="67" spans="1:64" x14ac:dyDescent="0.2">
      <c r="A67" s="14" t="s">
        <v>55</v>
      </c>
      <c r="B67" s="15" t="s">
        <v>7</v>
      </c>
      <c r="C67" s="15" t="s">
        <v>76</v>
      </c>
      <c r="G67">
        <v>58</v>
      </c>
      <c r="H67" s="531">
        <f t="shared" si="49"/>
        <v>50</v>
      </c>
      <c r="I67" s="4">
        <f t="shared" si="50"/>
        <v>1</v>
      </c>
      <c r="J67" s="348">
        <f t="shared" si="84"/>
        <v>2.9</v>
      </c>
      <c r="K67" s="348">
        <f t="shared" si="51"/>
        <v>2.9</v>
      </c>
      <c r="L67" s="4">
        <f t="shared" si="52"/>
        <v>0.77333333333333332</v>
      </c>
      <c r="M67" s="348">
        <f t="shared" si="53"/>
        <v>0.24063914671600622</v>
      </c>
      <c r="N67" s="4">
        <f t="shared" si="54"/>
        <v>12.21052252080662</v>
      </c>
      <c r="O67" s="4">
        <f t="shared" si="39"/>
        <v>9.0052612604033104</v>
      </c>
      <c r="P67" s="4">
        <f t="shared" si="40"/>
        <v>-3.2052612604033102</v>
      </c>
      <c r="Q67" s="4">
        <f t="shared" si="55"/>
        <v>50</v>
      </c>
      <c r="R67" s="4">
        <f t="shared" si="41"/>
        <v>4.5645085554300149</v>
      </c>
      <c r="S67" s="348">
        <f t="shared" si="56"/>
        <v>7.292158423407831E-2</v>
      </c>
      <c r="T67" s="348">
        <f t="shared" si="57"/>
        <v>0.2</v>
      </c>
      <c r="U67" s="348">
        <f t="shared" si="58"/>
        <v>0.27452307684788324</v>
      </c>
      <c r="V67" s="4">
        <f t="shared" si="42"/>
        <v>3.5248742321668454</v>
      </c>
      <c r="W67" s="348">
        <f t="shared" si="10"/>
        <v>1.2424738352593808E-2</v>
      </c>
      <c r="X67" s="348">
        <f t="shared" si="43"/>
        <v>1.2424738352593808E-2</v>
      </c>
      <c r="Y67" s="4">
        <f t="shared" si="44"/>
        <v>1.9511976631636472</v>
      </c>
      <c r="Z67" s="348">
        <f t="shared" si="11"/>
        <v>3.8071723207352775E-3</v>
      </c>
      <c r="AA67" s="525">
        <f t="shared" si="45"/>
        <v>3.8071723207352775E-3</v>
      </c>
      <c r="AB67" s="348">
        <f t="shared" si="46"/>
        <v>2.2391189470904447</v>
      </c>
      <c r="AC67" s="348">
        <f t="shared" si="59"/>
        <v>6.0163843910633064E-2</v>
      </c>
      <c r="AD67" s="348">
        <f t="shared" si="60"/>
        <v>0.19183506331515127</v>
      </c>
      <c r="AE67" s="348">
        <f t="shared" si="61"/>
        <v>0</v>
      </c>
      <c r="AF67" s="348">
        <f t="shared" si="62"/>
        <v>1.067993051966383E-2</v>
      </c>
      <c r="AG67" s="348">
        <f t="shared" si="63"/>
        <v>0.26536098069806019</v>
      </c>
      <c r="AH67" s="348">
        <f t="shared" si="64"/>
        <v>3.9775727137758752</v>
      </c>
      <c r="AI67" s="348">
        <f t="shared" si="65"/>
        <v>6.4866447242834954E-2</v>
      </c>
      <c r="AJ67" s="348">
        <f t="shared" si="66"/>
        <v>3.0005530519663825E-2</v>
      </c>
      <c r="AK67" s="348">
        <f t="shared" si="67"/>
        <v>9.5884543240039477E-2</v>
      </c>
      <c r="AL67" s="348">
        <f t="shared" si="68"/>
        <v>1.9325599999999995E-2</v>
      </c>
      <c r="AM67" s="348">
        <f t="shared" si="69"/>
        <v>0.58173999999999992</v>
      </c>
      <c r="AN67" s="348">
        <f t="shared" si="70"/>
        <v>4.1669476705187607E-2</v>
      </c>
      <c r="AO67" s="348">
        <f t="shared" si="71"/>
        <v>1.1E-4</v>
      </c>
      <c r="AP67" s="348">
        <f t="shared" si="72"/>
        <v>5.6099999999999997E-2</v>
      </c>
      <c r="AQ67" s="348">
        <f t="shared" si="26"/>
        <v>0.52647692307692318</v>
      </c>
      <c r="AR67" s="348">
        <f t="shared" si="73"/>
        <v>0.5048999999999999</v>
      </c>
      <c r="AS67" s="348">
        <f t="shared" si="74"/>
        <v>5.6209999999999996E-2</v>
      </c>
      <c r="AT67" s="348">
        <f t="shared" si="75"/>
        <v>1.3509455881644996</v>
      </c>
      <c r="AU67">
        <f t="shared" si="76"/>
        <v>34.799999999999997</v>
      </c>
      <c r="AV67" s="526">
        <f t="shared" si="47"/>
        <v>0.96263042179989922</v>
      </c>
      <c r="AW67" s="534">
        <f t="shared" si="77"/>
        <v>27.270993989318523</v>
      </c>
      <c r="AX67" s="534">
        <f t="shared" si="78"/>
        <v>11.715850849869607</v>
      </c>
      <c r="AY67" s="9"/>
      <c r="AZ67" s="4">
        <f t="shared" si="48"/>
        <v>96.263042179989924</v>
      </c>
      <c r="BA67" s="348">
        <f t="shared" si="79"/>
        <v>0.27452307684788324</v>
      </c>
      <c r="BB67" s="348">
        <f t="shared" si="80"/>
        <v>0.94298552393809953</v>
      </c>
      <c r="BC67" s="348">
        <f t="shared" si="81"/>
        <v>0.6493093806980601</v>
      </c>
      <c r="BD67" s="348">
        <f t="shared" si="82"/>
        <v>0.28785874324003946</v>
      </c>
      <c r="BE67" s="348">
        <f t="shared" si="83"/>
        <v>4.1669476705187607E-2</v>
      </c>
      <c r="BK67" s="18"/>
      <c r="BL67" s="19"/>
    </row>
    <row r="68" spans="1:64" x14ac:dyDescent="0.2">
      <c r="A68" s="32" t="s">
        <v>205</v>
      </c>
      <c r="B68" s="436">
        <f>D1_Vinmin</f>
        <v>0.3</v>
      </c>
      <c r="C68" s="21" t="s">
        <v>18</v>
      </c>
      <c r="G68">
        <v>59</v>
      </c>
      <c r="H68" s="531">
        <f t="shared" si="49"/>
        <v>50</v>
      </c>
      <c r="I68" s="4">
        <f t="shared" si="50"/>
        <v>1</v>
      </c>
      <c r="J68" s="348">
        <f t="shared" si="84"/>
        <v>2.95</v>
      </c>
      <c r="K68" s="348">
        <f t="shared" si="51"/>
        <v>2.95</v>
      </c>
      <c r="L68" s="4">
        <f t="shared" si="52"/>
        <v>0.78666666666666685</v>
      </c>
      <c r="M68" s="348">
        <f t="shared" si="53"/>
        <v>0.2406501703242899</v>
      </c>
      <c r="N68" s="4">
        <f t="shared" si="54"/>
        <v>12.210832544498581</v>
      </c>
      <c r="O68" s="4">
        <f t="shared" si="39"/>
        <v>9.0554162722492908</v>
      </c>
      <c r="P68" s="4">
        <f t="shared" si="40"/>
        <v>-3.1554162722492904</v>
      </c>
      <c r="Q68" s="4">
        <f t="shared" si="55"/>
        <v>50</v>
      </c>
      <c r="R68" s="4">
        <f t="shared" si="41"/>
        <v>4.5965062042616109</v>
      </c>
      <c r="S68" s="348">
        <f t="shared" si="56"/>
        <v>7.3947542500354194E-2</v>
      </c>
      <c r="T68" s="348">
        <f t="shared" si="57"/>
        <v>0.2</v>
      </c>
      <c r="U68" s="348">
        <f t="shared" si="58"/>
        <v>0.2755778066257632</v>
      </c>
      <c r="V68" s="4">
        <f t="shared" si="42"/>
        <v>3.5249637282978497</v>
      </c>
      <c r="W68" s="348">
        <f t="shared" si="10"/>
        <v>1.2425369285815476E-2</v>
      </c>
      <c r="X68" s="348">
        <f t="shared" si="43"/>
        <v>1.2425369285815476E-2</v>
      </c>
      <c r="Y68" s="4">
        <f t="shared" si="44"/>
        <v>1.9649064908066873</v>
      </c>
      <c r="Z68" s="348">
        <f t="shared" si="11"/>
        <v>3.8608575176142506E-3</v>
      </c>
      <c r="AA68" s="525">
        <f t="shared" si="45"/>
        <v>3.8608575176142506E-3</v>
      </c>
      <c r="AB68" s="348">
        <f t="shared" si="46"/>
        <v>2.2548670342662844</v>
      </c>
      <c r="AC68" s="348">
        <f t="shared" si="59"/>
        <v>6.1013104106649951E-2</v>
      </c>
      <c r="AD68" s="348">
        <f t="shared" si="60"/>
        <v>0.19514256440679179</v>
      </c>
      <c r="AE68" s="348">
        <f t="shared" si="61"/>
        <v>0</v>
      </c>
      <c r="AF68" s="348">
        <f t="shared" si="62"/>
        <v>1.0513847019134635E-2</v>
      </c>
      <c r="AG68" s="348">
        <f t="shared" si="63"/>
        <v>0.2694312400305679</v>
      </c>
      <c r="AH68" s="348">
        <f t="shared" si="64"/>
        <v>4.0054268116637273</v>
      </c>
      <c r="AI68" s="348">
        <f t="shared" si="65"/>
        <v>6.5778120168738075E-2</v>
      </c>
      <c r="AJ68" s="348">
        <f t="shared" si="66"/>
        <v>3.0172647019134632E-2</v>
      </c>
      <c r="AK68" s="348">
        <f t="shared" si="67"/>
        <v>9.6989395388964852E-2</v>
      </c>
      <c r="AL68" s="348">
        <f t="shared" si="68"/>
        <v>1.9658799999999997E-2</v>
      </c>
      <c r="AM68" s="348">
        <f t="shared" si="69"/>
        <v>0.59177000000000002</v>
      </c>
      <c r="AN68" s="348">
        <f t="shared" si="70"/>
        <v>4.2255738571630966E-2</v>
      </c>
      <c r="AO68" s="348">
        <f t="shared" si="71"/>
        <v>1.1E-4</v>
      </c>
      <c r="AP68" s="348">
        <f t="shared" si="72"/>
        <v>5.6099999999999997E-2</v>
      </c>
      <c r="AQ68" s="348">
        <f t="shared" si="26"/>
        <v>0.52647692307692318</v>
      </c>
      <c r="AR68" s="348">
        <f t="shared" si="73"/>
        <v>0.5048999999999999</v>
      </c>
      <c r="AS68" s="348">
        <f t="shared" si="74"/>
        <v>5.6209999999999996E-2</v>
      </c>
      <c r="AT68" s="348">
        <f t="shared" si="75"/>
        <v>1.3681792074203567</v>
      </c>
      <c r="AU68">
        <f t="shared" si="76"/>
        <v>35.400000000000006</v>
      </c>
      <c r="AV68" s="526">
        <f t="shared" si="47"/>
        <v>0.96278904104274399</v>
      </c>
      <c r="AW68" s="534">
        <f t="shared" si="77"/>
        <v>27.719976481283854</v>
      </c>
      <c r="AX68" s="534">
        <f t="shared" si="78"/>
        <v>11.89553126233087</v>
      </c>
      <c r="AY68" s="9"/>
      <c r="AZ68" s="4">
        <f t="shared" si="48"/>
        <v>96.278904104274403</v>
      </c>
      <c r="BA68" s="348">
        <f t="shared" si="79"/>
        <v>0.2755778066257632</v>
      </c>
      <c r="BB68" s="348">
        <f t="shared" si="80"/>
        <v>0.95819063541953275</v>
      </c>
      <c r="BC68" s="348">
        <f t="shared" si="81"/>
        <v>0.65999944003056799</v>
      </c>
      <c r="BD68" s="348">
        <f t="shared" si="82"/>
        <v>0.29227349538896485</v>
      </c>
      <c r="BE68" s="348">
        <f t="shared" si="83"/>
        <v>4.2255738571630966E-2</v>
      </c>
      <c r="BK68" s="18"/>
      <c r="BL68" s="19"/>
    </row>
    <row r="69" spans="1:64" x14ac:dyDescent="0.2">
      <c r="A69" s="23" t="s">
        <v>78</v>
      </c>
      <c r="B69" s="436">
        <f>1-B68</f>
        <v>0.7</v>
      </c>
      <c r="C69" s="21" t="s">
        <v>18</v>
      </c>
      <c r="G69">
        <v>60</v>
      </c>
      <c r="H69" s="531">
        <f t="shared" si="49"/>
        <v>50</v>
      </c>
      <c r="I69" s="4">
        <f t="shared" si="50"/>
        <v>1</v>
      </c>
      <c r="J69" s="348">
        <f t="shared" si="84"/>
        <v>3</v>
      </c>
      <c r="K69" s="348">
        <f t="shared" si="51"/>
        <v>3</v>
      </c>
      <c r="L69" s="4">
        <f t="shared" si="52"/>
        <v>0.8</v>
      </c>
      <c r="M69" s="348">
        <f t="shared" si="53"/>
        <v>0.2406611940626982</v>
      </c>
      <c r="N69" s="4">
        <f t="shared" si="54"/>
        <v>12.211142551950021</v>
      </c>
      <c r="O69" s="4">
        <f t="shared" si="39"/>
        <v>9.1055712759750094</v>
      </c>
      <c r="P69" s="4">
        <f t="shared" si="40"/>
        <v>-3.1055712759750103</v>
      </c>
      <c r="Q69" s="4">
        <f t="shared" si="55"/>
        <v>50</v>
      </c>
      <c r="R69" s="4">
        <f t="shared" si="41"/>
        <v>4.6288227663201482</v>
      </c>
      <c r="S69" s="348">
        <f t="shared" si="56"/>
        <v>7.4991000707012992E-2</v>
      </c>
      <c r="T69" s="348">
        <f t="shared" si="57"/>
        <v>0.2</v>
      </c>
      <c r="U69" s="348">
        <f t="shared" si="58"/>
        <v>0.27665070576876505</v>
      </c>
      <c r="V69" s="4">
        <f t="shared" si="42"/>
        <v>3.5250532197406192</v>
      </c>
      <c r="W69" s="348">
        <f t="shared" si="10"/>
        <v>1.2426000202003707E-2</v>
      </c>
      <c r="X69" s="348">
        <f t="shared" si="43"/>
        <v>1.2426000202003707E-2</v>
      </c>
      <c r="Y69" s="4">
        <f t="shared" si="44"/>
        <v>1.9787520756328376</v>
      </c>
      <c r="Z69" s="348">
        <f t="shared" si="11"/>
        <v>3.9154597768212632E-3</v>
      </c>
      <c r="AA69" s="525">
        <f t="shared" si="45"/>
        <v>3.9154597768212632E-3</v>
      </c>
      <c r="AB69" s="348">
        <f t="shared" si="46"/>
        <v>2.2707722899053144</v>
      </c>
      <c r="AC69" s="348">
        <f t="shared" si="59"/>
        <v>6.1876881511221907E-2</v>
      </c>
      <c r="AD69" s="348">
        <f t="shared" si="60"/>
        <v>0.19845006549843233</v>
      </c>
      <c r="AE69" s="348">
        <f t="shared" si="61"/>
        <v>0</v>
      </c>
      <c r="AF69" s="348">
        <f t="shared" si="62"/>
        <v>1.0347763491548733E-2</v>
      </c>
      <c r="AG69" s="348">
        <f t="shared" si="63"/>
        <v>0.27351801674261506</v>
      </c>
      <c r="AH69" s="348">
        <f t="shared" si="64"/>
        <v>4.0335584053539977</v>
      </c>
      <c r="AI69" s="348">
        <f t="shared" si="65"/>
        <v>6.6705332978547721E-2</v>
      </c>
      <c r="AJ69" s="348">
        <f t="shared" si="66"/>
        <v>3.0339763491548728E-2</v>
      </c>
      <c r="AK69" s="348">
        <f t="shared" si="67"/>
        <v>9.8110540462898507E-2</v>
      </c>
      <c r="AL69" s="348">
        <f t="shared" si="68"/>
        <v>1.9991999999999996E-2</v>
      </c>
      <c r="AM69" s="348">
        <f t="shared" si="69"/>
        <v>0.6018</v>
      </c>
      <c r="AN69" s="348">
        <f t="shared" si="70"/>
        <v>4.2852000404007419E-2</v>
      </c>
      <c r="AO69" s="348">
        <f t="shared" si="71"/>
        <v>1.1E-4</v>
      </c>
      <c r="AP69" s="348">
        <f t="shared" si="72"/>
        <v>5.6099999999999997E-2</v>
      </c>
      <c r="AQ69" s="348">
        <f t="shared" si="26"/>
        <v>0.52647692307692318</v>
      </c>
      <c r="AR69" s="348">
        <f t="shared" si="73"/>
        <v>0.5048999999999999</v>
      </c>
      <c r="AS69" s="348">
        <f t="shared" si="74"/>
        <v>5.6209999999999996E-2</v>
      </c>
      <c r="AT69" s="348">
        <f t="shared" si="75"/>
        <v>1.385474723357111</v>
      </c>
      <c r="AU69">
        <f t="shared" si="76"/>
        <v>36</v>
      </c>
      <c r="AV69" s="526">
        <f t="shared" si="47"/>
        <v>0.96294082839366713</v>
      </c>
      <c r="AW69" s="534">
        <f t="shared" si="77"/>
        <v>28.169652703189833</v>
      </c>
      <c r="AX69" s="534">
        <f t="shared" si="78"/>
        <v>12.075874796839971</v>
      </c>
      <c r="AY69" s="9"/>
      <c r="AZ69" s="4">
        <f t="shared" si="48"/>
        <v>96.294082839366709</v>
      </c>
      <c r="BA69" s="348">
        <f t="shared" si="79"/>
        <v>0.27665070576876505</v>
      </c>
      <c r="BB69" s="348">
        <f t="shared" si="80"/>
        <v>0.97342855720551358</v>
      </c>
      <c r="BC69" s="348">
        <f t="shared" si="81"/>
        <v>0.6707060167426151</v>
      </c>
      <c r="BD69" s="348">
        <f t="shared" si="82"/>
        <v>0.29670454046289851</v>
      </c>
      <c r="BE69" s="348">
        <f t="shared" si="83"/>
        <v>4.2852000404007419E-2</v>
      </c>
      <c r="BK69" s="18"/>
      <c r="BL69" s="19"/>
    </row>
    <row r="70" spans="1:64" x14ac:dyDescent="0.2">
      <c r="A70" s="33" t="s">
        <v>206</v>
      </c>
      <c r="B70" s="436">
        <f>Iripple_Vinnom</f>
        <v>12.218010943265892</v>
      </c>
      <c r="C70" s="21" t="s">
        <v>1</v>
      </c>
      <c r="G70">
        <v>61</v>
      </c>
      <c r="H70" s="531">
        <f t="shared" si="49"/>
        <v>50</v>
      </c>
      <c r="I70" s="4">
        <f t="shared" si="50"/>
        <v>1</v>
      </c>
      <c r="J70" s="348">
        <f t="shared" si="84"/>
        <v>3.05</v>
      </c>
      <c r="K70" s="348">
        <f t="shared" si="51"/>
        <v>3.05</v>
      </c>
      <c r="L70" s="4">
        <f t="shared" si="52"/>
        <v>0.81333333333333324</v>
      </c>
      <c r="M70" s="348">
        <f t="shared" si="53"/>
        <v>0.24067221793123345</v>
      </c>
      <c r="N70" s="4">
        <f t="shared" si="54"/>
        <v>12.211452543160657</v>
      </c>
      <c r="O70" s="4">
        <f t="shared" si="39"/>
        <v>9.1557262715803276</v>
      </c>
      <c r="P70" s="4">
        <f t="shared" si="40"/>
        <v>-3.0557262715803288</v>
      </c>
      <c r="Q70" s="4">
        <f t="shared" si="55"/>
        <v>50</v>
      </c>
      <c r="R70" s="4">
        <f t="shared" si="41"/>
        <v>4.6614516087969218</v>
      </c>
      <c r="S70" s="348">
        <f t="shared" si="56"/>
        <v>7.6051958854043936E-2</v>
      </c>
      <c r="T70" s="348">
        <f t="shared" si="57"/>
        <v>0.2</v>
      </c>
      <c r="U70" s="348">
        <f t="shared" si="58"/>
        <v>0.27774178338862959</v>
      </c>
      <c r="V70" s="4">
        <f t="shared" si="42"/>
        <v>3.5251427064950729</v>
      </c>
      <c r="W70" s="348">
        <f t="shared" si="10"/>
        <v>1.2426631101155407E-2</v>
      </c>
      <c r="X70" s="348">
        <f t="shared" si="43"/>
        <v>1.2426631101155407E-2</v>
      </c>
      <c r="Y70" s="4">
        <f t="shared" si="44"/>
        <v>1.9927315885403656</v>
      </c>
      <c r="Z70" s="348">
        <f t="shared" si="11"/>
        <v>3.9709791839666088E-3</v>
      </c>
      <c r="AA70" s="525">
        <f t="shared" si="45"/>
        <v>3.9709791839666088E-3</v>
      </c>
      <c r="AB70" s="348">
        <f t="shared" si="46"/>
        <v>2.2868314707983219</v>
      </c>
      <c r="AC70" s="348">
        <f t="shared" si="59"/>
        <v>6.275517811000339E-2</v>
      </c>
      <c r="AD70" s="348">
        <f t="shared" si="60"/>
        <v>0.20175756659007288</v>
      </c>
      <c r="AE70" s="348">
        <f t="shared" si="61"/>
        <v>0</v>
      </c>
      <c r="AF70" s="348">
        <f t="shared" si="62"/>
        <v>1.0181679936905655E-2</v>
      </c>
      <c r="AG70" s="348">
        <f t="shared" si="63"/>
        <v>0.27762135042218639</v>
      </c>
      <c r="AH70" s="348">
        <f t="shared" si="64"/>
        <v>4.0619617089925644</v>
      </c>
      <c r="AI70" s="348">
        <f t="shared" si="65"/>
        <v>6.7648084993819343E-2</v>
      </c>
      <c r="AJ70" s="348">
        <f t="shared" si="66"/>
        <v>3.0506879936905647E-2</v>
      </c>
      <c r="AK70" s="348">
        <f t="shared" si="67"/>
        <v>9.9247993829069014E-2</v>
      </c>
      <c r="AL70" s="348">
        <f t="shared" si="68"/>
        <v>2.0325199999999995E-2</v>
      </c>
      <c r="AM70" s="348">
        <f t="shared" si="69"/>
        <v>0.61182999999999998</v>
      </c>
      <c r="AN70" s="348">
        <f t="shared" si="70"/>
        <v>4.3458262202310818E-2</v>
      </c>
      <c r="AO70" s="348">
        <f t="shared" si="71"/>
        <v>1.1E-4</v>
      </c>
      <c r="AP70" s="348">
        <f t="shared" si="72"/>
        <v>5.6099999999999997E-2</v>
      </c>
      <c r="AQ70" s="348">
        <f t="shared" si="26"/>
        <v>0.52647692307692318</v>
      </c>
      <c r="AR70" s="348">
        <f t="shared" si="73"/>
        <v>0.5048999999999999</v>
      </c>
      <c r="AS70" s="348">
        <f t="shared" si="74"/>
        <v>5.6209999999999996E-2</v>
      </c>
      <c r="AT70" s="348">
        <f t="shared" si="75"/>
        <v>1.4028322001273179</v>
      </c>
      <c r="AU70">
        <f t="shared" si="76"/>
        <v>36.599999999999994</v>
      </c>
      <c r="AV70" s="526">
        <f t="shared" si="47"/>
        <v>0.96308611440484637</v>
      </c>
      <c r="AW70" s="534">
        <f t="shared" si="77"/>
        <v>28.620024317731826</v>
      </c>
      <c r="AX70" s="534">
        <f t="shared" si="78"/>
        <v>12.256882078843111</v>
      </c>
      <c r="AY70" s="9"/>
      <c r="AZ70" s="4">
        <f t="shared" si="48"/>
        <v>96.30861144048464</v>
      </c>
      <c r="BA70" s="348">
        <f t="shared" si="79"/>
        <v>0.27774178338862959</v>
      </c>
      <c r="BB70" s="348">
        <f t="shared" si="80"/>
        <v>0.98869934425125539</v>
      </c>
      <c r="BC70" s="348">
        <f t="shared" si="81"/>
        <v>0.68142915042218632</v>
      </c>
      <c r="BD70" s="348">
        <f t="shared" si="82"/>
        <v>0.30115189382906904</v>
      </c>
      <c r="BE70" s="348">
        <f t="shared" si="83"/>
        <v>4.3458262202310818E-2</v>
      </c>
      <c r="BK70" s="18"/>
      <c r="BL70" s="19"/>
    </row>
    <row r="71" spans="1:64" x14ac:dyDescent="0.2">
      <c r="A71" s="14" t="s">
        <v>59</v>
      </c>
      <c r="B71" s="15" t="s">
        <v>7</v>
      </c>
      <c r="C71" s="17" t="s">
        <v>76</v>
      </c>
      <c r="G71">
        <v>62</v>
      </c>
      <c r="H71" s="531">
        <f t="shared" si="49"/>
        <v>50</v>
      </c>
      <c r="I71" s="4">
        <f t="shared" si="50"/>
        <v>1</v>
      </c>
      <c r="J71" s="348">
        <f t="shared" si="84"/>
        <v>3.1</v>
      </c>
      <c r="K71" s="348">
        <f t="shared" si="51"/>
        <v>3.1</v>
      </c>
      <c r="L71" s="4">
        <f t="shared" si="52"/>
        <v>0.82666666666666677</v>
      </c>
      <c r="M71" s="348">
        <f t="shared" si="53"/>
        <v>0.24068324192989796</v>
      </c>
      <c r="N71" s="4">
        <f t="shared" si="54"/>
        <v>12.2117625181302</v>
      </c>
      <c r="O71" s="4">
        <f t="shared" si="39"/>
        <v>9.2058812590650998</v>
      </c>
      <c r="P71" s="4">
        <f t="shared" si="40"/>
        <v>-3.0058812590651001</v>
      </c>
      <c r="Q71" s="4">
        <f t="shared" si="55"/>
        <v>50</v>
      </c>
      <c r="R71" s="4">
        <f t="shared" si="41"/>
        <v>4.6943862200789859</v>
      </c>
      <c r="S71" s="348">
        <f t="shared" si="56"/>
        <v>7.7130416941436145E-2</v>
      </c>
      <c r="T71" s="348">
        <f t="shared" si="57"/>
        <v>0.2</v>
      </c>
      <c r="U71" s="348">
        <f t="shared" si="58"/>
        <v>0.27885104875383132</v>
      </c>
      <c r="V71" s="4">
        <f t="shared" si="42"/>
        <v>3.5252321885611271</v>
      </c>
      <c r="W71" s="348">
        <f t="shared" si="10"/>
        <v>1.2427261983267475E-2</v>
      </c>
      <c r="X71" s="348">
        <f t="shared" si="43"/>
        <v>1.2427261983267475E-2</v>
      </c>
      <c r="Y71" s="4">
        <f t="shared" si="44"/>
        <v>2.00684225206051</v>
      </c>
      <c r="Z71" s="348">
        <f t="shared" si="11"/>
        <v>4.0274158246553001E-3</v>
      </c>
      <c r="AA71" s="525">
        <f t="shared" si="45"/>
        <v>4.0274158246553001E-3</v>
      </c>
      <c r="AB71" s="348">
        <f t="shared" si="46"/>
        <v>2.303041392895774</v>
      </c>
      <c r="AC71" s="348">
        <f t="shared" si="59"/>
        <v>6.3647995888695685E-2</v>
      </c>
      <c r="AD71" s="348">
        <f t="shared" si="60"/>
        <v>0.20506506768171343</v>
      </c>
      <c r="AE71" s="348">
        <f t="shared" si="61"/>
        <v>0</v>
      </c>
      <c r="AF71" s="348">
        <f t="shared" si="62"/>
        <v>1.0015596355204912E-2</v>
      </c>
      <c r="AG71" s="348">
        <f t="shared" si="63"/>
        <v>0.28174128093119866</v>
      </c>
      <c r="AH71" s="348">
        <f t="shared" si="64"/>
        <v>4.0906310425014087</v>
      </c>
      <c r="AI71" s="348">
        <f t="shared" si="65"/>
        <v>6.8606375536092251E-2</v>
      </c>
      <c r="AJ71" s="348">
        <f t="shared" si="66"/>
        <v>3.0673996355204909E-2</v>
      </c>
      <c r="AK71" s="348">
        <f t="shared" si="67"/>
        <v>0.10040177111398058</v>
      </c>
      <c r="AL71" s="348">
        <f t="shared" si="68"/>
        <v>2.0658399999999997E-2</v>
      </c>
      <c r="AM71" s="348">
        <f t="shared" si="69"/>
        <v>0.62186000000000008</v>
      </c>
      <c r="AN71" s="348">
        <f t="shared" si="70"/>
        <v>4.407452396653494E-2</v>
      </c>
      <c r="AO71" s="348">
        <f t="shared" si="71"/>
        <v>1.1E-4</v>
      </c>
      <c r="AP71" s="348">
        <f t="shared" si="72"/>
        <v>5.6099999999999997E-2</v>
      </c>
      <c r="AQ71" s="348">
        <f t="shared" si="26"/>
        <v>0.52647692307692318</v>
      </c>
      <c r="AR71" s="348">
        <f t="shared" si="73"/>
        <v>0.5048999999999999</v>
      </c>
      <c r="AS71" s="348">
        <f t="shared" si="74"/>
        <v>5.6209999999999996E-2</v>
      </c>
      <c r="AT71" s="348">
        <f t="shared" si="75"/>
        <v>1.4202517025734684</v>
      </c>
      <c r="AU71">
        <f t="shared" si="76"/>
        <v>37.200000000000003</v>
      </c>
      <c r="AV71" s="526">
        <f t="shared" si="47"/>
        <v>0.96322520853796434</v>
      </c>
      <c r="AW71" s="534">
        <f t="shared" si="77"/>
        <v>29.071092999110348</v>
      </c>
      <c r="AX71" s="534">
        <f t="shared" si="78"/>
        <v>12.438553744339012</v>
      </c>
      <c r="AY71" s="9"/>
      <c r="AZ71" s="4">
        <f t="shared" si="48"/>
        <v>96.322520853796433</v>
      </c>
      <c r="BA71" s="348">
        <f t="shared" si="79"/>
        <v>0.27885104875383132</v>
      </c>
      <c r="BB71" s="348">
        <f t="shared" si="80"/>
        <v>1.0040030520451793</v>
      </c>
      <c r="BC71" s="348">
        <f t="shared" si="81"/>
        <v>0.69216888093119877</v>
      </c>
      <c r="BD71" s="348">
        <f t="shared" si="82"/>
        <v>0.30561557111398063</v>
      </c>
      <c r="BE71" s="348">
        <f t="shared" si="83"/>
        <v>4.407452396653494E-2</v>
      </c>
      <c r="BK71" s="18"/>
      <c r="BL71" s="19"/>
    </row>
    <row r="72" spans="1:64" x14ac:dyDescent="0.2">
      <c r="A72" s="32" t="s">
        <v>88</v>
      </c>
      <c r="B72" s="437">
        <f>(Qgd_Q1+Qgs_Q1/2)*(RdsonDRT+Rgate1)/(VCC-Vsp_Q1)*1000000000</f>
        <v>5.4115577889447239</v>
      </c>
      <c r="C72" s="21" t="s">
        <v>75</v>
      </c>
      <c r="D72" s="113" t="s">
        <v>492</v>
      </c>
      <c r="G72">
        <v>63</v>
      </c>
      <c r="H72" s="531">
        <f t="shared" si="49"/>
        <v>50</v>
      </c>
      <c r="I72" s="4">
        <f t="shared" si="50"/>
        <v>1</v>
      </c>
      <c r="J72" s="348">
        <f t="shared" si="84"/>
        <v>3.15</v>
      </c>
      <c r="K72" s="348">
        <f t="shared" si="51"/>
        <v>3.15</v>
      </c>
      <c r="L72" s="4">
        <f t="shared" si="52"/>
        <v>0.84</v>
      </c>
      <c r="M72" s="348">
        <f t="shared" si="53"/>
        <v>0.24069426605869401</v>
      </c>
      <c r="N72" s="4">
        <f t="shared" si="54"/>
        <v>12.212072476858365</v>
      </c>
      <c r="O72" s="4">
        <f t="shared" si="39"/>
        <v>9.2560362384291821</v>
      </c>
      <c r="P72" s="4">
        <f t="shared" si="40"/>
        <v>-2.9560362384291827</v>
      </c>
      <c r="Q72" s="4">
        <f t="shared" si="55"/>
        <v>50</v>
      </c>
      <c r="R72" s="4">
        <f t="shared" si="41"/>
        <v>4.7276202098240505</v>
      </c>
      <c r="S72" s="348">
        <f t="shared" si="56"/>
        <v>7.8226374969178794E-2</v>
      </c>
      <c r="T72" s="348">
        <f t="shared" si="57"/>
        <v>0.2</v>
      </c>
      <c r="U72" s="348">
        <f t="shared" si="58"/>
        <v>0.27997851128977613</v>
      </c>
      <c r="V72" s="4">
        <f t="shared" si="42"/>
        <v>3.5253216659386988</v>
      </c>
      <c r="W72" s="348">
        <f t="shared" si="10"/>
        <v>1.2427892848336801E-2</v>
      </c>
      <c r="X72" s="348">
        <f t="shared" si="43"/>
        <v>1.2427892848336801E-2</v>
      </c>
      <c r="Y72" s="4">
        <f t="shared" si="44"/>
        <v>2.0210813403935717</v>
      </c>
      <c r="Z72" s="348">
        <f t="shared" si="11"/>
        <v>4.0847697844870771E-3</v>
      </c>
      <c r="AA72" s="525">
        <f t="shared" si="45"/>
        <v>4.0847697844870771E-3</v>
      </c>
      <c r="AB72" s="348">
        <f t="shared" si="46"/>
        <v>2.319398931351377</v>
      </c>
      <c r="AC72" s="348">
        <f t="shared" si="59"/>
        <v>6.4555336833046914E-2</v>
      </c>
      <c r="AD72" s="348">
        <f t="shared" si="60"/>
        <v>0.20837256877335394</v>
      </c>
      <c r="AE72" s="348">
        <f t="shared" si="61"/>
        <v>0</v>
      </c>
      <c r="AF72" s="348">
        <f t="shared" si="62"/>
        <v>9.8495127464460347E-3</v>
      </c>
      <c r="AG72" s="348">
        <f t="shared" si="63"/>
        <v>0.28587784840674357</v>
      </c>
      <c r="AH72" s="348">
        <f t="shared" si="64"/>
        <v>4.1195608316400536</v>
      </c>
      <c r="AI72" s="348">
        <f t="shared" si="65"/>
        <v>6.9580203926889836E-2</v>
      </c>
      <c r="AJ72" s="348">
        <f t="shared" si="66"/>
        <v>3.084111274644603E-2</v>
      </c>
      <c r="AK72" s="348">
        <f t="shared" si="67"/>
        <v>0.10157188820399612</v>
      </c>
      <c r="AL72" s="348">
        <f t="shared" si="68"/>
        <v>2.0991599999999996E-2</v>
      </c>
      <c r="AM72" s="348">
        <f t="shared" si="69"/>
        <v>0.63188999999999984</v>
      </c>
      <c r="AN72" s="348">
        <f t="shared" si="70"/>
        <v>4.4700785696673601E-2</v>
      </c>
      <c r="AO72" s="348">
        <f t="shared" si="71"/>
        <v>1.1E-4</v>
      </c>
      <c r="AP72" s="348">
        <f t="shared" si="72"/>
        <v>5.6099999999999997E-2</v>
      </c>
      <c r="AQ72" s="348">
        <f t="shared" si="26"/>
        <v>0.52647692307692318</v>
      </c>
      <c r="AR72" s="348">
        <f t="shared" si="73"/>
        <v>0.5048999999999999</v>
      </c>
      <c r="AS72" s="348">
        <f t="shared" si="74"/>
        <v>5.6209999999999996E-2</v>
      </c>
      <c r="AT72" s="348">
        <f t="shared" si="75"/>
        <v>1.4377332962300133</v>
      </c>
      <c r="AU72">
        <f t="shared" si="76"/>
        <v>37.799999999999997</v>
      </c>
      <c r="AV72" s="526">
        <f t="shared" si="47"/>
        <v>0.96335840081852653</v>
      </c>
      <c r="AW72" s="534">
        <f t="shared" si="77"/>
        <v>29.522860433083224</v>
      </c>
      <c r="AX72" s="534">
        <f t="shared" si="78"/>
        <v>12.620890439902642</v>
      </c>
      <c r="AY72" s="9"/>
      <c r="AZ72" s="4">
        <f t="shared" si="48"/>
        <v>96.335840081852652</v>
      </c>
      <c r="BA72" s="348">
        <f t="shared" si="79"/>
        <v>0.27997851128977613</v>
      </c>
      <c r="BB72" s="348">
        <f t="shared" si="80"/>
        <v>1.0193397366107395</v>
      </c>
      <c r="BC72" s="348">
        <f t="shared" si="81"/>
        <v>0.70292524840674342</v>
      </c>
      <c r="BD72" s="348">
        <f t="shared" si="82"/>
        <v>0.31009558820399608</v>
      </c>
      <c r="BE72" s="348">
        <f t="shared" si="83"/>
        <v>4.4700785696673601E-2</v>
      </c>
      <c r="BK72" s="18"/>
      <c r="BL72" s="19"/>
    </row>
    <row r="73" spans="1:64" x14ac:dyDescent="0.2">
      <c r="A73" s="33" t="s">
        <v>89</v>
      </c>
      <c r="B73" s="437">
        <f>(Qgd_Q1+Qgs_Q1/2)*(RdsonDRT2+Rgate1)/(Vsp_Q1)*1000000000</f>
        <v>2.3707977207977207</v>
      </c>
      <c r="C73" s="21" t="s">
        <v>75</v>
      </c>
      <c r="D73" s="113" t="s">
        <v>493</v>
      </c>
      <c r="G73">
        <v>64</v>
      </c>
      <c r="H73" s="531">
        <f t="shared" ref="H73:H109" si="85">Vin</f>
        <v>50</v>
      </c>
      <c r="I73" s="4">
        <f t="shared" ref="I73:I109" si="86">MODE</f>
        <v>1</v>
      </c>
      <c r="J73" s="348">
        <f t="shared" si="84"/>
        <v>3.2</v>
      </c>
      <c r="K73" s="348">
        <f t="shared" ref="K73:K109" si="87">Iout*G73/100/Number_of_Phases</f>
        <v>3.2</v>
      </c>
      <c r="L73" s="4">
        <f t="shared" ref="L73:L104" si="88">Vout*K73/(Vin*Efficiency)</f>
        <v>0.8533333333333335</v>
      </c>
      <c r="M73" s="348">
        <f t="shared" ref="M73:M109" si="89">(Vout+(Rdson2+Rs+Rdcr)*K73)/(Vin+(Rs+Rdson2-Rdson1)*K73)</f>
        <v>0.24070529031762397</v>
      </c>
      <c r="N73" s="4">
        <f t="shared" ref="N73:N104" si="90">(Vin-(Rdson1+Rdcr)*K73-Vout)*M73/(Fsw*Lf)</f>
        <v>12.212382419344863</v>
      </c>
      <c r="O73" s="4">
        <f t="shared" si="39"/>
        <v>9.3061912096724306</v>
      </c>
      <c r="P73" s="4">
        <f t="shared" si="40"/>
        <v>-2.9061912096724312</v>
      </c>
      <c r="Q73" s="4">
        <f t="shared" ref="Q73:Q104" si="91">IF(MIN(Vin, -P73/(Coss_Q1+Coss_Q2)*0.00000002)&lt;0, 0, MIN(Vin, -P73/(Coss_Q1+Coss_Q2)*0.00000002))</f>
        <v>50</v>
      </c>
      <c r="R73" s="4">
        <f t="shared" si="41"/>
        <v>4.7611473088280194</v>
      </c>
      <c r="S73" s="348">
        <f t="shared" ref="S73:S104" si="92">R73^2*Rdcr</f>
        <v>7.9339832937261032E-2</v>
      </c>
      <c r="T73" s="348">
        <f t="shared" ref="T73:T109" si="93">Core_Loss_Ch1</f>
        <v>0.2</v>
      </c>
      <c r="U73" s="348">
        <f t="shared" ref="U73:U104" si="94">(T73+S73*(1+Ltc*(Ta-25)))/(1-S73*Ltc*ThetaCa)</f>
        <v>0.28112418057900207</v>
      </c>
      <c r="V73" s="4">
        <f t="shared" si="42"/>
        <v>3.5254111386277049</v>
      </c>
      <c r="W73" s="348">
        <f t="shared" si="10"/>
        <v>1.2428523696360291E-2</v>
      </c>
      <c r="X73" s="348">
        <f t="shared" si="43"/>
        <v>1.2428523696360291E-2</v>
      </c>
      <c r="Y73" s="4">
        <f t="shared" si="44"/>
        <v>2.035446179356359</v>
      </c>
      <c r="Z73" s="348">
        <f t="shared" si="11"/>
        <v>4.1430411490563993E-3</v>
      </c>
      <c r="AA73" s="525">
        <f t="shared" si="45"/>
        <v>4.1430411490563993E-3</v>
      </c>
      <c r="AB73" s="348">
        <f t="shared" si="46"/>
        <v>2.3359010204639112</v>
      </c>
      <c r="AC73" s="348">
        <f t="shared" ref="AC73:AC104" si="95">Rdson1*AB73^2</f>
        <v>6.5477202928852105E-2</v>
      </c>
      <c r="AD73" s="348">
        <f t="shared" ref="AD73:AD109" si="96">(Vin*K73/2)*Fsw*(Tr_buck+Tf_buck)</f>
        <v>0.21168006986499449</v>
      </c>
      <c r="AE73" s="348">
        <f t="shared" ref="AE73:AE109" si="97">(0.5*Coss_Q1*(Vin-Q73)^2-0.5*Coss_Q2*(Vin-Q73)^2+(Qoss_Q2*(Vin-Q73)/Vin)*Vin)*Fsw</f>
        <v>0</v>
      </c>
      <c r="AF73" s="348">
        <f t="shared" ref="AF73:AF109" si="98">IF(K73&gt;N73/2,0,ABS(K73-N73/2)*Vsd_Q1*Deadtime*Fsw)</f>
        <v>9.6834291106285397E-3</v>
      </c>
      <c r="AG73" s="348">
        <f t="shared" ref="AG73:AG104" si="99">(AF73+AE73+AD73+AC73*(1+RdsonTopTc*Ta-RdsonTopTc*25))/(1-AC73*RdsonTopTc*ThetaJA_Q1)</f>
        <v>0.29003109326234328</v>
      </c>
      <c r="AH73" s="348">
        <f t="shared" ref="AH73:AH109" si="100">SQRT((1-M73))*SQRT(K73^2+(N73^2)/12)</f>
        <v>4.1487456078863101</v>
      </c>
      <c r="AI73" s="348">
        <f t="shared" ref="AI73:AI104" si="101">Rdson2*AH73^2</f>
        <v>7.0569569487719377E-2</v>
      </c>
      <c r="AJ73" s="348">
        <f t="shared" ref="AJ73:AJ109" si="102">IF(K73&lt;N73/2,Deadtime*Fsw*IF(VfdSky_Q2&gt;0,0,Vsd_Q2)*(K73+N73/2),2*Deadtime*Fsw*IF(VfdSky_Q2&gt;0,0,Vsd_Q2)*K73)</f>
        <v>3.1008229110628532E-2</v>
      </c>
      <c r="AK73" s="348">
        <f t="shared" ref="AK73:AK104" si="103">(AJ73+AI73*(1+RdsonBotTc*Ta-RdsonBotTc*25))/(1-AI73*RdsonBotTc*ThetaJA_Q2)</f>
        <v>0.10275836124593042</v>
      </c>
      <c r="AL73" s="348">
        <f t="shared" ref="AL73:AL109" si="104">2*Deadtime*Fsw*IF(VfdSky_Q2&gt;0,VfdSky_Q2,Vsd_Q2)*K73</f>
        <v>2.1324799999999998E-2</v>
      </c>
      <c r="AM73" s="348">
        <f t="shared" ref="AM73:AM109" si="105">IF(QrrSky_Q2&gt;0,QrrSky_Q2,Qrr_Q2*K73/(Iout/Number_of_Phases))*Fsw*Vin</f>
        <v>0.64192000000000005</v>
      </c>
      <c r="AN73" s="348">
        <f t="shared" ref="AN73:AN109" si="106">Rs*R73^2</f>
        <v>4.5337047392720584E-2</v>
      </c>
      <c r="AO73" s="348">
        <f t="shared" ref="AO73:AO109" si="107">Iq*Vin</f>
        <v>1.1E-4</v>
      </c>
      <c r="AP73" s="348">
        <f t="shared" ref="AP73:AP109" si="108">IF(Ext_VCC=1,  (Qg_Q1+Qg_Q2)*Fsw*VCC, (Qg_Q1+Qg_Q2)*Fsw*Vin)</f>
        <v>5.6099999999999997E-2</v>
      </c>
      <c r="AQ73" s="348">
        <f t="shared" ref="AQ73:AQ109" si="109">(Vin-VCC)*Fsw*(Qg_Q1+Qg_Q2)+(RdsonDRT+RdsonDRT2)*Fsw*Qg_Q1*VCC/(RdsonDRT+2*Rgate1+RdsonDRT2)+(RdsonDRB+RdsonDRB2)*Fsw*Qg_Q2*VCC/(RdsonDRB+2*Rgate2+RdsonDRB2)</f>
        <v>0.52647692307692318</v>
      </c>
      <c r="AR73" s="348">
        <f t="shared" ref="AR73:AR109" si="110">(Qg_Q1+Qg_Q2)*Fsw*(Vin-VCC)</f>
        <v>0.5048999999999999</v>
      </c>
      <c r="AS73" s="348">
        <f t="shared" si="74"/>
        <v>5.6209999999999996E-2</v>
      </c>
      <c r="AT73" s="348">
        <f t="shared" ref="AT73:AT104" si="111" xml:space="preserve"> SUM(U73,X73,AA73,AG73,AK73,AL73,AM73,AS73,AN73)</f>
        <v>1.4552770473254133</v>
      </c>
      <c r="AU73">
        <f t="shared" ref="AU73:AU109" si="112">Vout*K73</f>
        <v>38.400000000000006</v>
      </c>
      <c r="AV73" s="526">
        <f t="shared" si="47"/>
        <v>0.96348596333686587</v>
      </c>
      <c r="AW73" s="534">
        <f t="shared" ref="AW73:AW109" si="113">ThetaJA_Q1*BC73</f>
        <v>29.97532831701842</v>
      </c>
      <c r="AX73" s="534">
        <f t="shared" ref="AX73:AX109" si="114">ThetaJA_Q2*BD73</f>
        <v>12.803892822709372</v>
      </c>
      <c r="AY73" s="9"/>
      <c r="AZ73" s="4">
        <f t="shared" si="48"/>
        <v>96.348596333686586</v>
      </c>
      <c r="BA73" s="348">
        <f t="shared" ref="BA73:BA109" si="115">U73</f>
        <v>0.28112418057900207</v>
      </c>
      <c r="BB73" s="348">
        <f t="shared" si="80"/>
        <v>1.0347094545082738</v>
      </c>
      <c r="BC73" s="348">
        <f t="shared" si="81"/>
        <v>0.71369829326234335</v>
      </c>
      <c r="BD73" s="348">
        <f t="shared" si="82"/>
        <v>0.31459196124593047</v>
      </c>
      <c r="BE73" s="348">
        <f t="shared" si="83"/>
        <v>4.5337047392720584E-2</v>
      </c>
      <c r="BK73" s="18"/>
      <c r="BL73" s="19"/>
    </row>
    <row r="74" spans="1:64" x14ac:dyDescent="0.2">
      <c r="A74" s="14" t="s">
        <v>114</v>
      </c>
      <c r="B74" s="15" t="s">
        <v>7</v>
      </c>
      <c r="C74" s="17" t="s">
        <v>76</v>
      </c>
      <c r="G74">
        <v>65</v>
      </c>
      <c r="H74" s="531">
        <f t="shared" si="85"/>
        <v>50</v>
      </c>
      <c r="I74" s="4">
        <f t="shared" si="86"/>
        <v>1</v>
      </c>
      <c r="J74" s="348">
        <f t="shared" ref="J74:J109" si="116">Iout*G74/100</f>
        <v>3.25</v>
      </c>
      <c r="K74" s="348">
        <f t="shared" si="87"/>
        <v>3.25</v>
      </c>
      <c r="L74" s="4">
        <f t="shared" si="88"/>
        <v>0.8666666666666667</v>
      </c>
      <c r="M74" s="348">
        <f t="shared" si="89"/>
        <v>0.24071631470669</v>
      </c>
      <c r="N74" s="4">
        <f t="shared" si="90"/>
        <v>12.212692345589398</v>
      </c>
      <c r="O74" s="4">
        <f t="shared" ref="O74:O109" si="117">K74+N74/2</f>
        <v>9.3563461727946979</v>
      </c>
      <c r="P74" s="4">
        <f t="shared" ref="P74:P109" si="118">K74-N74/2</f>
        <v>-2.8563461727946988</v>
      </c>
      <c r="Q74" s="4">
        <f t="shared" si="91"/>
        <v>50</v>
      </c>
      <c r="R74" s="4">
        <f t="shared" ref="R74:R109" si="119">SQRT(K74^2+(N74^2)/12)</f>
        <v>4.7949613687009851</v>
      </c>
      <c r="S74" s="348">
        <f t="shared" si="92"/>
        <v>8.047079084567188E-2</v>
      </c>
      <c r="T74" s="348">
        <f t="shared" si="93"/>
        <v>0.2</v>
      </c>
      <c r="U74" s="348">
        <f t="shared" si="94"/>
        <v>0.28228806636138354</v>
      </c>
      <c r="V74" s="4">
        <f t="shared" ref="V74:V109" si="120">N74/SQRT(12)</f>
        <v>3.5255006066280608</v>
      </c>
      <c r="W74" s="348">
        <f t="shared" ref="W74:W109" si="121">RCoutEsr*V74^2</f>
        <v>1.2429154527334825E-2</v>
      </c>
      <c r="X74" s="348">
        <f t="shared" ref="X74:X109" si="122">W74</f>
        <v>1.2429154527334825E-2</v>
      </c>
      <c r="Y74" s="4">
        <f t="shared" ref="Y74:Y109" si="123">SQRT(M74*(1-M74))*SQRT(K74^2+(N74^2)/12)</f>
        <v>2.0499341462477392</v>
      </c>
      <c r="Z74" s="348">
        <f t="shared" ref="Z74:Z109" si="124">RCinEsr*Y74^2</f>
        <v>4.2022300039524473E-3</v>
      </c>
      <c r="AA74" s="525">
        <f t="shared" ref="AA74:AA109" si="125">Z74</f>
        <v>4.2022300039524473E-3</v>
      </c>
      <c r="AB74" s="348">
        <f t="shared" ref="AB74:AB109" si="126">SQRT(M74)*SQRT(K74^2+(N74^2)/12)</f>
        <v>2.3525446535250767</v>
      </c>
      <c r="AC74" s="348">
        <f t="shared" si="95"/>
        <v>6.6413596161953081E-2</v>
      </c>
      <c r="AD74" s="348">
        <f t="shared" si="96"/>
        <v>0.21498757095663504</v>
      </c>
      <c r="AE74" s="348">
        <f t="shared" si="97"/>
        <v>0</v>
      </c>
      <c r="AF74" s="348">
        <f t="shared" si="98"/>
        <v>9.5173454477519345E-3</v>
      </c>
      <c r="AG74" s="348">
        <f t="shared" si="99"/>
        <v>0.29420105618921671</v>
      </c>
      <c r="AH74" s="348">
        <f t="shared" si="100"/>
        <v>4.1781800081501279</v>
      </c>
      <c r="AI74" s="348">
        <f t="shared" si="101"/>
        <v>7.157447154007214E-2</v>
      </c>
      <c r="AJ74" s="348">
        <f t="shared" si="102"/>
        <v>3.1175345447751929E-2</v>
      </c>
      <c r="AK74" s="348">
        <f t="shared" si="103"/>
        <v>0.10396120664765404</v>
      </c>
      <c r="AL74" s="348">
        <f t="shared" si="104"/>
        <v>2.1657999999999997E-2</v>
      </c>
      <c r="AM74" s="348">
        <f t="shared" si="105"/>
        <v>0.65195000000000003</v>
      </c>
      <c r="AN74" s="348">
        <f t="shared" si="106"/>
        <v>4.5983309054669651E-2</v>
      </c>
      <c r="AO74" s="348">
        <f t="shared" si="107"/>
        <v>1.1E-4</v>
      </c>
      <c r="AP74" s="348">
        <f t="shared" si="108"/>
        <v>5.6099999999999997E-2</v>
      </c>
      <c r="AQ74" s="348">
        <f t="shared" si="109"/>
        <v>0.52647692307692318</v>
      </c>
      <c r="AR74" s="348">
        <f t="shared" si="110"/>
        <v>0.5048999999999999</v>
      </c>
      <c r="AS74" s="348">
        <f t="shared" si="74"/>
        <v>5.6209999999999996E-2</v>
      </c>
      <c r="AT74" s="348">
        <f t="shared" si="111"/>
        <v>1.4728830227842113</v>
      </c>
      <c r="AU74">
        <f t="shared" si="112"/>
        <v>39</v>
      </c>
      <c r="AV74" s="526">
        <f t="shared" ref="AV74:AV109" si="127">AU74/(AU74+AT74)</f>
        <v>0.96360815161215352</v>
      </c>
      <c r="AW74" s="534">
        <f t="shared" si="113"/>
        <v>30.428498359947103</v>
      </c>
      <c r="AX74" s="534">
        <f t="shared" si="114"/>
        <v>12.987561560559522</v>
      </c>
      <c r="AY74" s="9"/>
      <c r="AZ74" s="4">
        <f t="shared" ref="AZ74:AZ109" si="128">AV74*100</f>
        <v>96.360815161215356</v>
      </c>
      <c r="BA74" s="348">
        <f t="shared" si="115"/>
        <v>0.28228806636138354</v>
      </c>
      <c r="BB74" s="348">
        <f t="shared" ref="BB74:BB109" si="129">AG74+AK74+AM74</f>
        <v>1.0501122628368709</v>
      </c>
      <c r="BC74" s="348">
        <f t="shared" ref="BC74:BC109" si="130">AG74+AM74*0.66</f>
        <v>0.72448805618921674</v>
      </c>
      <c r="BD74" s="348">
        <f t="shared" ref="BD74:BD109" si="131">AK74+AM74*0.33</f>
        <v>0.31910470664765406</v>
      </c>
      <c r="BE74" s="348">
        <f t="shared" ref="BE74:BE109" si="132">AN74</f>
        <v>4.5983309054669651E-2</v>
      </c>
      <c r="BK74" s="18"/>
      <c r="BL74" s="19"/>
    </row>
    <row r="75" spans="1:64" x14ac:dyDescent="0.2">
      <c r="A75" s="34" t="s">
        <v>115</v>
      </c>
      <c r="B75" s="566">
        <f>AS9</f>
        <v>5.6209999999999996E-2</v>
      </c>
      <c r="C75" s="78" t="s">
        <v>116</v>
      </c>
      <c r="G75">
        <v>66</v>
      </c>
      <c r="H75" s="531">
        <f t="shared" si="85"/>
        <v>50</v>
      </c>
      <c r="I75" s="4">
        <f t="shared" si="86"/>
        <v>1</v>
      </c>
      <c r="J75" s="348">
        <f t="shared" si="116"/>
        <v>3.3</v>
      </c>
      <c r="K75" s="348">
        <f t="shared" si="87"/>
        <v>3.3</v>
      </c>
      <c r="L75" s="4">
        <f t="shared" si="88"/>
        <v>0.87999999999999989</v>
      </c>
      <c r="M75" s="348">
        <f t="shared" si="89"/>
        <v>0.24072733922589454</v>
      </c>
      <c r="N75" s="4">
        <f t="shared" si="90"/>
        <v>12.213002255591695</v>
      </c>
      <c r="O75" s="4">
        <f t="shared" si="117"/>
        <v>9.4065011277958472</v>
      </c>
      <c r="P75" s="4">
        <f t="shared" si="118"/>
        <v>-2.8065011277958476</v>
      </c>
      <c r="Q75" s="4">
        <f t="shared" si="91"/>
        <v>50</v>
      </c>
      <c r="R75" s="4">
        <f t="shared" si="119"/>
        <v>4.8290563613668169</v>
      </c>
      <c r="S75" s="348">
        <f t="shared" si="92"/>
        <v>8.1619248694400626E-2</v>
      </c>
      <c r="T75" s="348">
        <f t="shared" si="93"/>
        <v>0.2</v>
      </c>
      <c r="U75" s="348">
        <f t="shared" si="94"/>
        <v>0.28347017853433987</v>
      </c>
      <c r="V75" s="4">
        <f t="shared" si="120"/>
        <v>3.5255900699396858</v>
      </c>
      <c r="W75" s="348">
        <f t="shared" si="121"/>
        <v>1.2429785341257318E-2</v>
      </c>
      <c r="X75" s="348">
        <f t="shared" si="122"/>
        <v>1.2429785341257318E-2</v>
      </c>
      <c r="Y75" s="4">
        <f t="shared" si="123"/>
        <v>2.0645426696387594</v>
      </c>
      <c r="Z75" s="348">
        <f t="shared" si="124"/>
        <v>4.2623364347591361E-3</v>
      </c>
      <c r="AA75" s="525">
        <f t="shared" si="125"/>
        <v>4.2623364347591361E-3</v>
      </c>
      <c r="AB75" s="348">
        <f t="shared" si="126"/>
        <v>2.3693268825807667</v>
      </c>
      <c r="AC75" s="348">
        <f t="shared" si="95"/>
        <v>6.7364518518238728E-2</v>
      </c>
      <c r="AD75" s="348">
        <f t="shared" si="96"/>
        <v>0.21829507204827556</v>
      </c>
      <c r="AE75" s="348">
        <f t="shared" si="97"/>
        <v>0</v>
      </c>
      <c r="AF75" s="348">
        <f t="shared" si="98"/>
        <v>9.3512617578157629E-3</v>
      </c>
      <c r="AG75" s="348">
        <f t="shared" si="99"/>
        <v>0.29838777815755829</v>
      </c>
      <c r="AH75" s="348">
        <f t="shared" si="100"/>
        <v>4.2078587743337383</v>
      </c>
      <c r="AI75" s="348">
        <f t="shared" si="101"/>
        <v>7.2594909405423458E-2</v>
      </c>
      <c r="AJ75" s="348">
        <f t="shared" si="102"/>
        <v>3.1342461757815757E-2</v>
      </c>
      <c r="AK75" s="348">
        <f t="shared" si="103"/>
        <v>0.10518044107870794</v>
      </c>
      <c r="AL75" s="348">
        <f t="shared" si="104"/>
        <v>2.1991199999999995E-2</v>
      </c>
      <c r="AM75" s="348">
        <f t="shared" si="105"/>
        <v>0.6619799999999999</v>
      </c>
      <c r="AN75" s="348">
        <f t="shared" si="106"/>
        <v>4.6639570682514647E-2</v>
      </c>
      <c r="AO75" s="348">
        <f t="shared" si="107"/>
        <v>1.1E-4</v>
      </c>
      <c r="AP75" s="348">
        <f t="shared" si="108"/>
        <v>5.6099999999999997E-2</v>
      </c>
      <c r="AQ75" s="348">
        <f t="shared" si="109"/>
        <v>0.52647692307692318</v>
      </c>
      <c r="AR75" s="348">
        <f t="shared" si="110"/>
        <v>0.5048999999999999</v>
      </c>
      <c r="AS75" s="348">
        <f t="shared" ref="AS75:AS109" si="133">SUM(AO75:AP75)</f>
        <v>5.6209999999999996E-2</v>
      </c>
      <c r="AT75" s="348">
        <f t="shared" si="111"/>
        <v>1.4905512902291373</v>
      </c>
      <c r="AU75">
        <f t="shared" si="112"/>
        <v>39.599999999999994</v>
      </c>
      <c r="AV75" s="526">
        <f t="shared" si="127"/>
        <v>0.96372520583379051</v>
      </c>
      <c r="AW75" s="534">
        <f t="shared" si="113"/>
        <v>30.882372282617442</v>
      </c>
      <c r="AX75" s="534">
        <f t="shared" si="114"/>
        <v>13.171897331903413</v>
      </c>
      <c r="AY75" s="9"/>
      <c r="AZ75" s="4">
        <f t="shared" si="128"/>
        <v>96.372520583379057</v>
      </c>
      <c r="BA75" s="348">
        <f t="shared" si="115"/>
        <v>0.28347017853433987</v>
      </c>
      <c r="BB75" s="348">
        <f t="shared" si="129"/>
        <v>1.0655482192362662</v>
      </c>
      <c r="BC75" s="348">
        <f t="shared" si="130"/>
        <v>0.73529457815755817</v>
      </c>
      <c r="BD75" s="348">
        <f t="shared" si="131"/>
        <v>0.32363384107870791</v>
      </c>
      <c r="BE75" s="348">
        <f t="shared" si="132"/>
        <v>4.6639570682514647E-2</v>
      </c>
      <c r="BK75" s="18"/>
      <c r="BL75" s="19"/>
    </row>
    <row r="76" spans="1:64" x14ac:dyDescent="0.2">
      <c r="A76" s="34" t="s">
        <v>119</v>
      </c>
      <c r="B76" s="567">
        <f>B75*B62</f>
        <v>1.6862999999999999</v>
      </c>
      <c r="C76" s="427" t="s">
        <v>449</v>
      </c>
      <c r="G76">
        <v>67</v>
      </c>
      <c r="H76" s="531">
        <f t="shared" si="85"/>
        <v>50</v>
      </c>
      <c r="I76" s="4">
        <f t="shared" si="86"/>
        <v>1</v>
      </c>
      <c r="J76" s="348">
        <f t="shared" si="116"/>
        <v>3.35</v>
      </c>
      <c r="K76" s="348">
        <f t="shared" si="87"/>
        <v>3.35</v>
      </c>
      <c r="L76" s="4">
        <f t="shared" si="88"/>
        <v>0.89333333333333342</v>
      </c>
      <c r="M76" s="348">
        <f t="shared" si="89"/>
        <v>0.24073836387523986</v>
      </c>
      <c r="N76" s="4">
        <f t="shared" si="90"/>
        <v>12.213312149351461</v>
      </c>
      <c r="O76" s="4">
        <f t="shared" si="117"/>
        <v>9.4566560746757311</v>
      </c>
      <c r="P76" s="4">
        <f t="shared" si="118"/>
        <v>-2.7566560746757305</v>
      </c>
      <c r="Q76" s="4">
        <f t="shared" si="91"/>
        <v>50</v>
      </c>
      <c r="R76" s="4">
        <f t="shared" si="119"/>
        <v>4.8634263784007947</v>
      </c>
      <c r="S76" s="348">
        <f t="shared" si="92"/>
        <v>8.2785206483436347E-2</v>
      </c>
      <c r="T76" s="348">
        <f t="shared" si="93"/>
        <v>0.2</v>
      </c>
      <c r="U76" s="348">
        <f t="shared" si="94"/>
        <v>0.28467052715304542</v>
      </c>
      <c r="V76" s="4">
        <f t="shared" si="120"/>
        <v>3.5256795285624967</v>
      </c>
      <c r="W76" s="348">
        <f t="shared" si="121"/>
        <v>1.2430416138124669E-2</v>
      </c>
      <c r="X76" s="348">
        <f t="shared" si="122"/>
        <v>1.2430416138124669E-2</v>
      </c>
      <c r="Y76" s="4">
        <f t="shared" si="123"/>
        <v>2.0792692290935033</v>
      </c>
      <c r="Z76" s="348">
        <f t="shared" si="124"/>
        <v>4.3233605270550915E-3</v>
      </c>
      <c r="AA76" s="525">
        <f t="shared" si="125"/>
        <v>4.3233605270550915E-3</v>
      </c>
      <c r="AB76" s="348">
        <f t="shared" si="126"/>
        <v>2.3862448181128419</v>
      </c>
      <c r="AC76" s="348">
        <f t="shared" si="95"/>
        <v>6.8329971983644683E-2</v>
      </c>
      <c r="AD76" s="348">
        <f t="shared" si="96"/>
        <v>0.2216025731399161</v>
      </c>
      <c r="AE76" s="348">
        <f t="shared" si="97"/>
        <v>0</v>
      </c>
      <c r="AF76" s="348">
        <f t="shared" si="98"/>
        <v>9.185178040819534E-3</v>
      </c>
      <c r="AG76" s="348">
        <f t="shared" si="99"/>
        <v>0.30259130041782789</v>
      </c>
      <c r="AH76" s="348">
        <f t="shared" si="100"/>
        <v>4.237776752750702</v>
      </c>
      <c r="AI76" s="348">
        <f t="shared" si="101"/>
        <v>7.3630882405232564E-2</v>
      </c>
      <c r="AJ76" s="348">
        <f t="shared" si="102"/>
        <v>3.1509578040819532E-2</v>
      </c>
      <c r="AK76" s="348">
        <f t="shared" si="103"/>
        <v>0.10641608147092822</v>
      </c>
      <c r="AL76" s="348">
        <f t="shared" si="104"/>
        <v>2.2324399999999998E-2</v>
      </c>
      <c r="AM76" s="348">
        <f t="shared" si="105"/>
        <v>0.67201</v>
      </c>
      <c r="AN76" s="348">
        <f t="shared" si="106"/>
        <v>4.7305832276249342E-2</v>
      </c>
      <c r="AO76" s="348">
        <f t="shared" si="107"/>
        <v>1.1E-4</v>
      </c>
      <c r="AP76" s="348">
        <f t="shared" si="108"/>
        <v>5.6099999999999997E-2</v>
      </c>
      <c r="AQ76" s="348">
        <f t="shared" si="109"/>
        <v>0.52647692307692318</v>
      </c>
      <c r="AR76" s="348">
        <f t="shared" si="110"/>
        <v>0.5048999999999999</v>
      </c>
      <c r="AS76" s="348">
        <f t="shared" si="133"/>
        <v>5.6209999999999996E-2</v>
      </c>
      <c r="AT76" s="348">
        <f t="shared" si="111"/>
        <v>1.5082819179832307</v>
      </c>
      <c r="AU76">
        <f t="shared" si="112"/>
        <v>40.200000000000003</v>
      </c>
      <c r="AV76" s="526">
        <f t="shared" si="127"/>
        <v>0.96383735199284459</v>
      </c>
      <c r="AW76" s="534">
        <f t="shared" si="113"/>
        <v>31.336951817548773</v>
      </c>
      <c r="AX76" s="534">
        <f t="shared" si="114"/>
        <v>13.356900825866781</v>
      </c>
      <c r="AY76" s="9"/>
      <c r="AZ76" s="4">
        <f t="shared" si="128"/>
        <v>96.383735199284459</v>
      </c>
      <c r="BA76" s="348">
        <f t="shared" si="115"/>
        <v>0.28467052715304542</v>
      </c>
      <c r="BB76" s="348">
        <f t="shared" si="129"/>
        <v>1.0810173818887561</v>
      </c>
      <c r="BC76" s="348">
        <f t="shared" si="130"/>
        <v>0.74611790041782788</v>
      </c>
      <c r="BD76" s="348">
        <f t="shared" si="131"/>
        <v>0.32817938147092823</v>
      </c>
      <c r="BE76" s="348">
        <f t="shared" si="132"/>
        <v>4.7305832276249342E-2</v>
      </c>
      <c r="BK76" s="18"/>
      <c r="BL76" s="19"/>
    </row>
    <row r="77" spans="1:64" x14ac:dyDescent="0.2">
      <c r="A77" s="34" t="s">
        <v>207</v>
      </c>
      <c r="B77" s="567">
        <f>(Qg_Q1+Qg_Q2)*Fsw+Iq</f>
        <v>1.12222E-2</v>
      </c>
      <c r="C77" s="21" t="s">
        <v>1</v>
      </c>
      <c r="G77">
        <v>68</v>
      </c>
      <c r="H77" s="531">
        <f t="shared" si="85"/>
        <v>50</v>
      </c>
      <c r="I77" s="4">
        <f t="shared" si="86"/>
        <v>1</v>
      </c>
      <c r="J77" s="348">
        <f t="shared" si="116"/>
        <v>3.4</v>
      </c>
      <c r="K77" s="348">
        <f t="shared" si="87"/>
        <v>3.4</v>
      </c>
      <c r="L77" s="4">
        <f t="shared" si="88"/>
        <v>0.90666666666666662</v>
      </c>
      <c r="M77" s="348">
        <f t="shared" si="89"/>
        <v>0.24074938865472831</v>
      </c>
      <c r="N77" s="4">
        <f t="shared" si="90"/>
        <v>12.213622026868411</v>
      </c>
      <c r="O77" s="4">
        <f t="shared" si="117"/>
        <v>9.5068110134342056</v>
      </c>
      <c r="P77" s="4">
        <f t="shared" si="118"/>
        <v>-2.7068110134342054</v>
      </c>
      <c r="Q77" s="4">
        <f t="shared" si="91"/>
        <v>50</v>
      </c>
      <c r="R77" s="4">
        <f t="shared" si="119"/>
        <v>4.8980656302191141</v>
      </c>
      <c r="S77" s="348">
        <f t="shared" si="92"/>
        <v>8.396866421276819E-2</v>
      </c>
      <c r="T77" s="348">
        <f t="shared" si="93"/>
        <v>0.2</v>
      </c>
      <c r="U77" s="348">
        <f t="shared" si="94"/>
        <v>0.28588912243064518</v>
      </c>
      <c r="V77" s="4">
        <f t="shared" si="120"/>
        <v>3.5257689824964098</v>
      </c>
      <c r="W77" s="348">
        <f t="shared" si="121"/>
        <v>1.2431046917933768E-2</v>
      </c>
      <c r="X77" s="348">
        <f t="shared" si="122"/>
        <v>1.2431046917933768E-2</v>
      </c>
      <c r="Y77" s="4">
        <f t="shared" si="123"/>
        <v>2.0941113548265919</v>
      </c>
      <c r="Z77" s="348">
        <f t="shared" si="124"/>
        <v>4.3853023664136639E-3</v>
      </c>
      <c r="AA77" s="525">
        <f t="shared" si="125"/>
        <v>4.3853023664136639E-3</v>
      </c>
      <c r="AB77" s="348">
        <f t="shared" si="126"/>
        <v>2.4032956286481815</v>
      </c>
      <c r="AC77" s="348">
        <f t="shared" si="95"/>
        <v>6.9309958544153491E-2</v>
      </c>
      <c r="AD77" s="348">
        <f t="shared" si="96"/>
        <v>0.22491007423155665</v>
      </c>
      <c r="AE77" s="348">
        <f t="shared" si="97"/>
        <v>0</v>
      </c>
      <c r="AF77" s="348">
        <f t="shared" si="98"/>
        <v>9.0190942967627707E-3</v>
      </c>
      <c r="AG77" s="348">
        <f t="shared" si="99"/>
        <v>0.30681166450205294</v>
      </c>
      <c r="AH77" s="348">
        <f t="shared" si="100"/>
        <v>4.2679288934159052</v>
      </c>
      <c r="AI77" s="348">
        <f t="shared" si="101"/>
        <v>7.4682389860942666E-2</v>
      </c>
      <c r="AJ77" s="348">
        <f t="shared" si="102"/>
        <v>3.1676694296762765E-2</v>
      </c>
      <c r="AK77" s="348">
        <f t="shared" si="103"/>
        <v>0.10766814501908194</v>
      </c>
      <c r="AL77" s="348">
        <f t="shared" si="104"/>
        <v>2.2657599999999996E-2</v>
      </c>
      <c r="AM77" s="348">
        <f t="shared" si="105"/>
        <v>0.68203999999999998</v>
      </c>
      <c r="AN77" s="348">
        <f t="shared" si="106"/>
        <v>4.7982093835867538E-2</v>
      </c>
      <c r="AO77" s="348">
        <f t="shared" si="107"/>
        <v>1.1E-4</v>
      </c>
      <c r="AP77" s="348">
        <f t="shared" si="108"/>
        <v>5.6099999999999997E-2</v>
      </c>
      <c r="AQ77" s="348">
        <f t="shared" si="109"/>
        <v>0.52647692307692318</v>
      </c>
      <c r="AR77" s="348">
        <f t="shared" si="110"/>
        <v>0.5048999999999999</v>
      </c>
      <c r="AS77" s="348">
        <f t="shared" si="133"/>
        <v>5.6209999999999996E-2</v>
      </c>
      <c r="AT77" s="348">
        <f t="shared" si="111"/>
        <v>1.5260749750719949</v>
      </c>
      <c r="AU77">
        <f t="shared" si="112"/>
        <v>40.799999999999997</v>
      </c>
      <c r="AV77" s="526">
        <f t="shared" si="127"/>
        <v>0.96394480291473339</v>
      </c>
      <c r="AW77" s="534">
        <f t="shared" si="113"/>
        <v>31.792238709086224</v>
      </c>
      <c r="AX77" s="534">
        <f t="shared" si="114"/>
        <v>13.542572742276635</v>
      </c>
      <c r="AY77" s="9"/>
      <c r="AZ77" s="4">
        <f t="shared" si="128"/>
        <v>96.394480291473343</v>
      </c>
      <c r="BA77" s="348">
        <f t="shared" si="115"/>
        <v>0.28588912243064518</v>
      </c>
      <c r="BB77" s="348">
        <f t="shared" si="129"/>
        <v>1.0965198095211348</v>
      </c>
      <c r="BC77" s="348">
        <f t="shared" si="130"/>
        <v>0.75695806450205294</v>
      </c>
      <c r="BD77" s="348">
        <f t="shared" si="131"/>
        <v>0.33274134501908192</v>
      </c>
      <c r="BE77" s="348">
        <f t="shared" si="132"/>
        <v>4.7982093835867538E-2</v>
      </c>
      <c r="BK77" s="18"/>
      <c r="BL77" s="19"/>
    </row>
    <row r="78" spans="1:64" x14ac:dyDescent="0.2">
      <c r="A78" s="34" t="s">
        <v>208</v>
      </c>
      <c r="B78" s="568">
        <f>Qrr_Q2*Fsw</f>
        <v>2.0059999999999998E-2</v>
      </c>
      <c r="C78" s="21" t="s">
        <v>1</v>
      </c>
      <c r="G78">
        <v>69</v>
      </c>
      <c r="H78" s="531">
        <f t="shared" si="85"/>
        <v>50</v>
      </c>
      <c r="I78" s="4">
        <f t="shared" si="86"/>
        <v>1</v>
      </c>
      <c r="J78" s="348">
        <f t="shared" si="116"/>
        <v>3.45</v>
      </c>
      <c r="K78" s="348">
        <f t="shared" si="87"/>
        <v>3.45</v>
      </c>
      <c r="L78" s="4">
        <f t="shared" si="88"/>
        <v>0.92000000000000015</v>
      </c>
      <c r="M78" s="348">
        <f t="shared" si="89"/>
        <v>0.24076041356436206</v>
      </c>
      <c r="N78" s="4">
        <f t="shared" si="90"/>
        <v>12.213931888142252</v>
      </c>
      <c r="O78" s="4">
        <f t="shared" si="117"/>
        <v>9.556965944071127</v>
      </c>
      <c r="P78" s="4">
        <f t="shared" si="118"/>
        <v>-2.6569659440711257</v>
      </c>
      <c r="Q78" s="4">
        <f t="shared" si="91"/>
        <v>50</v>
      </c>
      <c r="R78" s="4">
        <f t="shared" si="119"/>
        <v>4.9329684451333673</v>
      </c>
      <c r="S78" s="348">
        <f t="shared" si="92"/>
        <v>8.5169621882385291E-2</v>
      </c>
      <c r="T78" s="348">
        <f t="shared" si="93"/>
        <v>0.2</v>
      </c>
      <c r="U78" s="348">
        <f t="shared" si="94"/>
        <v>0.28712597473847223</v>
      </c>
      <c r="V78" s="4">
        <f t="shared" si="120"/>
        <v>3.5258584317413417</v>
      </c>
      <c r="W78" s="348">
        <f t="shared" si="121"/>
        <v>1.2431677680681513E-2</v>
      </c>
      <c r="X78" s="348">
        <f t="shared" si="122"/>
        <v>1.2431677680681513E-2</v>
      </c>
      <c r="Y78" s="4">
        <f t="shared" si="123"/>
        <v>2.1090666273029242</v>
      </c>
      <c r="Z78" s="348">
        <f t="shared" si="124"/>
        <v>4.4481620384029313E-3</v>
      </c>
      <c r="AA78" s="525">
        <f t="shared" si="125"/>
        <v>4.4481620384029313E-3</v>
      </c>
      <c r="AB78" s="348">
        <f t="shared" si="126"/>
        <v>2.4204765403014239</v>
      </c>
      <c r="AC78" s="348">
        <f t="shared" si="95"/>
        <v>7.0304480185794604E-2</v>
      </c>
      <c r="AD78" s="348">
        <f t="shared" si="96"/>
        <v>0.2282175753231972</v>
      </c>
      <c r="AE78" s="348">
        <f t="shared" si="97"/>
        <v>0</v>
      </c>
      <c r="AF78" s="348">
        <f t="shared" si="98"/>
        <v>8.853010525644989E-3</v>
      </c>
      <c r="AG78" s="348">
        <f t="shared" si="99"/>
        <v>0.31104891222514286</v>
      </c>
      <c r="AH78" s="348">
        <f t="shared" si="100"/>
        <v>4.2983102492179368</v>
      </c>
      <c r="AI78" s="348">
        <f t="shared" si="101"/>
        <v>7.5749431093981023E-2</v>
      </c>
      <c r="AJ78" s="348">
        <f t="shared" si="102"/>
        <v>3.1843810525644993E-2</v>
      </c>
      <c r="AK78" s="348">
        <f t="shared" si="103"/>
        <v>0.1089366491815137</v>
      </c>
      <c r="AL78" s="348">
        <f t="shared" si="104"/>
        <v>2.2990799999999999E-2</v>
      </c>
      <c r="AM78" s="348">
        <f t="shared" si="105"/>
        <v>0.69207000000000007</v>
      </c>
      <c r="AN78" s="348">
        <f t="shared" si="106"/>
        <v>4.8668355361363019E-2</v>
      </c>
      <c r="AO78" s="348">
        <f t="shared" si="107"/>
        <v>1.1E-4</v>
      </c>
      <c r="AP78" s="348">
        <f t="shared" si="108"/>
        <v>5.6099999999999997E-2</v>
      </c>
      <c r="AQ78" s="348">
        <f t="shared" si="109"/>
        <v>0.52647692307692318</v>
      </c>
      <c r="AR78" s="348">
        <f t="shared" si="110"/>
        <v>0.5048999999999999</v>
      </c>
      <c r="AS78" s="348">
        <f t="shared" si="133"/>
        <v>5.6209999999999996E-2</v>
      </c>
      <c r="AT78" s="348">
        <f t="shared" si="111"/>
        <v>1.5439305312255762</v>
      </c>
      <c r="AU78">
        <f t="shared" si="112"/>
        <v>41.400000000000006</v>
      </c>
      <c r="AV78" s="526">
        <f t="shared" si="127"/>
        <v>0.96404775920306252</v>
      </c>
      <c r="AW78" s="534">
        <f t="shared" si="113"/>
        <v>32.248234713456</v>
      </c>
      <c r="AX78" s="534">
        <f t="shared" si="114"/>
        <v>13.72891379168761</v>
      </c>
      <c r="AY78" s="9"/>
      <c r="AZ78" s="4">
        <f t="shared" si="128"/>
        <v>96.40477592030625</v>
      </c>
      <c r="BA78" s="348">
        <f t="shared" si="115"/>
        <v>0.28712597473847223</v>
      </c>
      <c r="BB78" s="348">
        <f t="shared" si="129"/>
        <v>1.1120555614066565</v>
      </c>
      <c r="BC78" s="348">
        <f t="shared" si="130"/>
        <v>0.76781511222514287</v>
      </c>
      <c r="BD78" s="348">
        <f t="shared" si="131"/>
        <v>0.33731974918151375</v>
      </c>
      <c r="BE78" s="348">
        <f t="shared" si="132"/>
        <v>4.8668355361363019E-2</v>
      </c>
      <c r="BK78" s="18"/>
      <c r="BL78" s="19"/>
    </row>
    <row r="79" spans="1:64" x14ac:dyDescent="0.2">
      <c r="A79" s="34" t="s">
        <v>209</v>
      </c>
      <c r="B79" s="568">
        <f>Deadtime*Fsw*(Iripple_Vinnom/2)*(Vsd_Q2)/Vin</f>
        <v>4.0710412462961943E-4</v>
      </c>
      <c r="C79" s="21"/>
      <c r="G79">
        <v>70</v>
      </c>
      <c r="H79" s="531">
        <f t="shared" si="85"/>
        <v>50</v>
      </c>
      <c r="I79" s="4">
        <f t="shared" si="86"/>
        <v>1</v>
      </c>
      <c r="J79" s="348">
        <f t="shared" si="116"/>
        <v>3.5</v>
      </c>
      <c r="K79" s="348">
        <f t="shared" si="87"/>
        <v>3.5</v>
      </c>
      <c r="L79" s="4">
        <f t="shared" si="88"/>
        <v>0.93333333333333335</v>
      </c>
      <c r="M79" s="348">
        <f t="shared" si="89"/>
        <v>0.24077143860414352</v>
      </c>
      <c r="N79" s="4">
        <f t="shared" si="90"/>
        <v>12.214241733172697</v>
      </c>
      <c r="O79" s="4">
        <f t="shared" si="117"/>
        <v>9.6071208665863495</v>
      </c>
      <c r="P79" s="4">
        <f t="shared" si="118"/>
        <v>-2.6071208665863486</v>
      </c>
      <c r="Q79" s="4">
        <f t="shared" si="91"/>
        <v>50</v>
      </c>
      <c r="R79" s="4">
        <f t="shared" si="119"/>
        <v>4.9681292682824587</v>
      </c>
      <c r="S79" s="348">
        <f t="shared" si="92"/>
        <v>8.6388079492276795E-2</v>
      </c>
      <c r="T79" s="348">
        <f t="shared" si="93"/>
        <v>0.2</v>
      </c>
      <c r="U79" s="348">
        <f t="shared" si="94"/>
        <v>0.28838109460627009</v>
      </c>
      <c r="V79" s="4">
        <f t="shared" si="120"/>
        <v>3.525947876297209</v>
      </c>
      <c r="W79" s="348">
        <f t="shared" si="121"/>
        <v>1.2432308426364799E-2</v>
      </c>
      <c r="X79" s="348">
        <f t="shared" si="122"/>
        <v>1.2432308426364799E-2</v>
      </c>
      <c r="Y79" s="4">
        <f t="shared" si="123"/>
        <v>2.1241326767849715</v>
      </c>
      <c r="Z79" s="348">
        <f t="shared" si="124"/>
        <v>4.5119396285856882E-3</v>
      </c>
      <c r="AA79" s="525">
        <f t="shared" si="125"/>
        <v>4.5119396285856882E-3</v>
      </c>
      <c r="AB79" s="348">
        <f t="shared" si="126"/>
        <v>2.4377848362575039</v>
      </c>
      <c r="AC79" s="348">
        <f t="shared" si="95"/>
        <v>7.1313538894644299E-2</v>
      </c>
      <c r="AD79" s="348">
        <f t="shared" si="96"/>
        <v>0.23152507641483772</v>
      </c>
      <c r="AE79" s="348">
        <f t="shared" si="97"/>
        <v>0</v>
      </c>
      <c r="AF79" s="348">
        <f t="shared" si="98"/>
        <v>8.686926727465712E-3</v>
      </c>
      <c r="AG79" s="348">
        <f t="shared" si="99"/>
        <v>0.31530308568621485</v>
      </c>
      <c r="AH79" s="348">
        <f t="shared" si="100"/>
        <v>4.3289159749847048</v>
      </c>
      <c r="AI79" s="348">
        <f t="shared" si="101"/>
        <v>7.6832005425758881E-2</v>
      </c>
      <c r="AJ79" s="348">
        <f t="shared" si="102"/>
        <v>3.2010926727465708E-2</v>
      </c>
      <c r="AK79" s="348">
        <f t="shared" si="103"/>
        <v>0.11022161168080258</v>
      </c>
      <c r="AL79" s="348">
        <f t="shared" si="104"/>
        <v>2.3323999999999998E-2</v>
      </c>
      <c r="AM79" s="348">
        <f t="shared" si="105"/>
        <v>0.70209999999999995</v>
      </c>
      <c r="AN79" s="348">
        <f t="shared" si="106"/>
        <v>4.9364616852729595E-2</v>
      </c>
      <c r="AO79" s="348">
        <f t="shared" si="107"/>
        <v>1.1E-4</v>
      </c>
      <c r="AP79" s="348">
        <f t="shared" si="108"/>
        <v>5.6099999999999997E-2</v>
      </c>
      <c r="AQ79" s="348">
        <f t="shared" si="109"/>
        <v>0.52647692307692318</v>
      </c>
      <c r="AR79" s="348">
        <f t="shared" si="110"/>
        <v>0.5048999999999999</v>
      </c>
      <c r="AS79" s="348">
        <f t="shared" si="133"/>
        <v>5.6209999999999996E-2</v>
      </c>
      <c r="AT79" s="348">
        <f t="shared" si="111"/>
        <v>1.5618486568809677</v>
      </c>
      <c r="AU79">
        <f t="shared" si="112"/>
        <v>42</v>
      </c>
      <c r="AV79" s="526">
        <f t="shared" si="127"/>
        <v>0.96414641010341373</v>
      </c>
      <c r="AW79" s="534">
        <f t="shared" si="113"/>
        <v>32.704941598821023</v>
      </c>
      <c r="AX79" s="534">
        <f t="shared" si="114"/>
        <v>13.915924695408664</v>
      </c>
      <c r="AY79" s="9"/>
      <c r="AZ79" s="4">
        <f t="shared" si="128"/>
        <v>96.41464101034137</v>
      </c>
      <c r="BA79" s="348">
        <f t="shared" si="115"/>
        <v>0.28838109460627009</v>
      </c>
      <c r="BB79" s="348">
        <f t="shared" si="129"/>
        <v>1.1276246973670174</v>
      </c>
      <c r="BC79" s="348">
        <f t="shared" si="130"/>
        <v>0.77868908568621475</v>
      </c>
      <c r="BD79" s="348">
        <f t="shared" si="131"/>
        <v>0.34191461168080256</v>
      </c>
      <c r="BE79" s="348">
        <f t="shared" si="132"/>
        <v>4.9364616852729595E-2</v>
      </c>
      <c r="BK79" s="18"/>
      <c r="BL79" s="19"/>
    </row>
    <row r="80" spans="1:64" x14ac:dyDescent="0.2">
      <c r="A80" s="34" t="s">
        <v>45</v>
      </c>
      <c r="B80" s="568">
        <f>SUM(B77:B79)</f>
        <v>3.1689304124629614E-2</v>
      </c>
      <c r="C80" s="21" t="s">
        <v>1</v>
      </c>
      <c r="G80">
        <v>71</v>
      </c>
      <c r="H80" s="531">
        <f t="shared" si="85"/>
        <v>50</v>
      </c>
      <c r="I80" s="4">
        <f t="shared" si="86"/>
        <v>1</v>
      </c>
      <c r="J80" s="348">
        <f t="shared" si="116"/>
        <v>3.55</v>
      </c>
      <c r="K80" s="348">
        <f t="shared" si="87"/>
        <v>3.55</v>
      </c>
      <c r="L80" s="4">
        <f t="shared" si="88"/>
        <v>0.94666666666666655</v>
      </c>
      <c r="M80" s="348">
        <f t="shared" si="89"/>
        <v>0.24078246377407495</v>
      </c>
      <c r="N80" s="4">
        <f t="shared" si="90"/>
        <v>12.214551561959464</v>
      </c>
      <c r="O80" s="4">
        <f t="shared" si="117"/>
        <v>9.6572757809797309</v>
      </c>
      <c r="P80" s="4">
        <f t="shared" si="118"/>
        <v>-2.5572757809797322</v>
      </c>
      <c r="Q80" s="4">
        <f t="shared" si="91"/>
        <v>50</v>
      </c>
      <c r="R80" s="4">
        <f t="shared" si="119"/>
        <v>5.0035426604537436</v>
      </c>
      <c r="S80" s="348">
        <f t="shared" si="92"/>
        <v>8.7624037042431838E-2</v>
      </c>
      <c r="T80" s="348">
        <f t="shared" si="93"/>
        <v>0.2</v>
      </c>
      <c r="U80" s="348">
        <f t="shared" si="94"/>
        <v>0.28965449272241711</v>
      </c>
      <c r="V80" s="4">
        <f t="shared" si="120"/>
        <v>3.5260373161639302</v>
      </c>
      <c r="W80" s="348">
        <f t="shared" si="121"/>
        <v>1.2432939154980532E-2</v>
      </c>
      <c r="X80" s="348">
        <f t="shared" si="122"/>
        <v>1.2432939154980532E-2</v>
      </c>
      <c r="Y80" s="4">
        <f t="shared" si="123"/>
        <v>2.1393071828326686</v>
      </c>
      <c r="Z80" s="348">
        <f t="shared" si="124"/>
        <v>4.576635222519449E-3</v>
      </c>
      <c r="AA80" s="525">
        <f t="shared" si="125"/>
        <v>4.576635222519449E-3</v>
      </c>
      <c r="AB80" s="348">
        <f t="shared" si="126"/>
        <v>2.4552178561997624</v>
      </c>
      <c r="AC80" s="348">
        <f t="shared" si="95"/>
        <v>7.2337136656825882E-2</v>
      </c>
      <c r="AD80" s="348">
        <f t="shared" si="96"/>
        <v>0.23483257750647826</v>
      </c>
      <c r="AE80" s="348">
        <f t="shared" si="97"/>
        <v>0</v>
      </c>
      <c r="AF80" s="348">
        <f t="shared" si="98"/>
        <v>8.5208429022244677E-3</v>
      </c>
      <c r="AG80" s="348">
        <f t="shared" si="99"/>
        <v>0.31957422726993273</v>
      </c>
      <c r="AH80" s="348">
        <f t="shared" si="100"/>
        <v>4.3597413264525651</v>
      </c>
      <c r="AI80" s="348">
        <f t="shared" si="101"/>
        <v>7.7930112177671318E-2</v>
      </c>
      <c r="AJ80" s="348">
        <f t="shared" si="102"/>
        <v>3.2178042902224459E-2</v>
      </c>
      <c r="AK80" s="348">
        <f t="shared" si="103"/>
        <v>0.11152305050443016</v>
      </c>
      <c r="AL80" s="348">
        <f t="shared" si="104"/>
        <v>2.3657199999999996E-2</v>
      </c>
      <c r="AM80" s="348">
        <f t="shared" si="105"/>
        <v>0.71212999999999993</v>
      </c>
      <c r="AN80" s="348">
        <f t="shared" si="106"/>
        <v>5.0070878309961056E-2</v>
      </c>
      <c r="AO80" s="348">
        <f t="shared" si="107"/>
        <v>1.1E-4</v>
      </c>
      <c r="AP80" s="348">
        <f t="shared" si="108"/>
        <v>5.6099999999999997E-2</v>
      </c>
      <c r="AQ80" s="348">
        <f t="shared" si="109"/>
        <v>0.52647692307692318</v>
      </c>
      <c r="AR80" s="348">
        <f t="shared" si="110"/>
        <v>0.5048999999999999</v>
      </c>
      <c r="AS80" s="348">
        <f t="shared" si="133"/>
        <v>5.6209999999999996E-2</v>
      </c>
      <c r="AT80" s="348">
        <f t="shared" si="111"/>
        <v>1.5798294231842411</v>
      </c>
      <c r="AU80">
        <f t="shared" si="112"/>
        <v>42.599999999999994</v>
      </c>
      <c r="AV80" s="526">
        <f t="shared" si="127"/>
        <v>0.964240934294889</v>
      </c>
      <c r="AW80" s="534">
        <f t="shared" si="113"/>
        <v>33.162361145337172</v>
      </c>
      <c r="AX80" s="534">
        <f t="shared" si="114"/>
        <v>14.103606185530307</v>
      </c>
      <c r="AY80" s="9"/>
      <c r="AZ80" s="4">
        <f t="shared" si="128"/>
        <v>96.424093429488906</v>
      </c>
      <c r="BA80" s="348">
        <f t="shared" si="115"/>
        <v>0.28965449272241711</v>
      </c>
      <c r="BB80" s="348">
        <f t="shared" si="129"/>
        <v>1.1432272777743628</v>
      </c>
      <c r="BC80" s="348">
        <f t="shared" si="130"/>
        <v>0.7895800272699327</v>
      </c>
      <c r="BD80" s="348">
        <f t="shared" si="131"/>
        <v>0.34652595050443014</v>
      </c>
      <c r="BE80" s="348">
        <f t="shared" si="132"/>
        <v>5.0070878309961056E-2</v>
      </c>
      <c r="BK80" s="18"/>
      <c r="BL80" s="19"/>
    </row>
    <row r="81" spans="1:64" x14ac:dyDescent="0.2">
      <c r="A81" s="2"/>
      <c r="G81">
        <v>72</v>
      </c>
      <c r="H81" s="531">
        <f t="shared" si="85"/>
        <v>50</v>
      </c>
      <c r="I81" s="4">
        <f t="shared" si="86"/>
        <v>1</v>
      </c>
      <c r="J81" s="348">
        <f t="shared" si="116"/>
        <v>3.6</v>
      </c>
      <c r="K81" s="348">
        <f t="shared" si="87"/>
        <v>3.6</v>
      </c>
      <c r="L81" s="4">
        <f t="shared" si="88"/>
        <v>0.96000000000000008</v>
      </c>
      <c r="M81" s="348">
        <f t="shared" si="89"/>
        <v>0.24079348907415871</v>
      </c>
      <c r="N81" s="4">
        <f t="shared" si="90"/>
        <v>12.214861374502265</v>
      </c>
      <c r="O81" s="4">
        <f t="shared" si="117"/>
        <v>9.7074306872511329</v>
      </c>
      <c r="P81" s="4">
        <f t="shared" si="118"/>
        <v>-2.5074306872511323</v>
      </c>
      <c r="Q81" s="4">
        <f t="shared" si="91"/>
        <v>50</v>
      </c>
      <c r="R81" s="4">
        <f t="shared" si="119"/>
        <v>5.0392032968045273</v>
      </c>
      <c r="S81" s="348">
        <f t="shared" si="92"/>
        <v>8.8877494532839663E-2</v>
      </c>
      <c r="T81" s="348">
        <f t="shared" si="93"/>
        <v>0.2</v>
      </c>
      <c r="U81" s="348">
        <f t="shared" si="94"/>
        <v>0.29094617993415556</v>
      </c>
      <c r="V81" s="4">
        <f t="shared" si="120"/>
        <v>3.5261267513414225</v>
      </c>
      <c r="W81" s="348">
        <f t="shared" si="121"/>
        <v>1.2433569866525615E-2</v>
      </c>
      <c r="X81" s="348">
        <f t="shared" si="122"/>
        <v>1.2433569866525615E-2</v>
      </c>
      <c r="Y81" s="4">
        <f t="shared" si="123"/>
        <v>2.1545878737606543</v>
      </c>
      <c r="Z81" s="348">
        <f t="shared" si="124"/>
        <v>4.6422489057564567E-3</v>
      </c>
      <c r="AA81" s="525">
        <f t="shared" si="125"/>
        <v>4.6422489057564567E-3</v>
      </c>
      <c r="AB81" s="348">
        <f t="shared" si="126"/>
        <v>2.4727729956890752</v>
      </c>
      <c r="AC81" s="348">
        <f t="shared" si="95"/>
        <v>7.337527545850947E-2</v>
      </c>
      <c r="AD81" s="348">
        <f t="shared" si="96"/>
        <v>0.23814007859811881</v>
      </c>
      <c r="AE81" s="348">
        <f t="shared" si="97"/>
        <v>0</v>
      </c>
      <c r="AF81" s="348">
        <f t="shared" si="98"/>
        <v>8.3547590499207722E-3</v>
      </c>
      <c r="AG81" s="348">
        <f t="shared" si="99"/>
        <v>0.32386237964785713</v>
      </c>
      <c r="AH81" s="348">
        <f t="shared" si="100"/>
        <v>4.3907816591486863</v>
      </c>
      <c r="AI81" s="348">
        <f t="shared" si="101"/>
        <v>7.9043750671097604E-2</v>
      </c>
      <c r="AJ81" s="348">
        <f t="shared" si="102"/>
        <v>3.2345159049920767E-2</v>
      </c>
      <c r="AK81" s="348">
        <f t="shared" si="103"/>
        <v>0.11284098390545955</v>
      </c>
      <c r="AL81" s="348">
        <f t="shared" si="104"/>
        <v>2.3990399999999995E-2</v>
      </c>
      <c r="AM81" s="348">
        <f t="shared" si="105"/>
        <v>0.72216000000000002</v>
      </c>
      <c r="AN81" s="348">
        <f t="shared" si="106"/>
        <v>5.0787139733051233E-2</v>
      </c>
      <c r="AO81" s="348">
        <f t="shared" si="107"/>
        <v>1.1E-4</v>
      </c>
      <c r="AP81" s="348">
        <f t="shared" si="108"/>
        <v>5.6099999999999997E-2</v>
      </c>
      <c r="AQ81" s="348">
        <f t="shared" si="109"/>
        <v>0.52647692307692318</v>
      </c>
      <c r="AR81" s="348">
        <f t="shared" si="110"/>
        <v>0.5048999999999999</v>
      </c>
      <c r="AS81" s="348">
        <f t="shared" si="133"/>
        <v>5.6209999999999996E-2</v>
      </c>
      <c r="AT81" s="348">
        <f t="shared" si="111"/>
        <v>1.5978729019928057</v>
      </c>
      <c r="AU81">
        <f t="shared" si="112"/>
        <v>43.2</v>
      </c>
      <c r="AV81" s="526">
        <f t="shared" si="127"/>
        <v>0.96433150061636685</v>
      </c>
      <c r="AW81" s="534">
        <f t="shared" si="113"/>
        <v>33.62049514521</v>
      </c>
      <c r="AX81" s="534">
        <f t="shared" si="114"/>
        <v>14.291959004952206</v>
      </c>
      <c r="AY81" s="9"/>
      <c r="AZ81" s="4">
        <f t="shared" si="128"/>
        <v>96.433150061636681</v>
      </c>
      <c r="BA81" s="348">
        <f t="shared" si="115"/>
        <v>0.29094617993415556</v>
      </c>
      <c r="BB81" s="348">
        <f t="shared" si="129"/>
        <v>1.1588633635533168</v>
      </c>
      <c r="BC81" s="348">
        <f t="shared" si="130"/>
        <v>0.80048797964785723</v>
      </c>
      <c r="BD81" s="348">
        <f t="shared" si="131"/>
        <v>0.35115378390545959</v>
      </c>
      <c r="BE81" s="348">
        <f t="shared" si="132"/>
        <v>5.0787139733051233E-2</v>
      </c>
      <c r="BK81" s="18"/>
      <c r="BL81" s="19"/>
    </row>
    <row r="82" spans="1:64" x14ac:dyDescent="0.2">
      <c r="A82" s="2"/>
      <c r="G82">
        <v>73</v>
      </c>
      <c r="H82" s="531">
        <f t="shared" si="85"/>
        <v>50</v>
      </c>
      <c r="I82" s="4">
        <f t="shared" si="86"/>
        <v>1</v>
      </c>
      <c r="J82" s="348">
        <f t="shared" si="116"/>
        <v>3.65</v>
      </c>
      <c r="K82" s="348">
        <f t="shared" si="87"/>
        <v>3.65</v>
      </c>
      <c r="L82" s="4">
        <f t="shared" si="88"/>
        <v>0.97333333333333327</v>
      </c>
      <c r="M82" s="348">
        <f t="shared" si="89"/>
        <v>0.24080451450439705</v>
      </c>
      <c r="N82" s="4">
        <f t="shared" si="90"/>
        <v>12.215171170800804</v>
      </c>
      <c r="O82" s="4">
        <f t="shared" si="117"/>
        <v>9.7575855854004026</v>
      </c>
      <c r="P82" s="4">
        <f t="shared" si="118"/>
        <v>-2.4575855854004023</v>
      </c>
      <c r="Q82" s="4">
        <f t="shared" si="91"/>
        <v>50</v>
      </c>
      <c r="R82" s="4">
        <f t="shared" si="119"/>
        <v>5.0751059654944077</v>
      </c>
      <c r="S82" s="348">
        <f t="shared" si="92"/>
        <v>9.0148451963489237E-2</v>
      </c>
      <c r="T82" s="348">
        <f t="shared" si="93"/>
        <v>0.2</v>
      </c>
      <c r="U82" s="348">
        <f t="shared" si="94"/>
        <v>0.29225616724782316</v>
      </c>
      <c r="V82" s="4">
        <f t="shared" si="120"/>
        <v>3.5262161818296005</v>
      </c>
      <c r="W82" s="348">
        <f t="shared" si="121"/>
        <v>1.2434200560996925E-2</v>
      </c>
      <c r="X82" s="348">
        <f t="shared" si="122"/>
        <v>1.2434200560996925E-2</v>
      </c>
      <c r="Y82" s="4">
        <f t="shared" si="123"/>
        <v>2.1699725260573368</v>
      </c>
      <c r="Z82" s="348">
        <f t="shared" si="124"/>
        <v>4.7087807638436594E-3</v>
      </c>
      <c r="AA82" s="525">
        <f t="shared" si="125"/>
        <v>4.7087807638436594E-3</v>
      </c>
      <c r="AB82" s="348">
        <f t="shared" si="126"/>
        <v>2.490447705499153</v>
      </c>
      <c r="AC82" s="348">
        <f t="shared" si="95"/>
        <v>7.442795728591195E-2</v>
      </c>
      <c r="AD82" s="348">
        <f t="shared" si="96"/>
        <v>0.24144757968975933</v>
      </c>
      <c r="AE82" s="348">
        <f t="shared" si="97"/>
        <v>0</v>
      </c>
      <c r="AF82" s="348">
        <f t="shared" si="98"/>
        <v>8.1886751705541397E-3</v>
      </c>
      <c r="AG82" s="348">
        <f t="shared" si="99"/>
        <v>0.32816758577980815</v>
      </c>
      <c r="AH82" s="348">
        <f t="shared" si="100"/>
        <v>4.4220324271957718</v>
      </c>
      <c r="AI82" s="348">
        <f t="shared" si="101"/>
        <v>8.0172920227400801E-2</v>
      </c>
      <c r="AJ82" s="348">
        <f t="shared" si="102"/>
        <v>3.2512275170554134E-2</v>
      </c>
      <c r="AK82" s="348">
        <f t="shared" si="103"/>
        <v>0.11417543040322464</v>
      </c>
      <c r="AL82" s="348">
        <f t="shared" si="104"/>
        <v>2.4323599999999994E-2</v>
      </c>
      <c r="AM82" s="348">
        <f t="shared" si="105"/>
        <v>0.7321899999999999</v>
      </c>
      <c r="AN82" s="348">
        <f t="shared" si="106"/>
        <v>5.1513401121993853E-2</v>
      </c>
      <c r="AO82" s="348">
        <f t="shared" si="107"/>
        <v>1.1E-4</v>
      </c>
      <c r="AP82" s="348">
        <f t="shared" si="108"/>
        <v>5.6099999999999997E-2</v>
      </c>
      <c r="AQ82" s="348">
        <f t="shared" si="109"/>
        <v>0.52647692307692318</v>
      </c>
      <c r="AR82" s="348">
        <f t="shared" si="110"/>
        <v>0.5048999999999999</v>
      </c>
      <c r="AS82" s="348">
        <f t="shared" si="133"/>
        <v>5.6209999999999996E-2</v>
      </c>
      <c r="AT82" s="348">
        <f t="shared" si="111"/>
        <v>1.6159791658776903</v>
      </c>
      <c r="AU82">
        <f t="shared" si="112"/>
        <v>43.8</v>
      </c>
      <c r="AV82" s="526">
        <f t="shared" si="127"/>
        <v>0.96441826873366587</v>
      </c>
      <c r="AW82" s="534">
        <f t="shared" si="113"/>
        <v>34.07934540275194</v>
      </c>
      <c r="AX82" s="534">
        <f t="shared" si="114"/>
        <v>14.480983907411243</v>
      </c>
      <c r="AY82" s="9"/>
      <c r="AZ82" s="4">
        <f t="shared" si="128"/>
        <v>96.441826873366594</v>
      </c>
      <c r="BA82" s="348">
        <f t="shared" si="115"/>
        <v>0.29225616724782316</v>
      </c>
      <c r="BB82" s="348">
        <f t="shared" si="129"/>
        <v>1.1745330161830327</v>
      </c>
      <c r="BC82" s="348">
        <f t="shared" si="130"/>
        <v>0.81141298577980803</v>
      </c>
      <c r="BD82" s="348">
        <f t="shared" si="131"/>
        <v>0.35579813040322461</v>
      </c>
      <c r="BE82" s="348">
        <f t="shared" si="132"/>
        <v>5.1513401121993853E-2</v>
      </c>
      <c r="BK82" s="18"/>
      <c r="BL82" s="19"/>
    </row>
    <row r="83" spans="1:64" x14ac:dyDescent="0.2">
      <c r="A83" s="2"/>
      <c r="G83">
        <v>74</v>
      </c>
      <c r="H83" s="531">
        <f t="shared" si="85"/>
        <v>50</v>
      </c>
      <c r="I83" s="4">
        <f t="shared" si="86"/>
        <v>1</v>
      </c>
      <c r="J83" s="348">
        <f t="shared" si="116"/>
        <v>3.7</v>
      </c>
      <c r="K83" s="348">
        <f t="shared" si="87"/>
        <v>3.7</v>
      </c>
      <c r="L83" s="4">
        <f t="shared" si="88"/>
        <v>0.9866666666666668</v>
      </c>
      <c r="M83" s="348">
        <f t="shared" si="89"/>
        <v>0.24081554006479231</v>
      </c>
      <c r="N83" s="4">
        <f t="shared" si="90"/>
        <v>12.215480950854802</v>
      </c>
      <c r="O83" s="4">
        <f t="shared" si="117"/>
        <v>9.8077404754274013</v>
      </c>
      <c r="P83" s="4">
        <f t="shared" si="118"/>
        <v>-2.407740475427401</v>
      </c>
      <c r="Q83" s="4">
        <f t="shared" si="91"/>
        <v>50</v>
      </c>
      <c r="R83" s="4">
        <f t="shared" si="119"/>
        <v>5.1112455662383685</v>
      </c>
      <c r="S83" s="348">
        <f t="shared" si="92"/>
        <v>9.1436909334369834E-2</v>
      </c>
      <c r="T83" s="348">
        <f t="shared" si="93"/>
        <v>0.2</v>
      </c>
      <c r="U83" s="348">
        <f t="shared" si="94"/>
        <v>0.29358446582908931</v>
      </c>
      <c r="V83" s="4">
        <f t="shared" si="120"/>
        <v>3.526305607628383</v>
      </c>
      <c r="W83" s="348">
        <f t="shared" si="121"/>
        <v>1.2434831238391378E-2</v>
      </c>
      <c r="X83" s="348">
        <f t="shared" si="122"/>
        <v>1.2434831238391378E-2</v>
      </c>
      <c r="Y83" s="4">
        <f t="shared" si="123"/>
        <v>2.185458963770023</v>
      </c>
      <c r="Z83" s="348">
        <f t="shared" si="124"/>
        <v>4.7762308823227429E-3</v>
      </c>
      <c r="AA83" s="525">
        <f t="shared" si="125"/>
        <v>4.7762308823227429E-3</v>
      </c>
      <c r="AB83" s="348">
        <f t="shared" si="126"/>
        <v>2.5082394909128549</v>
      </c>
      <c r="AC83" s="348">
        <f t="shared" si="95"/>
        <v>7.5495184125297335E-2</v>
      </c>
      <c r="AD83" s="348">
        <f t="shared" si="96"/>
        <v>0.24475508078139988</v>
      </c>
      <c r="AE83" s="348">
        <f t="shared" si="97"/>
        <v>0</v>
      </c>
      <c r="AF83" s="348">
        <f t="shared" si="98"/>
        <v>8.0225912641240984E-3</v>
      </c>
      <c r="AG83" s="348">
        <f t="shared" si="99"/>
        <v>0.33248988891524189</v>
      </c>
      <c r="AH83" s="348">
        <f t="shared" si="100"/>
        <v>4.4534891820477798</v>
      </c>
      <c r="AI83" s="348">
        <f t="shared" si="101"/>
        <v>8.1317620167928054E-2</v>
      </c>
      <c r="AJ83" s="348">
        <f t="shared" si="102"/>
        <v>3.2679391264124093E-2</v>
      </c>
      <c r="AK83" s="348">
        <f t="shared" si="103"/>
        <v>0.11552640878403131</v>
      </c>
      <c r="AL83" s="348">
        <f t="shared" si="104"/>
        <v>2.4656799999999996E-2</v>
      </c>
      <c r="AM83" s="348">
        <f t="shared" si="105"/>
        <v>0.74221999999999999</v>
      </c>
      <c r="AN83" s="348">
        <f t="shared" si="106"/>
        <v>5.2249662476782761E-2</v>
      </c>
      <c r="AO83" s="348">
        <f t="shared" si="107"/>
        <v>1.1E-4</v>
      </c>
      <c r="AP83" s="348">
        <f t="shared" si="108"/>
        <v>5.6099999999999997E-2</v>
      </c>
      <c r="AQ83" s="348">
        <f t="shared" si="109"/>
        <v>0.52647692307692318</v>
      </c>
      <c r="AR83" s="348">
        <f t="shared" si="110"/>
        <v>0.5048999999999999</v>
      </c>
      <c r="AS83" s="348">
        <f t="shared" si="133"/>
        <v>5.6209999999999996E-2</v>
      </c>
      <c r="AT83" s="348">
        <f t="shared" si="111"/>
        <v>1.6341482881258595</v>
      </c>
      <c r="AU83">
        <f t="shared" si="112"/>
        <v>44.400000000000006</v>
      </c>
      <c r="AV83" s="526">
        <f t="shared" si="127"/>
        <v>0.96450138975315047</v>
      </c>
      <c r="AW83" s="534">
        <f t="shared" si="113"/>
        <v>34.538913734440158</v>
      </c>
      <c r="AX83" s="534">
        <f t="shared" si="114"/>
        <v>14.670681657510075</v>
      </c>
      <c r="AY83" s="9"/>
      <c r="AZ83" s="4">
        <f t="shared" si="128"/>
        <v>96.450138975315042</v>
      </c>
      <c r="BA83" s="348">
        <f t="shared" si="115"/>
        <v>0.29358446582908931</v>
      </c>
      <c r="BB83" s="348">
        <f t="shared" si="129"/>
        <v>1.1902362976992733</v>
      </c>
      <c r="BC83" s="348">
        <f t="shared" si="130"/>
        <v>0.82235508891524189</v>
      </c>
      <c r="BD83" s="348">
        <f t="shared" si="131"/>
        <v>0.36045900878403131</v>
      </c>
      <c r="BE83" s="348">
        <f t="shared" si="132"/>
        <v>5.2249662476782761E-2</v>
      </c>
      <c r="BK83" s="18"/>
      <c r="BL83" s="19"/>
    </row>
    <row r="84" spans="1:64" x14ac:dyDescent="0.2">
      <c r="G84">
        <v>75</v>
      </c>
      <c r="H84" s="531">
        <f t="shared" si="85"/>
        <v>50</v>
      </c>
      <c r="I84" s="4">
        <f t="shared" si="86"/>
        <v>1</v>
      </c>
      <c r="J84" s="348">
        <f t="shared" si="116"/>
        <v>3.75</v>
      </c>
      <c r="K84" s="348">
        <f t="shared" si="87"/>
        <v>3.75</v>
      </c>
      <c r="L84" s="4">
        <f t="shared" si="88"/>
        <v>1</v>
      </c>
      <c r="M84" s="348">
        <f t="shared" si="89"/>
        <v>0.24082656575534675</v>
      </c>
      <c r="N84" s="4">
        <f t="shared" si="90"/>
        <v>12.215790714663967</v>
      </c>
      <c r="O84" s="4">
        <f t="shared" si="117"/>
        <v>9.8578953573319836</v>
      </c>
      <c r="P84" s="4">
        <f t="shared" si="118"/>
        <v>-2.3578953573319836</v>
      </c>
      <c r="Q84" s="4">
        <f t="shared" si="91"/>
        <v>50</v>
      </c>
      <c r="R84" s="4">
        <f t="shared" si="119"/>
        <v>5.1476171087898397</v>
      </c>
      <c r="S84" s="348">
        <f t="shared" si="92"/>
        <v>9.2742866645470531E-2</v>
      </c>
      <c r="T84" s="348">
        <f t="shared" si="93"/>
        <v>0.2</v>
      </c>
      <c r="U84" s="348">
        <f t="shared" si="94"/>
        <v>0.29493108700319381</v>
      </c>
      <c r="V84" s="4">
        <f t="shared" si="120"/>
        <v>3.5263950287376864</v>
      </c>
      <c r="W84" s="348">
        <f t="shared" si="121"/>
        <v>1.2435461898705868E-2</v>
      </c>
      <c r="X84" s="348">
        <f t="shared" si="122"/>
        <v>1.2435461898705868E-2</v>
      </c>
      <c r="Y84" s="4">
        <f t="shared" si="123"/>
        <v>2.2010450578600382</v>
      </c>
      <c r="Z84" s="348">
        <f t="shared" si="124"/>
        <v>4.8445993467300993E-3</v>
      </c>
      <c r="AA84" s="525">
        <f t="shared" si="125"/>
        <v>4.8445993467300993E-3</v>
      </c>
      <c r="AB84" s="348">
        <f t="shared" si="126"/>
        <v>2.5261459109840354</v>
      </c>
      <c r="AC84" s="348">
        <f t="shared" si="95"/>
        <v>7.6576957962976352E-2</v>
      </c>
      <c r="AD84" s="348">
        <f t="shared" si="96"/>
        <v>0.24806258187304042</v>
      </c>
      <c r="AE84" s="348">
        <f t="shared" si="97"/>
        <v>0</v>
      </c>
      <c r="AF84" s="348">
        <f t="shared" si="98"/>
        <v>7.8565073306301678E-3</v>
      </c>
      <c r="AG84" s="348">
        <f t="shared" si="99"/>
        <v>0.33682933259463682</v>
      </c>
      <c r="AH84" s="348">
        <f t="shared" si="100"/>
        <v>4.4851475711646884</v>
      </c>
      <c r="AI84" s="348">
        <f t="shared" si="101"/>
        <v>8.2477849814010448E-2</v>
      </c>
      <c r="AJ84" s="348">
        <f t="shared" si="102"/>
        <v>3.2846507330630166E-2</v>
      </c>
      <c r="AK84" s="348">
        <f t="shared" si="103"/>
        <v>0.11689393810186871</v>
      </c>
      <c r="AL84" s="348">
        <f t="shared" si="104"/>
        <v>2.4989999999999995E-2</v>
      </c>
      <c r="AM84" s="348">
        <f t="shared" si="105"/>
        <v>0.75225000000000009</v>
      </c>
      <c r="AN84" s="348">
        <f t="shared" si="106"/>
        <v>5.2995923797411734E-2</v>
      </c>
      <c r="AO84" s="348">
        <f t="shared" si="107"/>
        <v>1.1E-4</v>
      </c>
      <c r="AP84" s="348">
        <f t="shared" si="108"/>
        <v>5.6099999999999997E-2</v>
      </c>
      <c r="AQ84" s="348">
        <f t="shared" si="109"/>
        <v>0.52647692307692318</v>
      </c>
      <c r="AR84" s="348">
        <f t="shared" si="110"/>
        <v>0.5048999999999999</v>
      </c>
      <c r="AS84" s="348">
        <f t="shared" si="133"/>
        <v>5.6209999999999996E-2</v>
      </c>
      <c r="AT84" s="348">
        <f t="shared" si="111"/>
        <v>1.6523803427425474</v>
      </c>
      <c r="AU84">
        <f t="shared" si="112"/>
        <v>45</v>
      </c>
      <c r="AV84" s="526">
        <f t="shared" si="127"/>
        <v>0.96458100678672876</v>
      </c>
      <c r="AW84" s="534">
        <f t="shared" si="113"/>
        <v>34.999201968974745</v>
      </c>
      <c r="AX84" s="534">
        <f t="shared" si="114"/>
        <v>14.861053030746058</v>
      </c>
      <c r="AY84" s="9"/>
      <c r="AZ84" s="4">
        <f t="shared" si="128"/>
        <v>96.458100678672878</v>
      </c>
      <c r="BA84" s="348">
        <f t="shared" si="115"/>
        <v>0.29493108700319381</v>
      </c>
      <c r="BB84" s="348">
        <f t="shared" si="129"/>
        <v>1.2059732706965056</v>
      </c>
      <c r="BC84" s="348">
        <f t="shared" si="130"/>
        <v>0.83331433259463683</v>
      </c>
      <c r="BD84" s="348">
        <f t="shared" si="131"/>
        <v>0.36513643810186874</v>
      </c>
      <c r="BE84" s="348">
        <f t="shared" si="132"/>
        <v>5.2995923797411734E-2</v>
      </c>
      <c r="BK84" s="18"/>
      <c r="BL84" s="19"/>
    </row>
    <row r="85" spans="1:64" x14ac:dyDescent="0.2">
      <c r="G85">
        <v>76</v>
      </c>
      <c r="H85" s="531">
        <f t="shared" si="85"/>
        <v>50</v>
      </c>
      <c r="I85" s="4">
        <f t="shared" si="86"/>
        <v>1</v>
      </c>
      <c r="J85" s="348">
        <f t="shared" si="116"/>
        <v>3.8</v>
      </c>
      <c r="K85" s="348">
        <f t="shared" si="87"/>
        <v>3.8</v>
      </c>
      <c r="L85" s="4">
        <f t="shared" si="88"/>
        <v>1.0133333333333332</v>
      </c>
      <c r="M85" s="348">
        <f t="shared" si="89"/>
        <v>0.24083759157606269</v>
      </c>
      <c r="N85" s="4">
        <f t="shared" si="90"/>
        <v>12.21610046222801</v>
      </c>
      <c r="O85" s="4">
        <f t="shared" si="117"/>
        <v>9.9080502311140037</v>
      </c>
      <c r="P85" s="4">
        <f t="shared" si="118"/>
        <v>-2.308050231114005</v>
      </c>
      <c r="Q85" s="4">
        <f t="shared" si="91"/>
        <v>50</v>
      </c>
      <c r="R85" s="4">
        <f t="shared" si="119"/>
        <v>5.1842157113624507</v>
      </c>
      <c r="S85" s="348">
        <f t="shared" si="92"/>
        <v>9.406632389678049E-2</v>
      </c>
      <c r="T85" s="348">
        <f t="shared" si="93"/>
        <v>0.2</v>
      </c>
      <c r="U85" s="348">
        <f t="shared" si="94"/>
        <v>0.29629604225518935</v>
      </c>
      <c r="V85" s="4">
        <f t="shared" si="120"/>
        <v>3.5264844451574269</v>
      </c>
      <c r="W85" s="348">
        <f t="shared" si="121"/>
        <v>1.2436092541937284E-2</v>
      </c>
      <c r="X85" s="348">
        <f t="shared" si="122"/>
        <v>1.2436092541937284E-2</v>
      </c>
      <c r="Y85" s="4">
        <f t="shared" si="123"/>
        <v>2.216728725531576</v>
      </c>
      <c r="Z85" s="348">
        <f t="shared" si="124"/>
        <v>4.9138862425968446E-3</v>
      </c>
      <c r="AA85" s="525">
        <f t="shared" si="125"/>
        <v>4.9138862425968446E-3</v>
      </c>
      <c r="AB85" s="348">
        <f t="shared" si="126"/>
        <v>2.5441645777692043</v>
      </c>
      <c r="AC85" s="348">
        <f t="shared" si="95"/>
        <v>7.767328078530665E-2</v>
      </c>
      <c r="AD85" s="348">
        <f t="shared" si="96"/>
        <v>0.25137008296468094</v>
      </c>
      <c r="AE85" s="348">
        <f t="shared" si="97"/>
        <v>0</v>
      </c>
      <c r="AF85" s="348">
        <f t="shared" si="98"/>
        <v>7.6904233700718647E-3</v>
      </c>
      <c r="AG85" s="348">
        <f t="shared" si="99"/>
        <v>0.34118596065089524</v>
      </c>
      <c r="AH85" s="348">
        <f t="shared" si="100"/>
        <v>4.5170033366338931</v>
      </c>
      <c r="AI85" s="348">
        <f t="shared" si="101"/>
        <v>8.3653608486963058E-2</v>
      </c>
      <c r="AJ85" s="348">
        <f t="shared" si="102"/>
        <v>3.3013623370071854E-2</v>
      </c>
      <c r="AK85" s="348">
        <f t="shared" si="103"/>
        <v>0.11827803767913206</v>
      </c>
      <c r="AL85" s="348">
        <f t="shared" si="104"/>
        <v>2.5323199999999994E-2</v>
      </c>
      <c r="AM85" s="348">
        <f t="shared" si="105"/>
        <v>0.76227999999999985</v>
      </c>
      <c r="AN85" s="348">
        <f t="shared" si="106"/>
        <v>5.3752185083874568E-2</v>
      </c>
      <c r="AO85" s="348">
        <f t="shared" si="107"/>
        <v>1.1E-4</v>
      </c>
      <c r="AP85" s="348">
        <f t="shared" si="108"/>
        <v>5.6099999999999997E-2</v>
      </c>
      <c r="AQ85" s="348">
        <f t="shared" si="109"/>
        <v>0.52647692307692318</v>
      </c>
      <c r="AR85" s="348">
        <f t="shared" si="110"/>
        <v>0.5048999999999999</v>
      </c>
      <c r="AS85" s="348">
        <f t="shared" si="133"/>
        <v>5.6209999999999996E-2</v>
      </c>
      <c r="AT85" s="348">
        <f t="shared" si="111"/>
        <v>1.6706754044536252</v>
      </c>
      <c r="AU85">
        <f t="shared" si="112"/>
        <v>45.599999999999994</v>
      </c>
      <c r="AV85" s="526">
        <f t="shared" si="127"/>
        <v>0.96465725547267678</v>
      </c>
      <c r="AW85" s="534">
        <f t="shared" si="113"/>
        <v>35.460211947337598</v>
      </c>
      <c r="AX85" s="534">
        <f t="shared" si="114"/>
        <v>15.052098813540676</v>
      </c>
      <c r="AY85" s="9"/>
      <c r="AZ85" s="4">
        <f t="shared" si="128"/>
        <v>96.465725547267681</v>
      </c>
      <c r="BA85" s="348">
        <f t="shared" si="115"/>
        <v>0.29629604225518935</v>
      </c>
      <c r="BB85" s="348">
        <f t="shared" si="129"/>
        <v>1.2217439983300271</v>
      </c>
      <c r="BC85" s="348">
        <f t="shared" si="130"/>
        <v>0.84429076065089514</v>
      </c>
      <c r="BD85" s="348">
        <f t="shared" si="131"/>
        <v>0.36983043767913204</v>
      </c>
      <c r="BE85" s="348">
        <f t="shared" si="132"/>
        <v>5.3752185083874568E-2</v>
      </c>
      <c r="BK85" s="18"/>
      <c r="BL85" s="19"/>
    </row>
    <row r="86" spans="1:64" x14ac:dyDescent="0.2">
      <c r="G86">
        <v>77</v>
      </c>
      <c r="H86" s="531">
        <f t="shared" si="85"/>
        <v>50</v>
      </c>
      <c r="I86" s="4">
        <f t="shared" si="86"/>
        <v>1</v>
      </c>
      <c r="J86" s="348">
        <f t="shared" si="116"/>
        <v>3.85</v>
      </c>
      <c r="K86" s="348">
        <f t="shared" si="87"/>
        <v>3.85</v>
      </c>
      <c r="L86" s="4">
        <f t="shared" si="88"/>
        <v>1.0266666666666668</v>
      </c>
      <c r="M86" s="348">
        <f t="shared" si="89"/>
        <v>0.2408486175269425</v>
      </c>
      <c r="N86" s="4">
        <f t="shared" si="90"/>
        <v>12.216410193546652</v>
      </c>
      <c r="O86" s="4">
        <f t="shared" si="117"/>
        <v>9.9582050967733267</v>
      </c>
      <c r="P86" s="4">
        <f t="shared" si="118"/>
        <v>-2.258205096773326</v>
      </c>
      <c r="Q86" s="4">
        <f t="shared" si="91"/>
        <v>50</v>
      </c>
      <c r="R86" s="4">
        <f t="shared" si="119"/>
        <v>5.2210365989985696</v>
      </c>
      <c r="S86" s="348">
        <f t="shared" si="92"/>
        <v>9.5407281088288928E-2</v>
      </c>
      <c r="T86" s="348">
        <f t="shared" si="93"/>
        <v>0.2</v>
      </c>
      <c r="U86" s="348">
        <f t="shared" si="94"/>
        <v>0.29767934323018813</v>
      </c>
      <c r="V86" s="4">
        <f t="shared" si="120"/>
        <v>3.526573856887524</v>
      </c>
      <c r="W86" s="348">
        <f t="shared" si="121"/>
        <v>1.2436723168082546E-2</v>
      </c>
      <c r="X86" s="348">
        <f t="shared" si="122"/>
        <v>1.2436723168082546E-2</v>
      </c>
      <c r="Y86" s="4">
        <f t="shared" si="123"/>
        <v>2.2325079295377255</v>
      </c>
      <c r="Z86" s="348">
        <f t="shared" si="124"/>
        <v>4.9840916554488215E-3</v>
      </c>
      <c r="AA86" s="525">
        <f t="shared" si="125"/>
        <v>4.9840916554488215E-3</v>
      </c>
      <c r="AB86" s="348">
        <f t="shared" si="126"/>
        <v>2.562293155532966</v>
      </c>
      <c r="AC86" s="348">
        <f t="shared" si="95"/>
        <v>7.8784154578693019E-2</v>
      </c>
      <c r="AD86" s="348">
        <f t="shared" si="96"/>
        <v>0.25467758405632152</v>
      </c>
      <c r="AE86" s="348">
        <f t="shared" si="97"/>
        <v>0</v>
      </c>
      <c r="AF86" s="348">
        <f t="shared" si="98"/>
        <v>7.5243393824487225E-3</v>
      </c>
      <c r="AG86" s="348">
        <f t="shared" si="99"/>
        <v>0.34555981721075657</v>
      </c>
      <c r="AH86" s="348">
        <f t="shared" si="100"/>
        <v>4.5490523137452996</v>
      </c>
      <c r="AI86" s="348">
        <f t="shared" si="101"/>
        <v>8.4844895508084994E-2</v>
      </c>
      <c r="AJ86" s="348">
        <f t="shared" si="102"/>
        <v>3.3180739382448719E-2</v>
      </c>
      <c r="AK86" s="348">
        <f t="shared" si="103"/>
        <v>0.11967872710735671</v>
      </c>
      <c r="AL86" s="348">
        <f t="shared" si="104"/>
        <v>2.5656399999999996E-2</v>
      </c>
      <c r="AM86" s="348">
        <f t="shared" si="105"/>
        <v>0.77230999999999994</v>
      </c>
      <c r="AN86" s="348">
        <f t="shared" si="106"/>
        <v>5.4518446336165101E-2</v>
      </c>
      <c r="AO86" s="348">
        <f t="shared" si="107"/>
        <v>1.1E-4</v>
      </c>
      <c r="AP86" s="348">
        <f t="shared" si="108"/>
        <v>5.6099999999999997E-2</v>
      </c>
      <c r="AQ86" s="348">
        <f t="shared" si="109"/>
        <v>0.52647692307692318</v>
      </c>
      <c r="AR86" s="348">
        <f t="shared" si="110"/>
        <v>0.5048999999999999</v>
      </c>
      <c r="AS86" s="348">
        <f t="shared" si="133"/>
        <v>5.6209999999999996E-2</v>
      </c>
      <c r="AT86" s="348">
        <f t="shared" si="111"/>
        <v>1.6890335487079979</v>
      </c>
      <c r="AU86">
        <f t="shared" si="112"/>
        <v>46.2</v>
      </c>
      <c r="AV86" s="526">
        <f t="shared" si="127"/>
        <v>0.96473026445626475</v>
      </c>
      <c r="AW86" s="534">
        <f t="shared" si="113"/>
        <v>35.921945522851772</v>
      </c>
      <c r="AX86" s="534">
        <f t="shared" si="114"/>
        <v>15.243819803269419</v>
      </c>
      <c r="AY86" s="9"/>
      <c r="AZ86" s="4">
        <f t="shared" si="128"/>
        <v>96.473026445626473</v>
      </c>
      <c r="BA86" s="348">
        <f t="shared" si="115"/>
        <v>0.29767934323018813</v>
      </c>
      <c r="BB86" s="348">
        <f t="shared" si="129"/>
        <v>1.2375485443181131</v>
      </c>
      <c r="BC86" s="348">
        <f t="shared" si="130"/>
        <v>0.85528441721075654</v>
      </c>
      <c r="BD86" s="348">
        <f t="shared" si="131"/>
        <v>0.37454102710735671</v>
      </c>
      <c r="BE86" s="348">
        <f t="shared" si="132"/>
        <v>5.4518446336165101E-2</v>
      </c>
      <c r="BK86" s="18"/>
      <c r="BL86" s="19"/>
    </row>
    <row r="87" spans="1:64" x14ac:dyDescent="0.2">
      <c r="G87">
        <v>78</v>
      </c>
      <c r="H87" s="531">
        <f t="shared" si="85"/>
        <v>50</v>
      </c>
      <c r="I87" s="4">
        <f t="shared" si="86"/>
        <v>1</v>
      </c>
      <c r="J87" s="348">
        <f t="shared" si="116"/>
        <v>3.9</v>
      </c>
      <c r="K87" s="348">
        <f t="shared" si="87"/>
        <v>3.9</v>
      </c>
      <c r="L87" s="4">
        <f t="shared" si="88"/>
        <v>1.04</v>
      </c>
      <c r="M87" s="348">
        <f t="shared" si="89"/>
        <v>0.24085964360798839</v>
      </c>
      <c r="N87" s="4">
        <f t="shared" si="90"/>
        <v>12.216719908619593</v>
      </c>
      <c r="O87" s="4">
        <f t="shared" si="117"/>
        <v>10.008359954309796</v>
      </c>
      <c r="P87" s="4">
        <f t="shared" si="118"/>
        <v>-2.2083599543097967</v>
      </c>
      <c r="Q87" s="4">
        <f t="shared" si="91"/>
        <v>50</v>
      </c>
      <c r="R87" s="4">
        <f t="shared" si="119"/>
        <v>5.2580751018921861</v>
      </c>
      <c r="S87" s="348">
        <f t="shared" si="92"/>
        <v>9.676573821998484E-2</v>
      </c>
      <c r="T87" s="348">
        <f t="shared" si="93"/>
        <v>0.2</v>
      </c>
      <c r="U87" s="348">
        <f t="shared" si="94"/>
        <v>0.29908100173361091</v>
      </c>
      <c r="V87" s="4">
        <f t="shared" si="120"/>
        <v>3.5266632639278912</v>
      </c>
      <c r="W87" s="348">
        <f t="shared" si="121"/>
        <v>1.2437353777138527E-2</v>
      </c>
      <c r="X87" s="348">
        <f t="shared" si="122"/>
        <v>1.2437353777138527E-2</v>
      </c>
      <c r="Y87" s="4">
        <f t="shared" si="123"/>
        <v>2.2483806774669124</v>
      </c>
      <c r="Z87" s="348">
        <f t="shared" si="124"/>
        <v>5.0552156708065718E-3</v>
      </c>
      <c r="AA87" s="525">
        <f t="shared" si="125"/>
        <v>5.0552156708065718E-3</v>
      </c>
      <c r="AB87" s="348">
        <f t="shared" si="126"/>
        <v>2.5805293599309342</v>
      </c>
      <c r="AC87" s="348">
        <f t="shared" si="95"/>
        <v>7.9909581329586685E-2</v>
      </c>
      <c r="AD87" s="348">
        <f t="shared" si="96"/>
        <v>0.25798508514796203</v>
      </c>
      <c r="AE87" s="348">
        <f t="shared" si="97"/>
        <v>0</v>
      </c>
      <c r="AF87" s="348">
        <f t="shared" si="98"/>
        <v>7.3582553677602426E-3</v>
      </c>
      <c r="AG87" s="348">
        <f t="shared" si="99"/>
        <v>0.34995094669622212</v>
      </c>
      <c r="AH87" s="348">
        <f t="shared" si="100"/>
        <v>4.5812904295267032</v>
      </c>
      <c r="AI87" s="348">
        <f t="shared" si="101"/>
        <v>8.6051710198659148E-2</v>
      </c>
      <c r="AJ87" s="348">
        <f t="shared" si="102"/>
        <v>3.3347855367760235E-2</v>
      </c>
      <c r="AK87" s="348">
        <f t="shared" si="103"/>
        <v>0.12109602624796252</v>
      </c>
      <c r="AL87" s="348">
        <f t="shared" si="104"/>
        <v>2.5989599999999995E-2</v>
      </c>
      <c r="AM87" s="348">
        <f t="shared" si="105"/>
        <v>0.78233999999999992</v>
      </c>
      <c r="AN87" s="348">
        <f t="shared" si="106"/>
        <v>5.5294707554277046E-2</v>
      </c>
      <c r="AO87" s="348">
        <f t="shared" si="107"/>
        <v>1.1E-4</v>
      </c>
      <c r="AP87" s="348">
        <f t="shared" si="108"/>
        <v>5.6099999999999997E-2</v>
      </c>
      <c r="AQ87" s="348">
        <f t="shared" si="109"/>
        <v>0.52647692307692318</v>
      </c>
      <c r="AR87" s="348">
        <f t="shared" si="110"/>
        <v>0.5048999999999999</v>
      </c>
      <c r="AS87" s="348">
        <f t="shared" si="133"/>
        <v>5.6209999999999996E-2</v>
      </c>
      <c r="AT87" s="348">
        <f t="shared" si="111"/>
        <v>1.7074548516800176</v>
      </c>
      <c r="AU87">
        <f t="shared" si="112"/>
        <v>46.8</v>
      </c>
      <c r="AV87" s="526">
        <f t="shared" si="127"/>
        <v>0.96480015583376078</v>
      </c>
      <c r="AW87" s="534">
        <f t="shared" si="113"/>
        <v>36.384404561241325</v>
      </c>
      <c r="AX87" s="534">
        <f t="shared" si="114"/>
        <v>15.436216808292073</v>
      </c>
      <c r="AY87" s="9"/>
      <c r="AZ87" s="4">
        <f t="shared" si="128"/>
        <v>96.480015583376073</v>
      </c>
      <c r="BA87" s="348">
        <f t="shared" si="115"/>
        <v>0.29908100173361091</v>
      </c>
      <c r="BB87" s="348">
        <f t="shared" si="129"/>
        <v>1.2533869729441847</v>
      </c>
      <c r="BC87" s="348">
        <f t="shared" si="130"/>
        <v>0.86629534669622199</v>
      </c>
      <c r="BD87" s="348">
        <f t="shared" si="131"/>
        <v>0.37926822624796247</v>
      </c>
      <c r="BE87" s="348">
        <f t="shared" si="132"/>
        <v>5.5294707554277046E-2</v>
      </c>
      <c r="BK87" s="18"/>
      <c r="BL87" s="19"/>
    </row>
    <row r="88" spans="1:64" x14ac:dyDescent="0.2">
      <c r="G88">
        <v>79</v>
      </c>
      <c r="H88" s="531">
        <f t="shared" si="85"/>
        <v>50</v>
      </c>
      <c r="I88" s="4">
        <f t="shared" si="86"/>
        <v>1</v>
      </c>
      <c r="J88" s="348">
        <f t="shared" si="116"/>
        <v>3.95</v>
      </c>
      <c r="K88" s="348">
        <f t="shared" si="87"/>
        <v>3.95</v>
      </c>
      <c r="L88" s="4">
        <f t="shared" si="88"/>
        <v>1.0533333333333335</v>
      </c>
      <c r="M88" s="348">
        <f t="shared" si="89"/>
        <v>0.24087066981920272</v>
      </c>
      <c r="N88" s="4">
        <f t="shared" si="90"/>
        <v>12.217029607446555</v>
      </c>
      <c r="O88" s="4">
        <f t="shared" si="117"/>
        <v>10.058514803723277</v>
      </c>
      <c r="P88" s="4">
        <f t="shared" si="118"/>
        <v>-2.1585148037232775</v>
      </c>
      <c r="Q88" s="4">
        <f t="shared" si="91"/>
        <v>50</v>
      </c>
      <c r="R88" s="4">
        <f t="shared" si="119"/>
        <v>5.2953266536732313</v>
      </c>
      <c r="S88" s="348">
        <f t="shared" si="92"/>
        <v>9.8141695291857498E-2</v>
      </c>
      <c r="T88" s="348">
        <f t="shared" si="93"/>
        <v>0.2</v>
      </c>
      <c r="U88" s="348">
        <f t="shared" si="94"/>
        <v>0.30050102973144094</v>
      </c>
      <c r="V88" s="4">
        <f t="shared" si="120"/>
        <v>3.5267526662784485</v>
      </c>
      <c r="W88" s="348">
        <f t="shared" si="121"/>
        <v>1.2437984369102147E-2</v>
      </c>
      <c r="X88" s="348">
        <f t="shared" si="122"/>
        <v>1.2437984369102147E-2</v>
      </c>
      <c r="Y88" s="4">
        <f t="shared" si="123"/>
        <v>2.2643450210127822</v>
      </c>
      <c r="Z88" s="348">
        <f t="shared" si="124"/>
        <v>5.1272583741853771E-3</v>
      </c>
      <c r="AA88" s="525">
        <f t="shared" si="125"/>
        <v>5.1272583741853771E-3</v>
      </c>
      <c r="AB88" s="348">
        <f t="shared" si="126"/>
        <v>2.5988709571736179</v>
      </c>
      <c r="AC88" s="348">
        <f t="shared" si="95"/>
        <v>8.104956302448621E-2</v>
      </c>
      <c r="AD88" s="348">
        <f t="shared" si="96"/>
        <v>0.26129258623960255</v>
      </c>
      <c r="AE88" s="348">
        <f t="shared" si="97"/>
        <v>0</v>
      </c>
      <c r="AF88" s="348">
        <f t="shared" si="98"/>
        <v>7.1921713260059599E-3</v>
      </c>
      <c r="AG88" s="348">
        <f t="shared" si="99"/>
        <v>0.35435939382599546</v>
      </c>
      <c r="AH88" s="348">
        <f t="shared" si="100"/>
        <v>4.6137137012456275</v>
      </c>
      <c r="AI88" s="348">
        <f t="shared" si="101"/>
        <v>8.7274051879952658E-2</v>
      </c>
      <c r="AJ88" s="348">
        <f t="shared" si="102"/>
        <v>3.3514971326005956E-2</v>
      </c>
      <c r="AK88" s="348">
        <f t="shared" si="103"/>
        <v>0.12252995523301086</v>
      </c>
      <c r="AL88" s="348">
        <f t="shared" si="104"/>
        <v>2.6322799999999997E-2</v>
      </c>
      <c r="AM88" s="348">
        <f t="shared" si="105"/>
        <v>0.79237000000000002</v>
      </c>
      <c r="AN88" s="348">
        <f t="shared" si="106"/>
        <v>5.6080968738204284E-2</v>
      </c>
      <c r="AO88" s="348">
        <f t="shared" si="107"/>
        <v>1.1E-4</v>
      </c>
      <c r="AP88" s="348">
        <f t="shared" si="108"/>
        <v>5.6099999999999997E-2</v>
      </c>
      <c r="AQ88" s="348">
        <f t="shared" si="109"/>
        <v>0.52647692307692318</v>
      </c>
      <c r="AR88" s="348">
        <f t="shared" si="110"/>
        <v>0.5048999999999999</v>
      </c>
      <c r="AS88" s="348">
        <f t="shared" si="133"/>
        <v>5.6209999999999996E-2</v>
      </c>
      <c r="AT88" s="348">
        <f t="shared" si="111"/>
        <v>1.7259393902719391</v>
      </c>
      <c r="AU88">
        <f t="shared" si="112"/>
        <v>47.400000000000006</v>
      </c>
      <c r="AV88" s="526">
        <f t="shared" si="127"/>
        <v>0.9648670455630266</v>
      </c>
      <c r="AW88" s="534">
        <f t="shared" si="113"/>
        <v>36.847590940691809</v>
      </c>
      <c r="AX88" s="534">
        <f t="shared" si="114"/>
        <v>15.629290647983543</v>
      </c>
      <c r="AY88" s="9"/>
      <c r="AZ88" s="4">
        <f t="shared" si="128"/>
        <v>96.486704556302655</v>
      </c>
      <c r="BA88" s="348">
        <f t="shared" si="115"/>
        <v>0.30050102973144094</v>
      </c>
      <c r="BB88" s="348">
        <f t="shared" si="129"/>
        <v>1.2692593490590063</v>
      </c>
      <c r="BC88" s="348">
        <f t="shared" si="130"/>
        <v>0.87732359382599545</v>
      </c>
      <c r="BD88" s="348">
        <f t="shared" si="131"/>
        <v>0.38401205523301085</v>
      </c>
      <c r="BE88" s="348">
        <f t="shared" si="132"/>
        <v>5.6080968738204284E-2</v>
      </c>
      <c r="BK88" s="18"/>
      <c r="BL88" s="19"/>
    </row>
    <row r="89" spans="1:64" x14ac:dyDescent="0.2">
      <c r="G89">
        <v>80</v>
      </c>
      <c r="H89" s="531">
        <f t="shared" si="85"/>
        <v>50</v>
      </c>
      <c r="I89" s="4">
        <f t="shared" si="86"/>
        <v>1</v>
      </c>
      <c r="J89" s="348">
        <f t="shared" si="116"/>
        <v>4</v>
      </c>
      <c r="K89" s="348">
        <f t="shared" si="87"/>
        <v>4</v>
      </c>
      <c r="L89" s="4">
        <f t="shared" si="88"/>
        <v>1.0666666666666667</v>
      </c>
      <c r="M89" s="348">
        <f t="shared" si="89"/>
        <v>0.2408816961605878</v>
      </c>
      <c r="N89" s="4">
        <f t="shared" si="90"/>
        <v>12.217339290027246</v>
      </c>
      <c r="O89" s="4">
        <f t="shared" si="117"/>
        <v>10.108669645013624</v>
      </c>
      <c r="P89" s="4">
        <f t="shared" si="118"/>
        <v>-2.1086696450136229</v>
      </c>
      <c r="Q89" s="4">
        <f t="shared" si="91"/>
        <v>50</v>
      </c>
      <c r="R89" s="4">
        <f t="shared" si="119"/>
        <v>5.3327867896598198</v>
      </c>
      <c r="S89" s="348">
        <f t="shared" si="92"/>
        <v>9.9535152303896007E-2</v>
      </c>
      <c r="T89" s="348">
        <f t="shared" si="93"/>
        <v>0.2</v>
      </c>
      <c r="U89" s="348">
        <f t="shared" si="94"/>
        <v>0.30193943935048029</v>
      </c>
      <c r="V89" s="4">
        <f t="shared" si="120"/>
        <v>3.5268420639391111</v>
      </c>
      <c r="W89" s="348">
        <f t="shared" si="121"/>
        <v>1.243861494397029E-2</v>
      </c>
      <c r="X89" s="348">
        <f t="shared" si="122"/>
        <v>1.243861494397029E-2</v>
      </c>
      <c r="Y89" s="4">
        <f t="shared" si="123"/>
        <v>2.2803990552302951</v>
      </c>
      <c r="Z89" s="348">
        <f t="shared" si="124"/>
        <v>5.2002198510952228E-3</v>
      </c>
      <c r="AA89" s="525">
        <f t="shared" si="125"/>
        <v>5.2002198510952228E-3</v>
      </c>
      <c r="AB89" s="348">
        <f t="shared" si="126"/>
        <v>2.6173157631744401</v>
      </c>
      <c r="AC89" s="348">
        <f t="shared" si="95"/>
        <v>8.2204101649936828E-2</v>
      </c>
      <c r="AD89" s="348">
        <f t="shared" si="96"/>
        <v>0.26460008733124313</v>
      </c>
      <c r="AE89" s="348">
        <f t="shared" si="97"/>
        <v>0</v>
      </c>
      <c r="AF89" s="348">
        <f t="shared" si="98"/>
        <v>7.0260872571853905E-3</v>
      </c>
      <c r="AG89" s="348">
        <f t="shared" si="99"/>
        <v>0.3587852036169335</v>
      </c>
      <c r="AH89" s="348">
        <f t="shared" si="100"/>
        <v>4.6463182348832808</v>
      </c>
      <c r="AI89" s="348">
        <f t="shared" si="101"/>
        <v>8.8511919873216424E-2</v>
      </c>
      <c r="AJ89" s="348">
        <f t="shared" si="102"/>
        <v>3.368208725718539E-2</v>
      </c>
      <c r="AK89" s="348">
        <f t="shared" si="103"/>
        <v>0.12398053446597129</v>
      </c>
      <c r="AL89" s="348">
        <f t="shared" si="104"/>
        <v>2.6655999999999996E-2</v>
      </c>
      <c r="AM89" s="348">
        <f t="shared" si="105"/>
        <v>0.8024</v>
      </c>
      <c r="AN89" s="348">
        <f t="shared" si="106"/>
        <v>5.6877229887940577E-2</v>
      </c>
      <c r="AO89" s="348">
        <f t="shared" si="107"/>
        <v>1.1E-4</v>
      </c>
      <c r="AP89" s="348">
        <f t="shared" si="108"/>
        <v>5.6099999999999997E-2</v>
      </c>
      <c r="AQ89" s="348">
        <f t="shared" si="109"/>
        <v>0.52647692307692318</v>
      </c>
      <c r="AR89" s="348">
        <f t="shared" si="110"/>
        <v>0.5048999999999999</v>
      </c>
      <c r="AS89" s="348">
        <f t="shared" si="133"/>
        <v>5.6209999999999996E-2</v>
      </c>
      <c r="AT89" s="348">
        <f t="shared" si="111"/>
        <v>1.7444872421163913</v>
      </c>
      <c r="AU89">
        <f t="shared" si="112"/>
        <v>48</v>
      </c>
      <c r="AV89" s="526">
        <f t="shared" si="127"/>
        <v>0.96493104384359973</v>
      </c>
      <c r="AW89" s="534">
        <f t="shared" si="113"/>
        <v>37.311506551911208</v>
      </c>
      <c r="AX89" s="534">
        <f t="shared" si="114"/>
        <v>15.823042152765034</v>
      </c>
      <c r="AY89" s="9"/>
      <c r="AZ89" s="4">
        <f t="shared" si="128"/>
        <v>96.493104384359967</v>
      </c>
      <c r="BA89" s="348">
        <f t="shared" si="115"/>
        <v>0.30193943935048029</v>
      </c>
      <c r="BB89" s="348">
        <f t="shared" si="129"/>
        <v>1.2851657380829047</v>
      </c>
      <c r="BC89" s="348">
        <f t="shared" si="130"/>
        <v>0.8883692036169335</v>
      </c>
      <c r="BD89" s="348">
        <f t="shared" si="131"/>
        <v>0.38877253446597132</v>
      </c>
      <c r="BE89" s="348">
        <f t="shared" si="132"/>
        <v>5.6877229887940577E-2</v>
      </c>
      <c r="BK89" s="18"/>
      <c r="BL89" s="19"/>
    </row>
    <row r="90" spans="1:64" x14ac:dyDescent="0.2">
      <c r="G90">
        <v>81</v>
      </c>
      <c r="H90" s="531">
        <f t="shared" si="85"/>
        <v>50</v>
      </c>
      <c r="I90" s="4">
        <f t="shared" si="86"/>
        <v>1</v>
      </c>
      <c r="J90" s="348">
        <f t="shared" si="116"/>
        <v>4.05</v>
      </c>
      <c r="K90" s="348">
        <f t="shared" si="87"/>
        <v>4.05</v>
      </c>
      <c r="L90" s="4">
        <f t="shared" si="88"/>
        <v>1.0799999999999998</v>
      </c>
      <c r="M90" s="348">
        <f t="shared" si="89"/>
        <v>0.24089272263214592</v>
      </c>
      <c r="N90" s="4">
        <f t="shared" si="90"/>
        <v>12.21764895636138</v>
      </c>
      <c r="O90" s="4">
        <f t="shared" si="117"/>
        <v>10.158824478180691</v>
      </c>
      <c r="P90" s="4">
        <f t="shared" si="118"/>
        <v>-2.0588244781806901</v>
      </c>
      <c r="Q90" s="4">
        <f t="shared" si="91"/>
        <v>50</v>
      </c>
      <c r="R90" s="4">
        <f t="shared" si="119"/>
        <v>5.3704511450845409</v>
      </c>
      <c r="S90" s="348">
        <f t="shared" si="92"/>
        <v>0.1009461092560895</v>
      </c>
      <c r="T90" s="348">
        <f t="shared" si="93"/>
        <v>0.2</v>
      </c>
      <c r="U90" s="348">
        <f t="shared" si="94"/>
        <v>0.30339624287861039</v>
      </c>
      <c r="V90" s="4">
        <f t="shared" si="120"/>
        <v>3.5269314569097965</v>
      </c>
      <c r="W90" s="348">
        <f t="shared" si="121"/>
        <v>1.243924550173986E-2</v>
      </c>
      <c r="X90" s="348">
        <f t="shared" si="122"/>
        <v>1.243924550173986E-2</v>
      </c>
      <c r="Y90" s="4">
        <f t="shared" si="123"/>
        <v>2.2965409177806557</v>
      </c>
      <c r="Z90" s="348">
        <f t="shared" si="124"/>
        <v>5.2741001870408163E-3</v>
      </c>
      <c r="AA90" s="525">
        <f t="shared" si="125"/>
        <v>5.2741001870408163E-3</v>
      </c>
      <c r="AB90" s="348">
        <f t="shared" si="126"/>
        <v>2.6358616426849042</v>
      </c>
      <c r="AC90" s="348">
        <f t="shared" si="95"/>
        <v>8.3373199192530736E-2</v>
      </c>
      <c r="AD90" s="348">
        <f t="shared" si="96"/>
        <v>0.26790758842288365</v>
      </c>
      <c r="AE90" s="348">
        <f t="shared" si="97"/>
        <v>0</v>
      </c>
      <c r="AF90" s="348">
        <f t="shared" si="98"/>
        <v>6.860003161298059E-3</v>
      </c>
      <c r="AG90" s="348">
        <f t="shared" si="99"/>
        <v>0.36322842138551092</v>
      </c>
      <c r="AH90" s="348">
        <f t="shared" si="100"/>
        <v>4.679100223585972</v>
      </c>
      <c r="AI90" s="348">
        <f t="shared" si="101"/>
        <v>8.976531349968539E-2</v>
      </c>
      <c r="AJ90" s="348">
        <f t="shared" si="102"/>
        <v>3.3849203161298053E-2</v>
      </c>
      <c r="AK90" s="348">
        <f t="shared" si="103"/>
        <v>0.12544778462250075</v>
      </c>
      <c r="AL90" s="348">
        <f t="shared" si="104"/>
        <v>2.6989199999999994E-2</v>
      </c>
      <c r="AM90" s="348">
        <f t="shared" si="105"/>
        <v>0.81242999999999987</v>
      </c>
      <c r="AN90" s="348">
        <f t="shared" si="106"/>
        <v>5.768349100347972E-2</v>
      </c>
      <c r="AO90" s="348">
        <f t="shared" si="107"/>
        <v>1.1E-4</v>
      </c>
      <c r="AP90" s="348">
        <f t="shared" si="108"/>
        <v>5.6099999999999997E-2</v>
      </c>
      <c r="AQ90" s="348">
        <f t="shared" si="109"/>
        <v>0.52647692307692318</v>
      </c>
      <c r="AR90" s="348">
        <f t="shared" si="110"/>
        <v>0.5048999999999999</v>
      </c>
      <c r="AS90" s="348">
        <f t="shared" si="133"/>
        <v>5.6209999999999996E-2</v>
      </c>
      <c r="AT90" s="348">
        <f t="shared" si="111"/>
        <v>1.7630984855788825</v>
      </c>
      <c r="AU90">
        <f t="shared" si="112"/>
        <v>48.599999999999994</v>
      </c>
      <c r="AV90" s="526">
        <f t="shared" si="127"/>
        <v>0.96499225546887801</v>
      </c>
      <c r="AW90" s="534">
        <f t="shared" si="113"/>
        <v>37.776153298191453</v>
      </c>
      <c r="AX90" s="534">
        <f t="shared" si="114"/>
        <v>16.017472164135782</v>
      </c>
      <c r="AY90" s="9"/>
      <c r="AZ90" s="4">
        <f t="shared" si="128"/>
        <v>96.4992255468878</v>
      </c>
      <c r="BA90" s="348">
        <f t="shared" si="115"/>
        <v>0.30339624287861039</v>
      </c>
      <c r="BB90" s="348">
        <f t="shared" si="129"/>
        <v>1.3011062060080114</v>
      </c>
      <c r="BC90" s="348">
        <f t="shared" si="130"/>
        <v>0.89943222138551082</v>
      </c>
      <c r="BD90" s="348">
        <f t="shared" si="131"/>
        <v>0.39354968462250073</v>
      </c>
      <c r="BE90" s="348">
        <f t="shared" si="132"/>
        <v>5.768349100347972E-2</v>
      </c>
      <c r="BK90" s="18"/>
      <c r="BL90" s="19"/>
    </row>
    <row r="91" spans="1:64" x14ac:dyDescent="0.2">
      <c r="G91">
        <v>82</v>
      </c>
      <c r="H91" s="531">
        <f t="shared" si="85"/>
        <v>50</v>
      </c>
      <c r="I91" s="4">
        <f t="shared" si="86"/>
        <v>1</v>
      </c>
      <c r="J91" s="348">
        <f t="shared" si="116"/>
        <v>4.0999999999999996</v>
      </c>
      <c r="K91" s="348">
        <f t="shared" si="87"/>
        <v>4.0999999999999996</v>
      </c>
      <c r="L91" s="4">
        <f t="shared" si="88"/>
        <v>1.0933333333333333</v>
      </c>
      <c r="M91" s="348">
        <f t="shared" si="89"/>
        <v>0.24090374923387933</v>
      </c>
      <c r="N91" s="4">
        <f t="shared" si="90"/>
        <v>12.217958606448665</v>
      </c>
      <c r="O91" s="4">
        <f t="shared" si="117"/>
        <v>10.208979303224332</v>
      </c>
      <c r="P91" s="4">
        <f t="shared" si="118"/>
        <v>-2.0089793032243328</v>
      </c>
      <c r="Q91" s="4">
        <f t="shared" si="91"/>
        <v>50</v>
      </c>
      <c r="R91" s="4">
        <f t="shared" si="119"/>
        <v>5.4083154533003848</v>
      </c>
      <c r="S91" s="348">
        <f t="shared" si="92"/>
        <v>0.1023745661484271</v>
      </c>
      <c r="T91" s="348">
        <f t="shared" si="93"/>
        <v>0.2</v>
      </c>
      <c r="U91" s="348">
        <f t="shared" si="94"/>
        <v>0.30487145276505617</v>
      </c>
      <c r="V91" s="4">
        <f t="shared" si="120"/>
        <v>3.527020845190421</v>
      </c>
      <c r="W91" s="348">
        <f t="shared" si="121"/>
        <v>1.2439876042407752E-2</v>
      </c>
      <c r="X91" s="348">
        <f t="shared" si="122"/>
        <v>1.2439876042407752E-2</v>
      </c>
      <c r="Y91" s="4">
        <f t="shared" si="123"/>
        <v>2.312768788167459</v>
      </c>
      <c r="Z91" s="348">
        <f t="shared" si="124"/>
        <v>5.3488994675215777E-3</v>
      </c>
      <c r="AA91" s="525">
        <f t="shared" si="125"/>
        <v>5.3488994675215777E-3</v>
      </c>
      <c r="AB91" s="348">
        <f t="shared" si="126"/>
        <v>2.6545065084196442</v>
      </c>
      <c r="AC91" s="348">
        <f t="shared" si="95"/>
        <v>8.455685763890701E-2</v>
      </c>
      <c r="AD91" s="348">
        <f t="shared" si="96"/>
        <v>0.27121508951452411</v>
      </c>
      <c r="AE91" s="348">
        <f t="shared" si="97"/>
        <v>0</v>
      </c>
      <c r="AF91" s="348">
        <f t="shared" si="98"/>
        <v>6.6939190383434764E-3</v>
      </c>
      <c r="AG91" s="348">
        <f t="shared" si="99"/>
        <v>0.36768909274929951</v>
      </c>
      <c r="AH91" s="348">
        <f t="shared" si="100"/>
        <v>4.7120559460988467</v>
      </c>
      <c r="AI91" s="348">
        <f t="shared" si="101"/>
        <v>9.1034232080578537E-2</v>
      </c>
      <c r="AJ91" s="348">
        <f t="shared" si="102"/>
        <v>3.401631903834347E-2</v>
      </c>
      <c r="AK91" s="348">
        <f t="shared" si="103"/>
        <v>0.1269317266512337</v>
      </c>
      <c r="AL91" s="348">
        <f t="shared" si="104"/>
        <v>2.7322399999999993E-2</v>
      </c>
      <c r="AM91" s="348">
        <f t="shared" si="105"/>
        <v>0.82245999999999986</v>
      </c>
      <c r="AN91" s="348">
        <f t="shared" si="106"/>
        <v>5.849975208481549E-2</v>
      </c>
      <c r="AO91" s="348">
        <f t="shared" si="107"/>
        <v>1.1E-4</v>
      </c>
      <c r="AP91" s="348">
        <f t="shared" si="108"/>
        <v>5.6099999999999997E-2</v>
      </c>
      <c r="AQ91" s="348">
        <f t="shared" si="109"/>
        <v>0.52647692307692318</v>
      </c>
      <c r="AR91" s="348">
        <f t="shared" si="110"/>
        <v>0.5048999999999999</v>
      </c>
      <c r="AS91" s="348">
        <f t="shared" si="133"/>
        <v>5.6209999999999996E-2</v>
      </c>
      <c r="AT91" s="348">
        <f t="shared" si="111"/>
        <v>1.7817731997603341</v>
      </c>
      <c r="AU91">
        <f t="shared" si="112"/>
        <v>49.199999999999996</v>
      </c>
      <c r="AV91" s="526">
        <f t="shared" si="127"/>
        <v>0.96505078015276424</v>
      </c>
      <c r="AW91" s="534">
        <f t="shared" si="113"/>
        <v>38.241533095470579</v>
      </c>
      <c r="AX91" s="534">
        <f t="shared" si="114"/>
        <v>16.212581534705212</v>
      </c>
      <c r="AY91" s="9"/>
      <c r="AZ91" s="4">
        <f t="shared" si="128"/>
        <v>96.505078015276425</v>
      </c>
      <c r="BA91" s="348">
        <f t="shared" si="115"/>
        <v>0.30487145276505617</v>
      </c>
      <c r="BB91" s="348">
        <f t="shared" si="129"/>
        <v>1.317080819400533</v>
      </c>
      <c r="BC91" s="348">
        <f t="shared" si="130"/>
        <v>0.91051269274929947</v>
      </c>
      <c r="BD91" s="348">
        <f t="shared" si="131"/>
        <v>0.39834352665123368</v>
      </c>
      <c r="BE91" s="348">
        <f t="shared" si="132"/>
        <v>5.849975208481549E-2</v>
      </c>
      <c r="BK91" s="18"/>
      <c r="BL91" s="19"/>
    </row>
    <row r="92" spans="1:64" x14ac:dyDescent="0.2">
      <c r="G92">
        <v>83</v>
      </c>
      <c r="H92" s="531">
        <f t="shared" si="85"/>
        <v>50</v>
      </c>
      <c r="I92" s="4">
        <f t="shared" si="86"/>
        <v>1</v>
      </c>
      <c r="J92" s="348">
        <f t="shared" si="116"/>
        <v>4.1500000000000004</v>
      </c>
      <c r="K92" s="348">
        <f t="shared" si="87"/>
        <v>4.1500000000000004</v>
      </c>
      <c r="L92" s="4">
        <f t="shared" si="88"/>
        <v>1.1066666666666667</v>
      </c>
      <c r="M92" s="348">
        <f t="shared" si="89"/>
        <v>0.24091477596579045</v>
      </c>
      <c r="N92" s="4">
        <f t="shared" si="90"/>
        <v>12.21826824028882</v>
      </c>
      <c r="O92" s="4">
        <f t="shared" si="117"/>
        <v>10.25913412014441</v>
      </c>
      <c r="P92" s="4">
        <f t="shared" si="118"/>
        <v>-1.9591341201444097</v>
      </c>
      <c r="Q92" s="4">
        <f t="shared" si="91"/>
        <v>50</v>
      </c>
      <c r="R92" s="4">
        <f t="shared" si="119"/>
        <v>5.4463755439715023</v>
      </c>
      <c r="S92" s="348">
        <f t="shared" si="92"/>
        <v>0.10382052298089807</v>
      </c>
      <c r="T92" s="348">
        <f t="shared" si="93"/>
        <v>0.2</v>
      </c>
      <c r="U92" s="348">
        <f t="shared" si="94"/>
        <v>0.3063650816206534</v>
      </c>
      <c r="V92" s="4">
        <f t="shared" si="120"/>
        <v>3.5271102287809031</v>
      </c>
      <c r="W92" s="348">
        <f t="shared" si="121"/>
        <v>1.2440506565970875E-2</v>
      </c>
      <c r="X92" s="348">
        <f t="shared" si="122"/>
        <v>1.2440506565970875E-2</v>
      </c>
      <c r="Y92" s="4">
        <f t="shared" si="123"/>
        <v>2.3290808869662842</v>
      </c>
      <c r="Z92" s="348">
        <f t="shared" si="124"/>
        <v>5.4246177780316526E-3</v>
      </c>
      <c r="AA92" s="525">
        <f t="shared" si="125"/>
        <v>5.4246177780316526E-3</v>
      </c>
      <c r="AB92" s="348">
        <f t="shared" si="126"/>
        <v>2.6732483201739123</v>
      </c>
      <c r="AC92" s="348">
        <f t="shared" si="95"/>
        <v>8.5755078975751728E-2</v>
      </c>
      <c r="AD92" s="348">
        <f t="shared" si="96"/>
        <v>0.2745225906061648</v>
      </c>
      <c r="AE92" s="348">
        <f t="shared" si="97"/>
        <v>0</v>
      </c>
      <c r="AF92" s="348">
        <f t="shared" si="98"/>
        <v>6.5278348883211724E-3</v>
      </c>
      <c r="AG92" s="348">
        <f t="shared" si="99"/>
        <v>0.37216726362845853</v>
      </c>
      <c r="AH92" s="348">
        <f t="shared" si="100"/>
        <v>4.7451817651864747</v>
      </c>
      <c r="AI92" s="348">
        <f t="shared" si="101"/>
        <v>9.2318674937098735E-2</v>
      </c>
      <c r="AJ92" s="348">
        <f t="shared" si="102"/>
        <v>3.4183434888321165E-2</v>
      </c>
      <c r="AK92" s="348">
        <f t="shared" si="103"/>
        <v>0.12843238177458358</v>
      </c>
      <c r="AL92" s="348">
        <f t="shared" si="104"/>
        <v>2.7655599999999999E-2</v>
      </c>
      <c r="AM92" s="348">
        <f t="shared" si="105"/>
        <v>0.83249000000000017</v>
      </c>
      <c r="AN92" s="348">
        <f t="shared" si="106"/>
        <v>5.932601313194176E-2</v>
      </c>
      <c r="AO92" s="348">
        <f t="shared" si="107"/>
        <v>1.1E-4</v>
      </c>
      <c r="AP92" s="348">
        <f t="shared" si="108"/>
        <v>5.6099999999999997E-2</v>
      </c>
      <c r="AQ92" s="348">
        <f t="shared" si="109"/>
        <v>0.52647692307692318</v>
      </c>
      <c r="AR92" s="348">
        <f t="shared" si="110"/>
        <v>0.5048999999999999</v>
      </c>
      <c r="AS92" s="348">
        <f t="shared" si="133"/>
        <v>5.6209999999999996E-2</v>
      </c>
      <c r="AT92" s="348">
        <f t="shared" si="111"/>
        <v>1.8005114644996403</v>
      </c>
      <c r="AU92">
        <f t="shared" si="112"/>
        <v>49.800000000000004</v>
      </c>
      <c r="AV92" s="526">
        <f t="shared" si="127"/>
        <v>0.96510671283290739</v>
      </c>
      <c r="AW92" s="534">
        <f t="shared" si="113"/>
        <v>38.707647872395263</v>
      </c>
      <c r="AX92" s="534">
        <f t="shared" si="114"/>
        <v>16.408371128225557</v>
      </c>
      <c r="AY92" s="9"/>
      <c r="AZ92" s="4">
        <f t="shared" si="128"/>
        <v>96.510671283290733</v>
      </c>
      <c r="BA92" s="348">
        <f t="shared" si="115"/>
        <v>0.3063650816206534</v>
      </c>
      <c r="BB92" s="348">
        <f t="shared" si="129"/>
        <v>1.3330896454030423</v>
      </c>
      <c r="BC92" s="348">
        <f t="shared" si="130"/>
        <v>0.92161066362845867</v>
      </c>
      <c r="BD92" s="348">
        <f t="shared" si="131"/>
        <v>0.40315408177458367</v>
      </c>
      <c r="BE92" s="348">
        <f t="shared" si="132"/>
        <v>5.932601313194176E-2</v>
      </c>
      <c r="BK92" s="18"/>
      <c r="BL92" s="19"/>
    </row>
    <row r="93" spans="1:64" x14ac:dyDescent="0.2">
      <c r="G93">
        <v>84</v>
      </c>
      <c r="H93" s="531">
        <f t="shared" si="85"/>
        <v>50</v>
      </c>
      <c r="I93" s="4">
        <f t="shared" si="86"/>
        <v>1</v>
      </c>
      <c r="J93" s="348">
        <f t="shared" si="116"/>
        <v>4.2</v>
      </c>
      <c r="K93" s="348">
        <f t="shared" si="87"/>
        <v>4.2</v>
      </c>
      <c r="L93" s="4">
        <f t="shared" si="88"/>
        <v>1.1200000000000001</v>
      </c>
      <c r="M93" s="348">
        <f t="shared" si="89"/>
        <v>0.24092580282788148</v>
      </c>
      <c r="N93" s="4">
        <f t="shared" si="90"/>
        <v>12.218577857881552</v>
      </c>
      <c r="O93" s="4">
        <f t="shared" si="117"/>
        <v>10.309288928940777</v>
      </c>
      <c r="P93" s="4">
        <f t="shared" si="118"/>
        <v>-1.909288928940776</v>
      </c>
      <c r="Q93" s="4">
        <f t="shared" si="91"/>
        <v>50</v>
      </c>
      <c r="R93" s="4">
        <f t="shared" si="119"/>
        <v>5.4846273412535611</v>
      </c>
      <c r="S93" s="348">
        <f t="shared" si="92"/>
        <v>0.10528397975349138</v>
      </c>
      <c r="T93" s="348">
        <f t="shared" si="93"/>
        <v>0.2</v>
      </c>
      <c r="U93" s="348">
        <f t="shared" si="94"/>
        <v>0.30787714221811985</v>
      </c>
      <c r="V93" s="4">
        <f t="shared" si="120"/>
        <v>3.5271996076811578</v>
      </c>
      <c r="W93" s="348">
        <f t="shared" si="121"/>
        <v>1.2441137072426115E-2</v>
      </c>
      <c r="X93" s="348">
        <f t="shared" si="122"/>
        <v>1.2441137072426115E-2</v>
      </c>
      <c r="Y93" s="4">
        <f t="shared" si="123"/>
        <v>2.3454754750497591</v>
      </c>
      <c r="Z93" s="348">
        <f t="shared" si="124"/>
        <v>5.5012552040598931E-3</v>
      </c>
      <c r="AA93" s="525">
        <f t="shared" si="125"/>
        <v>5.5012552040598931E-3</v>
      </c>
      <c r="AB93" s="348">
        <f t="shared" si="126"/>
        <v>2.6920850839358343</v>
      </c>
      <c r="AC93" s="348">
        <f t="shared" si="95"/>
        <v>8.6967865189797697E-2</v>
      </c>
      <c r="AD93" s="348">
        <f t="shared" si="96"/>
        <v>0.27783009169780526</v>
      </c>
      <c r="AE93" s="348">
        <f t="shared" si="97"/>
        <v>0</v>
      </c>
      <c r="AF93" s="348">
        <f t="shared" si="98"/>
        <v>6.3617507112306649E-3</v>
      </c>
      <c r="AG93" s="348">
        <f t="shared" si="99"/>
        <v>0.37666298024723938</v>
      </c>
      <c r="AH93" s="348">
        <f t="shared" si="100"/>
        <v>4.7784741260444532</v>
      </c>
      <c r="AI93" s="348">
        <f t="shared" si="101"/>
        <v>9.3618641390432827E-2</v>
      </c>
      <c r="AJ93" s="348">
        <f t="shared" si="102"/>
        <v>3.4350550711230665E-2</v>
      </c>
      <c r="AK93" s="348">
        <f t="shared" si="103"/>
        <v>0.12994977148955578</v>
      </c>
      <c r="AL93" s="348">
        <f t="shared" si="104"/>
        <v>2.7988799999999998E-2</v>
      </c>
      <c r="AM93" s="348">
        <f t="shared" si="105"/>
        <v>0.84251999999999994</v>
      </c>
      <c r="AN93" s="348">
        <f t="shared" si="106"/>
        <v>6.0162274144852215E-2</v>
      </c>
      <c r="AO93" s="348">
        <f t="shared" si="107"/>
        <v>1.1E-4</v>
      </c>
      <c r="AP93" s="348">
        <f t="shared" si="108"/>
        <v>5.6099999999999997E-2</v>
      </c>
      <c r="AQ93" s="348">
        <f t="shared" si="109"/>
        <v>0.52647692307692318</v>
      </c>
      <c r="AR93" s="348">
        <f t="shared" si="110"/>
        <v>0.5048999999999999</v>
      </c>
      <c r="AS93" s="348">
        <f t="shared" si="133"/>
        <v>5.6209999999999996E-2</v>
      </c>
      <c r="AT93" s="348">
        <f t="shared" si="111"/>
        <v>1.8193133603762532</v>
      </c>
      <c r="AU93">
        <f t="shared" si="112"/>
        <v>50.400000000000006</v>
      </c>
      <c r="AV93" s="526">
        <f t="shared" si="127"/>
        <v>0.96516014395247218</v>
      </c>
      <c r="AW93" s="534">
        <f t="shared" si="113"/>
        <v>39.17449957038405</v>
      </c>
      <c r="AX93" s="534">
        <f t="shared" si="114"/>
        <v>16.604841819624919</v>
      </c>
      <c r="AY93" s="9"/>
      <c r="AZ93" s="4">
        <f t="shared" si="128"/>
        <v>96.516014395247225</v>
      </c>
      <c r="BA93" s="348">
        <f t="shared" si="115"/>
        <v>0.30787714221811985</v>
      </c>
      <c r="BB93" s="348">
        <f t="shared" si="129"/>
        <v>1.349132751736795</v>
      </c>
      <c r="BC93" s="348">
        <f t="shared" si="130"/>
        <v>0.9327261802472393</v>
      </c>
      <c r="BD93" s="348">
        <f t="shared" si="131"/>
        <v>0.40798137148955577</v>
      </c>
      <c r="BE93" s="348">
        <f t="shared" si="132"/>
        <v>6.0162274144852215E-2</v>
      </c>
      <c r="BK93" s="18"/>
      <c r="BL93" s="19"/>
    </row>
    <row r="94" spans="1:64" x14ac:dyDescent="0.2">
      <c r="G94">
        <v>85</v>
      </c>
      <c r="H94" s="531">
        <f t="shared" si="85"/>
        <v>50</v>
      </c>
      <c r="I94" s="4">
        <f t="shared" si="86"/>
        <v>1</v>
      </c>
      <c r="J94" s="348">
        <f t="shared" si="116"/>
        <v>4.25</v>
      </c>
      <c r="K94" s="348">
        <f t="shared" si="87"/>
        <v>4.25</v>
      </c>
      <c r="L94" s="4">
        <f t="shared" si="88"/>
        <v>1.1333333333333333</v>
      </c>
      <c r="M94" s="348">
        <f t="shared" si="89"/>
        <v>0.24093682982015482</v>
      </c>
      <c r="N94" s="4">
        <f t="shared" si="90"/>
        <v>12.218887459226579</v>
      </c>
      <c r="O94" s="4">
        <f t="shared" si="117"/>
        <v>10.35944372961329</v>
      </c>
      <c r="P94" s="4">
        <f t="shared" si="118"/>
        <v>-1.8594437296132895</v>
      </c>
      <c r="Q94" s="4">
        <f t="shared" si="91"/>
        <v>50</v>
      </c>
      <c r="R94" s="4">
        <f t="shared" si="119"/>
        <v>5.5230668619681209</v>
      </c>
      <c r="S94" s="348">
        <f t="shared" si="92"/>
        <v>0.10676493646619636</v>
      </c>
      <c r="T94" s="348">
        <f t="shared" si="93"/>
        <v>0.2</v>
      </c>
      <c r="U94" s="348">
        <f t="shared" si="94"/>
        <v>0.3094076474923303</v>
      </c>
      <c r="V94" s="4">
        <f t="shared" si="120"/>
        <v>3.527288981891104</v>
      </c>
      <c r="W94" s="348">
        <f t="shared" si="121"/>
        <v>1.244176756177038E-2</v>
      </c>
      <c r="X94" s="348">
        <f t="shared" si="122"/>
        <v>1.244176756177038E-2</v>
      </c>
      <c r="Y94" s="4">
        <f t="shared" si="123"/>
        <v>2.3619508528099984</v>
      </c>
      <c r="Z94" s="348">
        <f t="shared" si="124"/>
        <v>5.5788118310898787E-3</v>
      </c>
      <c r="AA94" s="525">
        <f t="shared" si="125"/>
        <v>5.5788118310898787E-3</v>
      </c>
      <c r="AB94" s="348">
        <f t="shared" si="126"/>
        <v>2.7110148509956087</v>
      </c>
      <c r="AC94" s="348">
        <f t="shared" si="95"/>
        <v>8.8195218267824921E-2</v>
      </c>
      <c r="AD94" s="348">
        <f t="shared" si="96"/>
        <v>0.28113759278944583</v>
      </c>
      <c r="AE94" s="348">
        <f t="shared" si="97"/>
        <v>0</v>
      </c>
      <c r="AF94" s="348">
        <f t="shared" si="98"/>
        <v>6.195666507071481E-3</v>
      </c>
      <c r="AG94" s="348">
        <f t="shared" si="99"/>
        <v>0.38117628913550494</v>
      </c>
      <c r="AH94" s="348">
        <f t="shared" si="100"/>
        <v>4.8119295547058503</v>
      </c>
      <c r="AI94" s="348">
        <f t="shared" si="101"/>
        <v>9.4934130761751709E-2</v>
      </c>
      <c r="AJ94" s="348">
        <f t="shared" si="102"/>
        <v>3.4517666507071477E-2</v>
      </c>
      <c r="AK94" s="348">
        <f t="shared" si="103"/>
        <v>0.13148391756857261</v>
      </c>
      <c r="AL94" s="348">
        <f t="shared" si="104"/>
        <v>2.8321999999999996E-2</v>
      </c>
      <c r="AM94" s="348">
        <f t="shared" si="105"/>
        <v>0.85255000000000003</v>
      </c>
      <c r="AN94" s="348">
        <f t="shared" si="106"/>
        <v>6.1008535123540777E-2</v>
      </c>
      <c r="AO94" s="348">
        <f t="shared" si="107"/>
        <v>1.1E-4</v>
      </c>
      <c r="AP94" s="348">
        <f t="shared" si="108"/>
        <v>5.6099999999999997E-2</v>
      </c>
      <c r="AQ94" s="348">
        <f t="shared" si="109"/>
        <v>0.52647692307692318</v>
      </c>
      <c r="AR94" s="348">
        <f t="shared" si="110"/>
        <v>0.5048999999999999</v>
      </c>
      <c r="AS94" s="348">
        <f t="shared" si="133"/>
        <v>5.6209999999999996E-2</v>
      </c>
      <c r="AT94" s="348">
        <f t="shared" si="111"/>
        <v>1.8381789687128089</v>
      </c>
      <c r="AU94">
        <f t="shared" si="112"/>
        <v>51</v>
      </c>
      <c r="AV94" s="526">
        <f t="shared" si="127"/>
        <v>0.96521115972219151</v>
      </c>
      <c r="AW94" s="534">
        <f t="shared" si="113"/>
        <v>39.642090143691206</v>
      </c>
      <c r="AX94" s="534">
        <f t="shared" si="114"/>
        <v>16.801994495040905</v>
      </c>
      <c r="AY94" s="9"/>
      <c r="AZ94" s="4">
        <f t="shared" si="128"/>
        <v>96.52111597221915</v>
      </c>
      <c r="BA94" s="348">
        <f t="shared" si="115"/>
        <v>0.3094076474923303</v>
      </c>
      <c r="BB94" s="348">
        <f t="shared" si="129"/>
        <v>1.3652102067040777</v>
      </c>
      <c r="BC94" s="348">
        <f t="shared" si="130"/>
        <v>0.94385928913550499</v>
      </c>
      <c r="BD94" s="348">
        <f t="shared" si="131"/>
        <v>0.41282541756857261</v>
      </c>
      <c r="BE94" s="348">
        <f t="shared" si="132"/>
        <v>6.1008535123540777E-2</v>
      </c>
      <c r="BK94" s="18"/>
      <c r="BL94" s="19"/>
    </row>
    <row r="95" spans="1:64" x14ac:dyDescent="0.2">
      <c r="G95">
        <v>86</v>
      </c>
      <c r="H95" s="531">
        <f t="shared" si="85"/>
        <v>50</v>
      </c>
      <c r="I95" s="4">
        <f t="shared" si="86"/>
        <v>1</v>
      </c>
      <c r="J95" s="348">
        <f t="shared" si="116"/>
        <v>4.3</v>
      </c>
      <c r="K95" s="348">
        <f t="shared" si="87"/>
        <v>4.3</v>
      </c>
      <c r="L95" s="4">
        <f t="shared" si="88"/>
        <v>1.1466666666666665</v>
      </c>
      <c r="M95" s="348">
        <f t="shared" si="89"/>
        <v>0.2409478569426127</v>
      </c>
      <c r="N95" s="4">
        <f t="shared" si="90"/>
        <v>12.219197044323607</v>
      </c>
      <c r="O95" s="4">
        <f t="shared" si="117"/>
        <v>10.409598522161804</v>
      </c>
      <c r="P95" s="4">
        <f t="shared" si="118"/>
        <v>-1.8095985221618038</v>
      </c>
      <c r="Q95" s="4">
        <f t="shared" si="91"/>
        <v>50</v>
      </c>
      <c r="R95" s="4">
        <f t="shared" si="119"/>
        <v>5.5616902137749964</v>
      </c>
      <c r="S95" s="348">
        <f t="shared" si="92"/>
        <v>0.10826339311900197</v>
      </c>
      <c r="T95" s="348">
        <f t="shared" si="93"/>
        <v>0.2</v>
      </c>
      <c r="U95" s="348">
        <f t="shared" si="94"/>
        <v>0.31095661054059465</v>
      </c>
      <c r="V95" s="4">
        <f t="shared" si="120"/>
        <v>3.5273783514106571</v>
      </c>
      <c r="W95" s="348">
        <f t="shared" si="121"/>
        <v>1.2442398034000565E-2</v>
      </c>
      <c r="X95" s="348">
        <f t="shared" si="122"/>
        <v>1.2442398034000565E-2</v>
      </c>
      <c r="Y95" s="4">
        <f t="shared" si="123"/>
        <v>2.3785053593801067</v>
      </c>
      <c r="Z95" s="348">
        <f t="shared" si="124"/>
        <v>5.6572877445998909E-3</v>
      </c>
      <c r="AA95" s="525">
        <f t="shared" si="125"/>
        <v>5.6572877445998909E-3</v>
      </c>
      <c r="AB95" s="348">
        <f t="shared" si="126"/>
        <v>2.7300357170535925</v>
      </c>
      <c r="AC95" s="348">
        <f t="shared" si="95"/>
        <v>8.9437140196659881E-2</v>
      </c>
      <c r="AD95" s="348">
        <f t="shared" si="96"/>
        <v>0.28444509388108635</v>
      </c>
      <c r="AE95" s="348">
        <f t="shared" si="97"/>
        <v>0</v>
      </c>
      <c r="AF95" s="348">
        <f t="shared" si="98"/>
        <v>6.0295822758431308E-3</v>
      </c>
      <c r="AG95" s="348">
        <f t="shared" si="99"/>
        <v>0.38570723713025967</v>
      </c>
      <c r="AH95" s="348">
        <f t="shared" si="100"/>
        <v>4.8455446564459859</v>
      </c>
      <c r="AI95" s="348">
        <f t="shared" si="101"/>
        <v>9.6265142372210191E-2</v>
      </c>
      <c r="AJ95" s="348">
        <f t="shared" si="102"/>
        <v>3.4684782275843123E-2</v>
      </c>
      <c r="AK95" s="348">
        <f t="shared" si="103"/>
        <v>0.13303484206030927</v>
      </c>
      <c r="AL95" s="348">
        <f t="shared" si="104"/>
        <v>2.8655199999999995E-2</v>
      </c>
      <c r="AM95" s="348">
        <f t="shared" si="105"/>
        <v>0.86258000000000012</v>
      </c>
      <c r="AN95" s="348">
        <f t="shared" si="106"/>
        <v>6.1864796068001125E-2</v>
      </c>
      <c r="AO95" s="348">
        <f t="shared" si="107"/>
        <v>1.1E-4</v>
      </c>
      <c r="AP95" s="348">
        <f t="shared" si="108"/>
        <v>5.6099999999999997E-2</v>
      </c>
      <c r="AQ95" s="348">
        <f t="shared" si="109"/>
        <v>0.52647692307692318</v>
      </c>
      <c r="AR95" s="348">
        <f t="shared" si="110"/>
        <v>0.5048999999999999</v>
      </c>
      <c r="AS95" s="348">
        <f t="shared" si="133"/>
        <v>5.6209999999999996E-2</v>
      </c>
      <c r="AT95" s="348">
        <f t="shared" si="111"/>
        <v>1.8571083715777654</v>
      </c>
      <c r="AU95">
        <f t="shared" si="112"/>
        <v>51.599999999999994</v>
      </c>
      <c r="AV95" s="526">
        <f t="shared" si="127"/>
        <v>0.96525984236429141</v>
      </c>
      <c r="AW95" s="534">
        <f t="shared" si="113"/>
        <v>40.110421559470907</v>
      </c>
      <c r="AX95" s="534">
        <f t="shared" si="114"/>
        <v>16.999830051854591</v>
      </c>
      <c r="AY95" s="9"/>
      <c r="AZ95" s="4">
        <f t="shared" si="128"/>
        <v>96.525984236429139</v>
      </c>
      <c r="BA95" s="348">
        <f t="shared" si="115"/>
        <v>0.31095661054059465</v>
      </c>
      <c r="BB95" s="348">
        <f t="shared" si="129"/>
        <v>1.3813220791905692</v>
      </c>
      <c r="BC95" s="348">
        <f t="shared" si="130"/>
        <v>0.95501003713025978</v>
      </c>
      <c r="BD95" s="348">
        <f t="shared" si="131"/>
        <v>0.41768624206030935</v>
      </c>
      <c r="BE95" s="348">
        <f t="shared" si="132"/>
        <v>6.1864796068001125E-2</v>
      </c>
      <c r="BK95" s="18"/>
      <c r="BL95" s="19"/>
    </row>
    <row r="96" spans="1:64" x14ac:dyDescent="0.2">
      <c r="G96">
        <v>87</v>
      </c>
      <c r="H96" s="531">
        <f t="shared" si="85"/>
        <v>50</v>
      </c>
      <c r="I96" s="4">
        <f t="shared" si="86"/>
        <v>1</v>
      </c>
      <c r="J96" s="348">
        <f t="shared" si="116"/>
        <v>4.3499999999999996</v>
      </c>
      <c r="K96" s="348">
        <f t="shared" si="87"/>
        <v>4.3499999999999996</v>
      </c>
      <c r="L96" s="4">
        <f t="shared" si="88"/>
        <v>1.1599999999999999</v>
      </c>
      <c r="M96" s="348">
        <f t="shared" si="89"/>
        <v>0.24095888419525741</v>
      </c>
      <c r="N96" s="4">
        <f t="shared" si="90"/>
        <v>12.219506613172348</v>
      </c>
      <c r="O96" s="4">
        <f t="shared" si="117"/>
        <v>10.459753306586173</v>
      </c>
      <c r="P96" s="4">
        <f t="shared" si="118"/>
        <v>-1.7597533065861741</v>
      </c>
      <c r="Q96" s="4">
        <f t="shared" si="91"/>
        <v>50</v>
      </c>
      <c r="R96" s="4">
        <f t="shared" si="119"/>
        <v>5.6004935933463544</v>
      </c>
      <c r="S96" s="348">
        <f t="shared" si="92"/>
        <v>0.10977934971189747</v>
      </c>
      <c r="T96" s="348">
        <f t="shared" si="93"/>
        <v>0.2</v>
      </c>
      <c r="U96" s="348">
        <f t="shared" si="94"/>
        <v>0.31252404462294053</v>
      </c>
      <c r="V96" s="4">
        <f t="shared" si="120"/>
        <v>3.5274677162397339</v>
      </c>
      <c r="W96" s="348">
        <f t="shared" si="121"/>
        <v>1.2443028489113564E-2</v>
      </c>
      <c r="X96" s="348">
        <f t="shared" si="122"/>
        <v>1.2443028489113564E-2</v>
      </c>
      <c r="Y96" s="4">
        <f t="shared" si="123"/>
        <v>2.3951373718563467</v>
      </c>
      <c r="Z96" s="348">
        <f t="shared" si="124"/>
        <v>5.7366830300629272E-3</v>
      </c>
      <c r="AA96" s="525">
        <f t="shared" si="125"/>
        <v>5.7366830300629272E-3</v>
      </c>
      <c r="AB96" s="348">
        <f t="shared" si="126"/>
        <v>2.7491458213291202</v>
      </c>
      <c r="AC96" s="348">
        <f t="shared" si="95"/>
        <v>9.0693632963176354E-2</v>
      </c>
      <c r="AD96" s="348">
        <f t="shared" si="96"/>
        <v>0.28775259497272682</v>
      </c>
      <c r="AE96" s="348">
        <f t="shared" si="97"/>
        <v>0</v>
      </c>
      <c r="AF96" s="348">
        <f t="shared" si="98"/>
        <v>5.8634980175451311E-3</v>
      </c>
      <c r="AG96" s="348">
        <f t="shared" si="99"/>
        <v>0.39025587137719686</v>
      </c>
      <c r="AH96" s="348">
        <f t="shared" si="100"/>
        <v>4.8793161141887698</v>
      </c>
      <c r="AI96" s="348">
        <f t="shared" si="101"/>
        <v>9.7611675542946988E-2</v>
      </c>
      <c r="AJ96" s="348">
        <f t="shared" si="102"/>
        <v>3.4851898017545124E-2</v>
      </c>
      <c r="AK96" s="348">
        <f t="shared" si="103"/>
        <v>0.13460256729054174</v>
      </c>
      <c r="AL96" s="348">
        <f t="shared" si="104"/>
        <v>2.8988399999999994E-2</v>
      </c>
      <c r="AM96" s="348">
        <f t="shared" si="105"/>
        <v>0.87260999999999989</v>
      </c>
      <c r="AN96" s="348">
        <f t="shared" si="106"/>
        <v>6.2731056978227118E-2</v>
      </c>
      <c r="AO96" s="348">
        <f t="shared" si="107"/>
        <v>1.1E-4</v>
      </c>
      <c r="AP96" s="348">
        <f t="shared" si="108"/>
        <v>5.6099999999999997E-2</v>
      </c>
      <c r="AQ96" s="348">
        <f t="shared" si="109"/>
        <v>0.52647692307692318</v>
      </c>
      <c r="AR96" s="348">
        <f t="shared" si="110"/>
        <v>0.5048999999999999</v>
      </c>
      <c r="AS96" s="348">
        <f t="shared" si="133"/>
        <v>5.6209999999999996E-2</v>
      </c>
      <c r="AT96" s="348">
        <f t="shared" si="111"/>
        <v>1.8761016517880826</v>
      </c>
      <c r="AU96">
        <f t="shared" si="112"/>
        <v>52.199999999999996</v>
      </c>
      <c r="AV96" s="526">
        <f t="shared" si="127"/>
        <v>0.96530627033973615</v>
      </c>
      <c r="AW96" s="534">
        <f t="shared" si="113"/>
        <v>40.579495797842263</v>
      </c>
      <c r="AX96" s="534">
        <f t="shared" si="114"/>
        <v>17.19834939872505</v>
      </c>
      <c r="AY96" s="9"/>
      <c r="AZ96" s="4">
        <f t="shared" si="128"/>
        <v>96.530627033973616</v>
      </c>
      <c r="BA96" s="348">
        <f t="shared" si="115"/>
        <v>0.31252404462294053</v>
      </c>
      <c r="BB96" s="348">
        <f t="shared" si="129"/>
        <v>1.3974684386677385</v>
      </c>
      <c r="BC96" s="348">
        <f t="shared" si="130"/>
        <v>0.96617847137719681</v>
      </c>
      <c r="BD96" s="348">
        <f t="shared" si="131"/>
        <v>0.42256386729054174</v>
      </c>
      <c r="BE96" s="348">
        <f t="shared" si="132"/>
        <v>6.2731056978227118E-2</v>
      </c>
      <c r="BK96" s="18"/>
      <c r="BL96" s="19"/>
    </row>
    <row r="97" spans="7:64" x14ac:dyDescent="0.2">
      <c r="G97">
        <v>88</v>
      </c>
      <c r="H97" s="531">
        <f t="shared" si="85"/>
        <v>50</v>
      </c>
      <c r="I97" s="4">
        <f t="shared" si="86"/>
        <v>1</v>
      </c>
      <c r="J97" s="348">
        <f t="shared" si="116"/>
        <v>4.4000000000000004</v>
      </c>
      <c r="K97" s="348">
        <f t="shared" si="87"/>
        <v>4.4000000000000004</v>
      </c>
      <c r="L97" s="4">
        <f t="shared" si="88"/>
        <v>1.1733333333333333</v>
      </c>
      <c r="M97" s="348">
        <f t="shared" si="89"/>
        <v>0.24096991157809133</v>
      </c>
      <c r="N97" s="4">
        <f t="shared" si="90"/>
        <v>12.219816165772521</v>
      </c>
      <c r="O97" s="4">
        <f t="shared" si="117"/>
        <v>10.509908082886261</v>
      </c>
      <c r="P97" s="4">
        <f t="shared" si="118"/>
        <v>-1.7099080828862601</v>
      </c>
      <c r="Q97" s="4">
        <f t="shared" si="91"/>
        <v>50</v>
      </c>
      <c r="R97" s="4">
        <f t="shared" si="119"/>
        <v>5.6394732845458444</v>
      </c>
      <c r="S97" s="348">
        <f t="shared" si="92"/>
        <v>0.11131280624487204</v>
      </c>
      <c r="T97" s="348">
        <f t="shared" si="93"/>
        <v>0.2</v>
      </c>
      <c r="U97" s="348">
        <f t="shared" si="94"/>
        <v>0.31410996316239848</v>
      </c>
      <c r="V97" s="4">
        <f t="shared" si="120"/>
        <v>3.5275570763782529</v>
      </c>
      <c r="W97" s="348">
        <f t="shared" si="121"/>
        <v>1.2443658927106287E-2</v>
      </c>
      <c r="X97" s="348">
        <f t="shared" si="122"/>
        <v>1.2443658927106287E-2</v>
      </c>
      <c r="Y97" s="4">
        <f t="shared" si="123"/>
        <v>2.4118453045223949</v>
      </c>
      <c r="Z97" s="348">
        <f t="shared" si="124"/>
        <v>5.8169977729467231E-3</v>
      </c>
      <c r="AA97" s="525">
        <f t="shared" si="125"/>
        <v>5.8169977729467231E-3</v>
      </c>
      <c r="AB97" s="348">
        <f t="shared" si="126"/>
        <v>2.7683433456716635</v>
      </c>
      <c r="AC97" s="348">
        <f t="shared" si="95"/>
        <v>9.1964698554294955E-2</v>
      </c>
      <c r="AD97" s="348">
        <f t="shared" si="96"/>
        <v>0.2910600960643675</v>
      </c>
      <c r="AE97" s="348">
        <f t="shared" si="97"/>
        <v>0</v>
      </c>
      <c r="AF97" s="348">
        <f t="shared" si="98"/>
        <v>5.6974137321770179E-3</v>
      </c>
      <c r="AG97" s="348">
        <f t="shared" si="99"/>
        <v>0.39482223933225691</v>
      </c>
      <c r="AH97" s="348">
        <f t="shared" si="100"/>
        <v>4.9132406869175176</v>
      </c>
      <c r="AI97" s="348">
        <f t="shared" si="101"/>
        <v>9.8973729595085033E-2</v>
      </c>
      <c r="AJ97" s="348">
        <f t="shared" si="102"/>
        <v>3.5019013732177015E-2</v>
      </c>
      <c r="AK97" s="348">
        <f t="shared" si="103"/>
        <v>0.13618711586300694</v>
      </c>
      <c r="AL97" s="348">
        <f t="shared" si="104"/>
        <v>2.9321599999999996E-2</v>
      </c>
      <c r="AM97" s="348">
        <f t="shared" si="105"/>
        <v>0.8826400000000002</v>
      </c>
      <c r="AN97" s="348">
        <f t="shared" si="106"/>
        <v>6.3607317854212586E-2</v>
      </c>
      <c r="AO97" s="348">
        <f t="shared" si="107"/>
        <v>1.1E-4</v>
      </c>
      <c r="AP97" s="348">
        <f t="shared" si="108"/>
        <v>5.6099999999999997E-2</v>
      </c>
      <c r="AQ97" s="348">
        <f t="shared" si="109"/>
        <v>0.52647692307692318</v>
      </c>
      <c r="AR97" s="348">
        <f t="shared" si="110"/>
        <v>0.5048999999999999</v>
      </c>
      <c r="AS97" s="348">
        <f t="shared" si="133"/>
        <v>5.6209999999999996E-2</v>
      </c>
      <c r="AT97" s="348">
        <f t="shared" si="111"/>
        <v>1.8951588929119279</v>
      </c>
      <c r="AU97">
        <f t="shared" si="112"/>
        <v>52.800000000000004</v>
      </c>
      <c r="AV97" s="526">
        <f t="shared" si="127"/>
        <v>0.96535051856010734</v>
      </c>
      <c r="AW97" s="534">
        <f t="shared" si="113"/>
        <v>41.049314851954797</v>
      </c>
      <c r="AX97" s="534">
        <f t="shared" si="114"/>
        <v>17.397553455624386</v>
      </c>
      <c r="AY97" s="9"/>
      <c r="AZ97" s="4">
        <f t="shared" si="128"/>
        <v>96.535051856010739</v>
      </c>
      <c r="BA97" s="348">
        <f t="shared" si="115"/>
        <v>0.31410996316239848</v>
      </c>
      <c r="BB97" s="348">
        <f t="shared" si="129"/>
        <v>1.413649355195264</v>
      </c>
      <c r="BC97" s="348">
        <f t="shared" si="130"/>
        <v>0.97736463933225703</v>
      </c>
      <c r="BD97" s="348">
        <f t="shared" si="131"/>
        <v>0.42745831586300698</v>
      </c>
      <c r="BE97" s="348">
        <f t="shared" si="132"/>
        <v>6.3607317854212586E-2</v>
      </c>
      <c r="BK97" s="18"/>
      <c r="BL97" s="19"/>
    </row>
    <row r="98" spans="7:64" x14ac:dyDescent="0.2">
      <c r="G98">
        <v>89</v>
      </c>
      <c r="H98" s="531">
        <f t="shared" si="85"/>
        <v>50</v>
      </c>
      <c r="I98" s="4">
        <f t="shared" si="86"/>
        <v>1</v>
      </c>
      <c r="J98" s="348">
        <f t="shared" si="116"/>
        <v>4.45</v>
      </c>
      <c r="K98" s="348">
        <f t="shared" si="87"/>
        <v>4.45</v>
      </c>
      <c r="L98" s="4">
        <f t="shared" si="88"/>
        <v>1.1866666666666668</v>
      </c>
      <c r="M98" s="348">
        <f t="shared" si="89"/>
        <v>0.24098093909111673</v>
      </c>
      <c r="N98" s="4">
        <f t="shared" si="90"/>
        <v>12.220125702123832</v>
      </c>
      <c r="O98" s="4">
        <f t="shared" si="117"/>
        <v>10.560062851061916</v>
      </c>
      <c r="P98" s="4">
        <f t="shared" si="118"/>
        <v>-1.660062851061916</v>
      </c>
      <c r="Q98" s="4">
        <f t="shared" si="91"/>
        <v>50</v>
      </c>
      <c r="R98" s="4">
        <f t="shared" si="119"/>
        <v>5.6786256566158357</v>
      </c>
      <c r="S98" s="348">
        <f t="shared" si="92"/>
        <v>0.11286376271791471</v>
      </c>
      <c r="T98" s="348">
        <f t="shared" si="93"/>
        <v>0.2</v>
      </c>
      <c r="U98" s="348">
        <f t="shared" si="94"/>
        <v>0.31571437974529121</v>
      </c>
      <c r="V98" s="4">
        <f t="shared" si="120"/>
        <v>3.5276464318261298</v>
      </c>
      <c r="W98" s="348">
        <f t="shared" si="121"/>
        <v>1.2444289347975625E-2</v>
      </c>
      <c r="X98" s="348">
        <f t="shared" si="122"/>
        <v>1.2444289347975625E-2</v>
      </c>
      <c r="Y98" s="4">
        <f t="shared" si="123"/>
        <v>2.428627608076976</v>
      </c>
      <c r="Z98" s="348">
        <f t="shared" si="124"/>
        <v>5.8982320587136934E-3</v>
      </c>
      <c r="AA98" s="525">
        <f t="shared" si="125"/>
        <v>5.8982320587136934E-3</v>
      </c>
      <c r="AB98" s="348">
        <f t="shared" si="126"/>
        <v>2.7876265136758525</v>
      </c>
      <c r="AC98" s="348">
        <f t="shared" si="95"/>
        <v>9.325033895698305E-2</v>
      </c>
      <c r="AD98" s="348">
        <f t="shared" si="96"/>
        <v>0.29436759715600797</v>
      </c>
      <c r="AE98" s="348">
        <f t="shared" si="97"/>
        <v>0</v>
      </c>
      <c r="AF98" s="348">
        <f t="shared" si="98"/>
        <v>5.5313294197383029E-3</v>
      </c>
      <c r="AG98" s="348">
        <f t="shared" si="99"/>
        <v>0.39940638876319984</v>
      </c>
      <c r="AH98" s="348">
        <f t="shared" si="100"/>
        <v>4.9473152080928751</v>
      </c>
      <c r="AI98" s="348">
        <f t="shared" si="101"/>
        <v>0.10035130384973089</v>
      </c>
      <c r="AJ98" s="348">
        <f t="shared" si="102"/>
        <v>3.5186129419738296E-2</v>
      </c>
      <c r="AK98" s="348">
        <f t="shared" si="103"/>
        <v>0.13778851066027328</v>
      </c>
      <c r="AL98" s="348">
        <f t="shared" si="104"/>
        <v>2.9654799999999995E-2</v>
      </c>
      <c r="AM98" s="348">
        <f t="shared" si="105"/>
        <v>0.89267000000000007</v>
      </c>
      <c r="AN98" s="348">
        <f t="shared" si="106"/>
        <v>6.4493578695951265E-2</v>
      </c>
      <c r="AO98" s="348">
        <f t="shared" si="107"/>
        <v>1.1E-4</v>
      </c>
      <c r="AP98" s="348">
        <f t="shared" si="108"/>
        <v>5.6099999999999997E-2</v>
      </c>
      <c r="AQ98" s="348">
        <f t="shared" si="109"/>
        <v>0.52647692307692318</v>
      </c>
      <c r="AR98" s="348">
        <f t="shared" si="110"/>
        <v>0.5048999999999999</v>
      </c>
      <c r="AS98" s="348">
        <f t="shared" si="133"/>
        <v>5.6209999999999996E-2</v>
      </c>
      <c r="AT98" s="348">
        <f t="shared" si="111"/>
        <v>1.914280179271405</v>
      </c>
      <c r="AU98">
        <f t="shared" si="112"/>
        <v>53.400000000000006</v>
      </c>
      <c r="AV98" s="526">
        <f t="shared" si="127"/>
        <v>0.96539265858531831</v>
      </c>
      <c r="AW98" s="534">
        <f t="shared" si="113"/>
        <v>41.519880728054396</v>
      </c>
      <c r="AX98" s="534">
        <f t="shared" si="114"/>
        <v>17.597443153873126</v>
      </c>
      <c r="AY98" s="9"/>
      <c r="AZ98" s="4">
        <f t="shared" si="128"/>
        <v>96.539265858531834</v>
      </c>
      <c r="BA98" s="348">
        <f t="shared" si="115"/>
        <v>0.31571437974529121</v>
      </c>
      <c r="BB98" s="348">
        <f t="shared" si="129"/>
        <v>1.4298648994234733</v>
      </c>
      <c r="BC98" s="348">
        <f t="shared" si="130"/>
        <v>0.98856858876319986</v>
      </c>
      <c r="BD98" s="348">
        <f t="shared" si="131"/>
        <v>0.43236961066027335</v>
      </c>
      <c r="BE98" s="348">
        <f t="shared" si="132"/>
        <v>6.4493578695951265E-2</v>
      </c>
      <c r="BK98" s="18"/>
      <c r="BL98" s="19"/>
    </row>
    <row r="99" spans="7:64" x14ac:dyDescent="0.2">
      <c r="G99">
        <v>90</v>
      </c>
      <c r="H99" s="531">
        <f t="shared" si="85"/>
        <v>50</v>
      </c>
      <c r="I99" s="4">
        <f t="shared" si="86"/>
        <v>1</v>
      </c>
      <c r="J99" s="348">
        <f t="shared" si="116"/>
        <v>4.5</v>
      </c>
      <c r="K99" s="348">
        <f t="shared" si="87"/>
        <v>4.5</v>
      </c>
      <c r="L99" s="4">
        <f t="shared" si="88"/>
        <v>1.2</v>
      </c>
      <c r="M99" s="348">
        <f t="shared" si="89"/>
        <v>0.24099196673433596</v>
      </c>
      <c r="N99" s="4">
        <f t="shared" si="90"/>
        <v>12.220435222225998</v>
      </c>
      <c r="O99" s="4">
        <f t="shared" si="117"/>
        <v>10.610217611112999</v>
      </c>
      <c r="P99" s="4">
        <f t="shared" si="118"/>
        <v>-1.6102176111129989</v>
      </c>
      <c r="Q99" s="4">
        <f t="shared" si="91"/>
        <v>50</v>
      </c>
      <c r="R99" s="4">
        <f t="shared" si="119"/>
        <v>5.7179471623755393</v>
      </c>
      <c r="S99" s="348">
        <f t="shared" si="92"/>
        <v>0.11443221913101469</v>
      </c>
      <c r="T99" s="348">
        <f t="shared" si="93"/>
        <v>0.2</v>
      </c>
      <c r="U99" s="348">
        <f t="shared" si="94"/>
        <v>0.31733730812152744</v>
      </c>
      <c r="V99" s="4">
        <f t="shared" si="120"/>
        <v>3.527735782583282</v>
      </c>
      <c r="W99" s="348">
        <f t="shared" si="121"/>
        <v>1.2444919751718481E-2</v>
      </c>
      <c r="X99" s="348">
        <f t="shared" si="122"/>
        <v>1.2444919751718481E-2</v>
      </c>
      <c r="Y99" s="4">
        <f t="shared" si="123"/>
        <v>2.4454827688660972</v>
      </c>
      <c r="Z99" s="348">
        <f t="shared" si="124"/>
        <v>5.9803859728209934E-3</v>
      </c>
      <c r="AA99" s="525">
        <f t="shared" si="125"/>
        <v>5.9803859728209934E-3</v>
      </c>
      <c r="AB99" s="348">
        <f t="shared" si="126"/>
        <v>2.8069935898017158</v>
      </c>
      <c r="AC99" s="348">
        <f t="shared" si="95"/>
        <v>9.455055615825507E-2</v>
      </c>
      <c r="AD99" s="348">
        <f t="shared" si="96"/>
        <v>0.29767509824764848</v>
      </c>
      <c r="AE99" s="348">
        <f t="shared" si="97"/>
        <v>0</v>
      </c>
      <c r="AF99" s="348">
        <f t="shared" si="98"/>
        <v>5.3652450802285116E-3</v>
      </c>
      <c r="AG99" s="348">
        <f t="shared" si="99"/>
        <v>0.40400836775119409</v>
      </c>
      <c r="AH99" s="348">
        <f t="shared" si="100"/>
        <v>4.9815365840803132</v>
      </c>
      <c r="AI99" s="348">
        <f t="shared" si="101"/>
        <v>0.10174439762797526</v>
      </c>
      <c r="AJ99" s="348">
        <f t="shared" si="102"/>
        <v>3.535324508022851E-2</v>
      </c>
      <c r="AK99" s="348">
        <f t="shared" si="103"/>
        <v>0.13940677484462491</v>
      </c>
      <c r="AL99" s="348">
        <f t="shared" si="104"/>
        <v>2.9987999999999994E-2</v>
      </c>
      <c r="AM99" s="348">
        <f t="shared" si="105"/>
        <v>0.90270000000000006</v>
      </c>
      <c r="AN99" s="348">
        <f t="shared" si="106"/>
        <v>6.5389839503436964E-2</v>
      </c>
      <c r="AO99" s="348">
        <f t="shared" si="107"/>
        <v>1.1E-4</v>
      </c>
      <c r="AP99" s="348">
        <f t="shared" si="108"/>
        <v>5.6099999999999997E-2</v>
      </c>
      <c r="AQ99" s="348">
        <f t="shared" si="109"/>
        <v>0.52647692307692318</v>
      </c>
      <c r="AR99" s="348">
        <f t="shared" si="110"/>
        <v>0.5048999999999999</v>
      </c>
      <c r="AS99" s="348">
        <f t="shared" si="133"/>
        <v>5.6209999999999996E-2</v>
      </c>
      <c r="AT99" s="348">
        <f t="shared" si="111"/>
        <v>1.9334655959453231</v>
      </c>
      <c r="AU99">
        <f t="shared" si="112"/>
        <v>54</v>
      </c>
      <c r="AV99" s="526">
        <f t="shared" si="127"/>
        <v>0.96543275880825308</v>
      </c>
      <c r="AW99" s="534">
        <f t="shared" si="113"/>
        <v>41.991195445550154</v>
      </c>
      <c r="AX99" s="534">
        <f t="shared" si="114"/>
        <v>17.798019436176236</v>
      </c>
      <c r="AY99" s="9"/>
      <c r="AZ99" s="4">
        <f t="shared" si="128"/>
        <v>96.543275880825306</v>
      </c>
      <c r="BA99" s="348">
        <f t="shared" si="115"/>
        <v>0.31733730812152744</v>
      </c>
      <c r="BB99" s="348">
        <f t="shared" si="129"/>
        <v>1.446115142595819</v>
      </c>
      <c r="BC99" s="348">
        <f t="shared" si="130"/>
        <v>0.99979036775119412</v>
      </c>
      <c r="BD99" s="348">
        <f t="shared" si="131"/>
        <v>0.43729777484462495</v>
      </c>
      <c r="BE99" s="348">
        <f t="shared" si="132"/>
        <v>6.5389839503436964E-2</v>
      </c>
      <c r="BK99" s="18"/>
      <c r="BL99" s="19"/>
    </row>
    <row r="100" spans="7:64" x14ac:dyDescent="0.2">
      <c r="G100">
        <v>91</v>
      </c>
      <c r="H100" s="531">
        <f t="shared" si="85"/>
        <v>50</v>
      </c>
      <c r="I100" s="4">
        <f t="shared" si="86"/>
        <v>1</v>
      </c>
      <c r="J100" s="348">
        <f t="shared" si="116"/>
        <v>4.55</v>
      </c>
      <c r="K100" s="348">
        <f t="shared" si="87"/>
        <v>4.55</v>
      </c>
      <c r="L100" s="4">
        <f t="shared" si="88"/>
        <v>1.2133333333333332</v>
      </c>
      <c r="M100" s="348">
        <f t="shared" si="89"/>
        <v>0.24100299450775123</v>
      </c>
      <c r="N100" s="4">
        <f t="shared" si="90"/>
        <v>12.220744726078726</v>
      </c>
      <c r="O100" s="4">
        <f t="shared" si="117"/>
        <v>10.660372363039363</v>
      </c>
      <c r="P100" s="4">
        <f t="shared" si="118"/>
        <v>-1.5603723630393631</v>
      </c>
      <c r="Q100" s="4">
        <f t="shared" si="91"/>
        <v>50</v>
      </c>
      <c r="R100" s="4">
        <f t="shared" si="119"/>
        <v>5.7574343364324827</v>
      </c>
      <c r="S100" s="348">
        <f t="shared" si="92"/>
        <v>0.11601817548416109</v>
      </c>
      <c r="T100" s="348">
        <f t="shared" si="93"/>
        <v>0.2</v>
      </c>
      <c r="U100" s="348">
        <f t="shared" si="94"/>
        <v>0.31897876220489779</v>
      </c>
      <c r="V100" s="4">
        <f t="shared" si="120"/>
        <v>3.5278251286496261</v>
      </c>
      <c r="W100" s="348">
        <f t="shared" si="121"/>
        <v>1.244555013833175E-2</v>
      </c>
      <c r="X100" s="348">
        <f t="shared" si="122"/>
        <v>1.244555013833175E-2</v>
      </c>
      <c r="Y100" s="4">
        <f t="shared" si="123"/>
        <v>2.4624093081209057</v>
      </c>
      <c r="Z100" s="348">
        <f t="shared" si="124"/>
        <v>6.0634596007204779E-3</v>
      </c>
      <c r="AA100" s="525">
        <f t="shared" si="125"/>
        <v>6.0634596007204779E-3</v>
      </c>
      <c r="AB100" s="348">
        <f t="shared" si="126"/>
        <v>2.8264428785013553</v>
      </c>
      <c r="AC100" s="348">
        <f t="shared" si="95"/>
        <v>9.586535214517232E-2</v>
      </c>
      <c r="AD100" s="348">
        <f t="shared" si="96"/>
        <v>0.30098259933928906</v>
      </c>
      <c r="AE100" s="348">
        <f t="shared" si="97"/>
        <v>0</v>
      </c>
      <c r="AF100" s="348">
        <f t="shared" si="98"/>
        <v>5.1991607136471574E-3</v>
      </c>
      <c r="AG100" s="348">
        <f t="shared" si="99"/>
        <v>0.40862822469241655</v>
      </c>
      <c r="AH100" s="348">
        <f t="shared" si="100"/>
        <v>5.0159017925893163</v>
      </c>
      <c r="AI100" s="348">
        <f t="shared" si="101"/>
        <v>0.10315301025089292</v>
      </c>
      <c r="AJ100" s="348">
        <f t="shared" si="102"/>
        <v>3.5520360713647149E-2</v>
      </c>
      <c r="AK100" s="348">
        <f t="shared" si="103"/>
        <v>0.1410419318589565</v>
      </c>
      <c r="AL100" s="348">
        <f t="shared" si="104"/>
        <v>3.0321199999999993E-2</v>
      </c>
      <c r="AM100" s="348">
        <f t="shared" si="105"/>
        <v>0.91272999999999993</v>
      </c>
      <c r="AN100" s="348">
        <f t="shared" si="106"/>
        <v>6.629610027666348E-2</v>
      </c>
      <c r="AO100" s="348">
        <f t="shared" si="107"/>
        <v>1.1E-4</v>
      </c>
      <c r="AP100" s="348">
        <f t="shared" si="108"/>
        <v>5.6099999999999997E-2</v>
      </c>
      <c r="AQ100" s="348">
        <f t="shared" si="109"/>
        <v>0.52647692307692318</v>
      </c>
      <c r="AR100" s="348">
        <f t="shared" si="110"/>
        <v>0.5048999999999999</v>
      </c>
      <c r="AS100" s="348">
        <f t="shared" si="133"/>
        <v>5.6209999999999996E-2</v>
      </c>
      <c r="AT100" s="348">
        <f t="shared" si="111"/>
        <v>1.9527152287719869</v>
      </c>
      <c r="AU100">
        <f t="shared" si="112"/>
        <v>54.599999999999994</v>
      </c>
      <c r="AV100" s="526">
        <f t="shared" si="127"/>
        <v>0.96547088462733055</v>
      </c>
      <c r="AW100" s="534">
        <f t="shared" si="113"/>
        <v>42.463261037081487</v>
      </c>
      <c r="AX100" s="534">
        <f t="shared" si="114"/>
        <v>17.999283256659531</v>
      </c>
      <c r="AY100" s="9"/>
      <c r="AZ100" s="4">
        <f t="shared" si="128"/>
        <v>96.547088462733058</v>
      </c>
      <c r="BA100" s="348">
        <f t="shared" si="115"/>
        <v>0.31897876220489779</v>
      </c>
      <c r="BB100" s="348">
        <f t="shared" si="129"/>
        <v>1.4624001565513729</v>
      </c>
      <c r="BC100" s="348">
        <f t="shared" si="130"/>
        <v>1.0110300246924164</v>
      </c>
      <c r="BD100" s="348">
        <f t="shared" si="131"/>
        <v>0.44224283185895652</v>
      </c>
      <c r="BE100" s="348">
        <f t="shared" si="132"/>
        <v>6.629610027666348E-2</v>
      </c>
      <c r="BK100" s="18"/>
      <c r="BL100" s="19"/>
    </row>
    <row r="101" spans="7:64" x14ac:dyDescent="0.2">
      <c r="G101">
        <v>92</v>
      </c>
      <c r="H101" s="531">
        <f t="shared" si="85"/>
        <v>50</v>
      </c>
      <c r="I101" s="4">
        <f t="shared" si="86"/>
        <v>1</v>
      </c>
      <c r="J101" s="348">
        <f t="shared" si="116"/>
        <v>4.5999999999999996</v>
      </c>
      <c r="K101" s="348">
        <f t="shared" si="87"/>
        <v>4.5999999999999996</v>
      </c>
      <c r="L101" s="4">
        <f t="shared" si="88"/>
        <v>1.2266666666666666</v>
      </c>
      <c r="M101" s="348">
        <f t="shared" si="89"/>
        <v>0.24101402241136491</v>
      </c>
      <c r="N101" s="4">
        <f t="shared" si="90"/>
        <v>12.221054213681732</v>
      </c>
      <c r="O101" s="4">
        <f t="shared" si="117"/>
        <v>10.710527106840866</v>
      </c>
      <c r="P101" s="4">
        <f t="shared" si="118"/>
        <v>-1.5105271068408666</v>
      </c>
      <c r="Q101" s="4">
        <f t="shared" si="91"/>
        <v>50</v>
      </c>
      <c r="R101" s="4">
        <f t="shared" si="119"/>
        <v>5.797083793409608</v>
      </c>
      <c r="S101" s="348">
        <f t="shared" si="92"/>
        <v>0.11762163177734317</v>
      </c>
      <c r="T101" s="348">
        <f t="shared" si="93"/>
        <v>0.2</v>
      </c>
      <c r="U101" s="348">
        <f t="shared" si="94"/>
        <v>0.32063875607337577</v>
      </c>
      <c r="V101" s="4">
        <f t="shared" si="120"/>
        <v>3.5279144700250793</v>
      </c>
      <c r="W101" s="348">
        <f t="shared" si="121"/>
        <v>1.2446180507812337E-2</v>
      </c>
      <c r="X101" s="348">
        <f t="shared" si="122"/>
        <v>1.2446180507812337E-2</v>
      </c>
      <c r="Y101" s="4">
        <f t="shared" si="123"/>
        <v>2.4794057812021659</v>
      </c>
      <c r="Z101" s="348">
        <f t="shared" si="124"/>
        <v>6.1474530278587229E-3</v>
      </c>
      <c r="AA101" s="525">
        <f t="shared" si="125"/>
        <v>6.1474530278587229E-3</v>
      </c>
      <c r="AB101" s="348">
        <f t="shared" si="126"/>
        <v>2.8459727233531695</v>
      </c>
      <c r="AC101" s="348">
        <f t="shared" si="95"/>
        <v>9.7194728904843083E-2</v>
      </c>
      <c r="AD101" s="348">
        <f t="shared" si="96"/>
        <v>0.30429010043092952</v>
      </c>
      <c r="AE101" s="348">
        <f t="shared" si="97"/>
        <v>0</v>
      </c>
      <c r="AF101" s="348">
        <f t="shared" si="98"/>
        <v>5.0330763199937668E-3</v>
      </c>
      <c r="AG101" s="348">
        <f t="shared" si="99"/>
        <v>0.4132660082996682</v>
      </c>
      <c r="AH101" s="348">
        <f t="shared" si="100"/>
        <v>5.0504078811262429</v>
      </c>
      <c r="AI101" s="348">
        <f t="shared" si="101"/>
        <v>0.10457714103954245</v>
      </c>
      <c r="AJ101" s="348">
        <f t="shared" si="102"/>
        <v>3.5687476319993756E-2</v>
      </c>
      <c r="AK101" s="348">
        <f t="shared" si="103"/>
        <v>0.14269400542768057</v>
      </c>
      <c r="AL101" s="348">
        <f t="shared" si="104"/>
        <v>3.0654399999999991E-2</v>
      </c>
      <c r="AM101" s="348">
        <f t="shared" si="105"/>
        <v>0.92275999999999991</v>
      </c>
      <c r="AN101" s="348">
        <f t="shared" si="106"/>
        <v>6.7212361015624666E-2</v>
      </c>
      <c r="AO101" s="348">
        <f t="shared" si="107"/>
        <v>1.1E-4</v>
      </c>
      <c r="AP101" s="348">
        <f t="shared" si="108"/>
        <v>5.6099999999999997E-2</v>
      </c>
      <c r="AQ101" s="348">
        <f t="shared" si="109"/>
        <v>0.52647692307692318</v>
      </c>
      <c r="AR101" s="348">
        <f t="shared" si="110"/>
        <v>0.5048999999999999</v>
      </c>
      <c r="AS101" s="348">
        <f t="shared" si="133"/>
        <v>5.6209999999999996E-2</v>
      </c>
      <c r="AT101" s="348">
        <f t="shared" si="111"/>
        <v>1.97202916435202</v>
      </c>
      <c r="AU101">
        <f t="shared" si="112"/>
        <v>55.199999999999996</v>
      </c>
      <c r="AV101" s="526">
        <f t="shared" si="127"/>
        <v>0.96550709860790418</v>
      </c>
      <c r="AW101" s="534">
        <f t="shared" si="113"/>
        <v>42.936079548586065</v>
      </c>
      <c r="AX101" s="534">
        <f t="shared" si="114"/>
        <v>18.201235580906598</v>
      </c>
      <c r="AY101" s="9"/>
      <c r="AZ101" s="4">
        <f t="shared" si="128"/>
        <v>96.55070986079042</v>
      </c>
      <c r="BA101" s="348">
        <f t="shared" si="115"/>
        <v>0.32063875607337577</v>
      </c>
      <c r="BB101" s="348">
        <f t="shared" si="129"/>
        <v>1.4787200137273486</v>
      </c>
      <c r="BC101" s="348">
        <f t="shared" si="130"/>
        <v>1.0222876082996681</v>
      </c>
      <c r="BD101" s="348">
        <f t="shared" si="131"/>
        <v>0.44720480542768054</v>
      </c>
      <c r="BE101" s="348">
        <f t="shared" si="132"/>
        <v>6.7212361015624666E-2</v>
      </c>
      <c r="BK101" s="18"/>
      <c r="BL101" s="19"/>
    </row>
    <row r="102" spans="7:64" x14ac:dyDescent="0.2">
      <c r="G102">
        <v>93</v>
      </c>
      <c r="H102" s="531">
        <f t="shared" si="85"/>
        <v>50</v>
      </c>
      <c r="I102" s="4">
        <f t="shared" si="86"/>
        <v>1</v>
      </c>
      <c r="J102" s="348">
        <f t="shared" si="116"/>
        <v>4.6500000000000004</v>
      </c>
      <c r="K102" s="348">
        <f t="shared" si="87"/>
        <v>4.6500000000000004</v>
      </c>
      <c r="L102" s="4">
        <f t="shared" si="88"/>
        <v>1.24</v>
      </c>
      <c r="M102" s="348">
        <f t="shared" si="89"/>
        <v>0.24102505044517925</v>
      </c>
      <c r="N102" s="4">
        <f t="shared" si="90"/>
        <v>12.221363685034728</v>
      </c>
      <c r="O102" s="4">
        <f t="shared" si="117"/>
        <v>10.760681842517364</v>
      </c>
      <c r="P102" s="4">
        <f t="shared" si="118"/>
        <v>-1.4606818425173635</v>
      </c>
      <c r="Q102" s="4">
        <f t="shared" si="91"/>
        <v>50</v>
      </c>
      <c r="R102" s="4">
        <f t="shared" si="119"/>
        <v>5.83689222618999</v>
      </c>
      <c r="S102" s="348">
        <f t="shared" si="92"/>
        <v>0.11924258801054999</v>
      </c>
      <c r="T102" s="348">
        <f t="shared" si="93"/>
        <v>0.2</v>
      </c>
      <c r="U102" s="348">
        <f t="shared" si="94"/>
        <v>0.32231730396942176</v>
      </c>
      <c r="V102" s="4">
        <f t="shared" si="120"/>
        <v>3.5280038067095587</v>
      </c>
      <c r="W102" s="348">
        <f t="shared" si="121"/>
        <v>1.2446810860157137E-2</v>
      </c>
      <c r="X102" s="348">
        <f t="shared" si="122"/>
        <v>1.2446810860157137E-2</v>
      </c>
      <c r="Y102" s="4">
        <f t="shared" si="123"/>
        <v>2.4964707768521981</v>
      </c>
      <c r="Z102" s="348">
        <f t="shared" si="124"/>
        <v>6.232366339677017E-3</v>
      </c>
      <c r="AA102" s="525">
        <f t="shared" si="125"/>
        <v>6.232366339677017E-3</v>
      </c>
      <c r="AB102" s="348">
        <f t="shared" si="126"/>
        <v>2.8655815062046073</v>
      </c>
      <c r="AC102" s="348">
        <f t="shared" si="95"/>
        <v>9.8538688424422399E-2</v>
      </c>
      <c r="AD102" s="348">
        <f t="shared" si="96"/>
        <v>0.30759760152257015</v>
      </c>
      <c r="AE102" s="348">
        <f t="shared" si="97"/>
        <v>0</v>
      </c>
      <c r="AF102" s="348">
        <f t="shared" si="98"/>
        <v>4.8669918992678548E-3</v>
      </c>
      <c r="AG102" s="348">
        <f t="shared" si="99"/>
        <v>0.41792176760400457</v>
      </c>
      <c r="AH102" s="348">
        <f t="shared" si="100"/>
        <v>5.0850519654626218</v>
      </c>
      <c r="AI102" s="348">
        <f t="shared" si="101"/>
        <v>0.10601678931496661</v>
      </c>
      <c r="AJ102" s="348">
        <f t="shared" si="102"/>
        <v>3.5854591899267853E-2</v>
      </c>
      <c r="AK102" s="348">
        <f t="shared" si="103"/>
        <v>0.14436301955764702</v>
      </c>
      <c r="AL102" s="348">
        <f t="shared" si="104"/>
        <v>3.0987599999999997E-2</v>
      </c>
      <c r="AM102" s="348">
        <f t="shared" si="105"/>
        <v>0.93279000000000001</v>
      </c>
      <c r="AN102" s="348">
        <f t="shared" si="106"/>
        <v>6.8138621720314277E-2</v>
      </c>
      <c r="AO102" s="348">
        <f t="shared" si="107"/>
        <v>1.1E-4</v>
      </c>
      <c r="AP102" s="348">
        <f t="shared" si="108"/>
        <v>5.6099999999999997E-2</v>
      </c>
      <c r="AQ102" s="348">
        <f t="shared" si="109"/>
        <v>0.52647692307692318</v>
      </c>
      <c r="AR102" s="348">
        <f t="shared" si="110"/>
        <v>0.5048999999999999</v>
      </c>
      <c r="AS102" s="348">
        <f t="shared" si="133"/>
        <v>5.6209999999999996E-2</v>
      </c>
      <c r="AT102" s="348">
        <f t="shared" si="111"/>
        <v>1.991407490051222</v>
      </c>
      <c r="AU102">
        <f t="shared" si="112"/>
        <v>55.800000000000004</v>
      </c>
      <c r="AV102" s="526">
        <f t="shared" si="127"/>
        <v>0.96554146063332957</v>
      </c>
      <c r="AW102" s="534">
        <f t="shared" si="113"/>
        <v>43.409653039368187</v>
      </c>
      <c r="AX102" s="534">
        <f t="shared" si="114"/>
        <v>18.403877385996235</v>
      </c>
      <c r="AY102" s="9"/>
      <c r="AZ102" s="4">
        <f t="shared" si="128"/>
        <v>96.554146063332951</v>
      </c>
      <c r="BA102" s="348">
        <f t="shared" si="115"/>
        <v>0.32231730396942176</v>
      </c>
      <c r="BB102" s="348">
        <f t="shared" si="129"/>
        <v>1.4950747871616517</v>
      </c>
      <c r="BC102" s="348">
        <f t="shared" si="130"/>
        <v>1.0335631676040045</v>
      </c>
      <c r="BD102" s="348">
        <f t="shared" si="131"/>
        <v>0.45218371955764702</v>
      </c>
      <c r="BE102" s="348">
        <f t="shared" si="132"/>
        <v>6.8138621720314277E-2</v>
      </c>
      <c r="BK102" s="18"/>
      <c r="BL102" s="19"/>
    </row>
    <row r="103" spans="7:64" x14ac:dyDescent="0.2">
      <c r="G103">
        <v>94</v>
      </c>
      <c r="H103" s="531">
        <f t="shared" si="85"/>
        <v>50</v>
      </c>
      <c r="I103" s="4">
        <f t="shared" si="86"/>
        <v>1</v>
      </c>
      <c r="J103" s="348">
        <f t="shared" si="116"/>
        <v>4.7</v>
      </c>
      <c r="K103" s="348">
        <f t="shared" si="87"/>
        <v>4.7</v>
      </c>
      <c r="L103" s="4">
        <f t="shared" si="88"/>
        <v>1.2533333333333334</v>
      </c>
      <c r="M103" s="348">
        <f t="shared" si="89"/>
        <v>0.24103607860919668</v>
      </c>
      <c r="N103" s="4">
        <f t="shared" si="90"/>
        <v>12.221673140137423</v>
      </c>
      <c r="O103" s="4">
        <f t="shared" si="117"/>
        <v>10.810836570068712</v>
      </c>
      <c r="P103" s="4">
        <f t="shared" si="118"/>
        <v>-1.4108365700687111</v>
      </c>
      <c r="Q103" s="4">
        <f t="shared" si="91"/>
        <v>50</v>
      </c>
      <c r="R103" s="4">
        <f t="shared" si="119"/>
        <v>5.8768564041809839</v>
      </c>
      <c r="S103" s="348">
        <f t="shared" si="92"/>
        <v>0.12088104418377066</v>
      </c>
      <c r="T103" s="348">
        <f t="shared" si="93"/>
        <v>0.2</v>
      </c>
      <c r="U103" s="348">
        <f t="shared" si="94"/>
        <v>0.32401442030029054</v>
      </c>
      <c r="V103" s="4">
        <f t="shared" si="120"/>
        <v>3.5280931387029799</v>
      </c>
      <c r="W103" s="348">
        <f t="shared" si="121"/>
        <v>1.2447441195363045E-2</v>
      </c>
      <c r="X103" s="348">
        <f t="shared" si="122"/>
        <v>1.2447441195363045E-2</v>
      </c>
      <c r="Y103" s="4">
        <f t="shared" si="123"/>
        <v>2.5136029164550537</v>
      </c>
      <c r="Z103" s="348">
        <f t="shared" si="124"/>
        <v>6.3181996216113518E-3</v>
      </c>
      <c r="AA103" s="525">
        <f t="shared" si="125"/>
        <v>6.3181996216113518E-3</v>
      </c>
      <c r="AB103" s="348">
        <f t="shared" si="126"/>
        <v>2.8852676463243463</v>
      </c>
      <c r="AC103" s="348">
        <f t="shared" si="95"/>
        <v>9.9897232691112392E-2</v>
      </c>
      <c r="AD103" s="348">
        <f t="shared" si="96"/>
        <v>0.31090510261421067</v>
      </c>
      <c r="AE103" s="348">
        <f t="shared" si="97"/>
        <v>0</v>
      </c>
      <c r="AF103" s="348">
        <f t="shared" si="98"/>
        <v>4.7009074514689445E-3</v>
      </c>
      <c r="AG103" s="348">
        <f t="shared" si="99"/>
        <v>0.4225955519563786</v>
      </c>
      <c r="AH103" s="348">
        <f t="shared" si="100"/>
        <v>5.1198312281204155</v>
      </c>
      <c r="AI103" s="348">
        <f t="shared" si="101"/>
        <v>0.1074719543981917</v>
      </c>
      <c r="AJ103" s="348">
        <f t="shared" si="102"/>
        <v>3.6021707451468946E-2</v>
      </c>
      <c r="AK103" s="348">
        <f t="shared" si="103"/>
        <v>0.14604899853907402</v>
      </c>
      <c r="AL103" s="348">
        <f t="shared" si="104"/>
        <v>3.1320799999999996E-2</v>
      </c>
      <c r="AM103" s="348">
        <f t="shared" si="105"/>
        <v>0.9428200000000001</v>
      </c>
      <c r="AN103" s="348">
        <f t="shared" si="106"/>
        <v>6.9074882390726094E-2</v>
      </c>
      <c r="AO103" s="348">
        <f t="shared" si="107"/>
        <v>1.1E-4</v>
      </c>
      <c r="AP103" s="348">
        <f t="shared" si="108"/>
        <v>5.6099999999999997E-2</v>
      </c>
      <c r="AQ103" s="348">
        <f t="shared" si="109"/>
        <v>0.52647692307692318</v>
      </c>
      <c r="AR103" s="348">
        <f t="shared" si="110"/>
        <v>0.5048999999999999</v>
      </c>
      <c r="AS103" s="348">
        <f t="shared" si="133"/>
        <v>5.6209999999999996E-2</v>
      </c>
      <c r="AT103" s="348">
        <f t="shared" si="111"/>
        <v>2.0108502940034438</v>
      </c>
      <c r="AU103">
        <f t="shared" si="112"/>
        <v>56.400000000000006</v>
      </c>
      <c r="AV103" s="526">
        <f t="shared" si="127"/>
        <v>0.96557402804646586</v>
      </c>
      <c r="AW103" s="534">
        <f t="shared" si="113"/>
        <v>43.883983582167907</v>
      </c>
      <c r="AX103" s="534">
        <f t="shared" si="114"/>
        <v>18.607209660540317</v>
      </c>
      <c r="AY103" s="9"/>
      <c r="AZ103" s="4">
        <f t="shared" si="128"/>
        <v>96.557402804646586</v>
      </c>
      <c r="BA103" s="348">
        <f t="shared" si="115"/>
        <v>0.32401442030029054</v>
      </c>
      <c r="BB103" s="348">
        <f t="shared" si="129"/>
        <v>1.5114645504954527</v>
      </c>
      <c r="BC103" s="348">
        <f t="shared" si="130"/>
        <v>1.0448567519563787</v>
      </c>
      <c r="BD103" s="348">
        <f t="shared" si="131"/>
        <v>0.45717959853907408</v>
      </c>
      <c r="BE103" s="348">
        <f t="shared" si="132"/>
        <v>6.9074882390726094E-2</v>
      </c>
      <c r="BK103" s="18"/>
      <c r="BL103" s="19"/>
    </row>
    <row r="104" spans="7:64" x14ac:dyDescent="0.2">
      <c r="G104">
        <v>95</v>
      </c>
      <c r="H104" s="531">
        <f t="shared" si="85"/>
        <v>50</v>
      </c>
      <c r="I104" s="4">
        <f t="shared" si="86"/>
        <v>1</v>
      </c>
      <c r="J104" s="348">
        <f t="shared" si="116"/>
        <v>4.75</v>
      </c>
      <c r="K104" s="348">
        <f t="shared" si="87"/>
        <v>4.75</v>
      </c>
      <c r="L104" s="4">
        <f t="shared" si="88"/>
        <v>1.2666666666666666</v>
      </c>
      <c r="M104" s="348">
        <f t="shared" si="89"/>
        <v>0.24104710690341938</v>
      </c>
      <c r="N104" s="4">
        <f t="shared" si="90"/>
        <v>12.221982578989536</v>
      </c>
      <c r="O104" s="4">
        <f t="shared" si="117"/>
        <v>10.860991289494768</v>
      </c>
      <c r="P104" s="4">
        <f t="shared" si="118"/>
        <v>-1.360991289494768</v>
      </c>
      <c r="Q104" s="4">
        <f t="shared" si="91"/>
        <v>50</v>
      </c>
      <c r="R104" s="4">
        <f t="shared" si="119"/>
        <v>5.916973171599393</v>
      </c>
      <c r="S104" s="348">
        <f t="shared" si="92"/>
        <v>0.12253700029699444</v>
      </c>
      <c r="T104" s="348">
        <f t="shared" si="93"/>
        <v>0.2</v>
      </c>
      <c r="U104" s="348">
        <f t="shared" si="94"/>
        <v>0.32573011963834353</v>
      </c>
      <c r="V104" s="4">
        <f t="shared" si="120"/>
        <v>3.528182466005263</v>
      </c>
      <c r="W104" s="348">
        <f t="shared" si="121"/>
        <v>1.2448071513426978E-2</v>
      </c>
      <c r="X104" s="348">
        <f t="shared" si="122"/>
        <v>1.2448071513426978E-2</v>
      </c>
      <c r="Y104" s="4">
        <f t="shared" si="123"/>
        <v>2.5308008533056183</v>
      </c>
      <c r="Z104" s="348">
        <f t="shared" si="124"/>
        <v>6.4049529590924463E-3</v>
      </c>
      <c r="AA104" s="525">
        <f t="shared" si="125"/>
        <v>6.4049529590924463E-3</v>
      </c>
      <c r="AB104" s="348">
        <f t="shared" si="126"/>
        <v>2.9050295995646658</v>
      </c>
      <c r="AC104" s="348">
        <f t="shared" si="95"/>
        <v>0.10127036369216211</v>
      </c>
      <c r="AD104" s="348">
        <f t="shared" si="96"/>
        <v>0.31421260370585119</v>
      </c>
      <c r="AE104" s="348">
        <f t="shared" si="97"/>
        <v>0</v>
      </c>
      <c r="AF104" s="348">
        <f t="shared" si="98"/>
        <v>4.5348229765965666E-3</v>
      </c>
      <c r="AG104" s="348">
        <f t="shared" si="99"/>
        <v>0.42728741102930118</v>
      </c>
      <c r="AH104" s="348">
        <f t="shared" si="100"/>
        <v>5.1547429168756942</v>
      </c>
      <c r="AI104" s="348">
        <f t="shared" si="101"/>
        <v>0.10894263561022856</v>
      </c>
      <c r="AJ104" s="348">
        <f t="shared" si="102"/>
        <v>3.6188822976596563E-2</v>
      </c>
      <c r="AK104" s="348">
        <f t="shared" si="103"/>
        <v>0.14775196694649265</v>
      </c>
      <c r="AL104" s="348">
        <f t="shared" si="104"/>
        <v>3.1653999999999995E-2</v>
      </c>
      <c r="AM104" s="348">
        <f t="shared" si="105"/>
        <v>0.95284999999999986</v>
      </c>
      <c r="AN104" s="348">
        <f t="shared" si="106"/>
        <v>7.0021143026853958E-2</v>
      </c>
      <c r="AO104" s="348">
        <f t="shared" si="107"/>
        <v>1.1E-4</v>
      </c>
      <c r="AP104" s="348">
        <f t="shared" si="108"/>
        <v>5.6099999999999997E-2</v>
      </c>
      <c r="AQ104" s="348">
        <f t="shared" si="109"/>
        <v>0.52647692307692318</v>
      </c>
      <c r="AR104" s="348">
        <f t="shared" si="110"/>
        <v>0.5048999999999999</v>
      </c>
      <c r="AS104" s="348">
        <f t="shared" si="133"/>
        <v>5.6209999999999996E-2</v>
      </c>
      <c r="AT104" s="348">
        <f t="shared" si="111"/>
        <v>2.0303576651135105</v>
      </c>
      <c r="AU104">
        <f t="shared" si="112"/>
        <v>57</v>
      </c>
      <c r="AV104" s="526">
        <f t="shared" si="127"/>
        <v>0.96560485578230815</v>
      </c>
      <c r="AW104" s="534">
        <f t="shared" si="113"/>
        <v>44.359073263230641</v>
      </c>
      <c r="AX104" s="534">
        <f t="shared" si="114"/>
        <v>18.811233404722252</v>
      </c>
      <c r="AY104" s="9"/>
      <c r="AZ104" s="4">
        <f t="shared" si="128"/>
        <v>96.560485578230811</v>
      </c>
      <c r="BA104" s="348">
        <f t="shared" si="115"/>
        <v>0.32573011963834353</v>
      </c>
      <c r="BB104" s="348">
        <f t="shared" si="129"/>
        <v>1.5278893779757938</v>
      </c>
      <c r="BC104" s="348">
        <f t="shared" si="130"/>
        <v>1.056168411029301</v>
      </c>
      <c r="BD104" s="348">
        <f t="shared" si="131"/>
        <v>0.46219246694649263</v>
      </c>
      <c r="BE104" s="348">
        <f t="shared" si="132"/>
        <v>7.0021143026853958E-2</v>
      </c>
      <c r="BK104" s="18"/>
      <c r="BL104" s="19"/>
    </row>
    <row r="105" spans="7:64" x14ac:dyDescent="0.2">
      <c r="G105">
        <v>96</v>
      </c>
      <c r="H105" s="531">
        <f t="shared" si="85"/>
        <v>50</v>
      </c>
      <c r="I105" s="4">
        <f t="shared" si="86"/>
        <v>1</v>
      </c>
      <c r="J105" s="348">
        <f t="shared" si="116"/>
        <v>4.8</v>
      </c>
      <c r="K105" s="348">
        <f t="shared" si="87"/>
        <v>4.8</v>
      </c>
      <c r="L105" s="4">
        <f>Vout*K105/(Vin*Efficiency)</f>
        <v>1.2799999999999998</v>
      </c>
      <c r="M105" s="348">
        <f t="shared" si="89"/>
        <v>0.2410581353278497</v>
      </c>
      <c r="N105" s="4">
        <f>(Vin-(Rdson1+Rdcr)*K105-Vout)*M105/(Fsw*Lf)</f>
        <v>12.222292001590771</v>
      </c>
      <c r="O105" s="4">
        <f t="shared" si="117"/>
        <v>10.911146000795386</v>
      </c>
      <c r="P105" s="4">
        <f t="shared" si="118"/>
        <v>-1.3111460007953859</v>
      </c>
      <c r="Q105" s="4">
        <f>IF(MIN(Vin, -P105/(Coss_Q1+Coss_Q2)*0.00000002)&lt;0, 0, MIN(Vin, -P105/(Coss_Q1+Coss_Q2)*0.00000002))</f>
        <v>50</v>
      </c>
      <c r="R105" s="4">
        <f t="shared" si="119"/>
        <v>5.9572394457790434</v>
      </c>
      <c r="S105" s="348">
        <f>R105^2*Rdcr</f>
        <v>0.12421045635021032</v>
      </c>
      <c r="T105" s="348">
        <f t="shared" si="93"/>
        <v>0.2</v>
      </c>
      <c r="U105" s="348">
        <f>(T105+S105*(1+Ltc*(Ta-25)))/(1-S105*Ltc*ThetaCa)</f>
        <v>0.32746441672136362</v>
      </c>
      <c r="V105" s="4">
        <f t="shared" si="120"/>
        <v>3.5282717886163213</v>
      </c>
      <c r="W105" s="348">
        <f t="shared" si="121"/>
        <v>1.2448701814345816E-2</v>
      </c>
      <c r="X105" s="348">
        <f t="shared" si="122"/>
        <v>1.2448701814345816E-2</v>
      </c>
      <c r="Y105" s="4">
        <f t="shared" si="123"/>
        <v>2.5480632718882221</v>
      </c>
      <c r="Z105" s="348">
        <f t="shared" si="124"/>
        <v>6.4926264375457119E-3</v>
      </c>
      <c r="AA105" s="525">
        <f t="shared" si="125"/>
        <v>6.4926264375457119E-3</v>
      </c>
      <c r="AB105" s="348">
        <f t="shared" si="126"/>
        <v>2.924865857534714</v>
      </c>
      <c r="AC105" s="348">
        <f>Rdson1*AB105^2</f>
        <v>0.10265808341486733</v>
      </c>
      <c r="AD105" s="348">
        <f t="shared" si="96"/>
        <v>0.31752010479749176</v>
      </c>
      <c r="AE105" s="348">
        <f t="shared" si="97"/>
        <v>0</v>
      </c>
      <c r="AF105" s="348">
        <f t="shared" si="98"/>
        <v>4.3687384746502259E-3</v>
      </c>
      <c r="AG105" s="348">
        <f>(AF105+AE105+AD105+AC105*(1+RdsonTopTc*Ta-RdsonTopTc*25))/(1-AC105*RdsonTopTc*ThetaJA_Q1)</f>
        <v>0.43199739481851307</v>
      </c>
      <c r="AH105" s="348">
        <f t="shared" si="100"/>
        <v>5.1897843432818602</v>
      </c>
      <c r="AI105" s="348">
        <f>Rdson2*AH105^2</f>
        <v>0.11042883227207145</v>
      </c>
      <c r="AJ105" s="348">
        <f t="shared" si="102"/>
        <v>3.6355938474650219E-2</v>
      </c>
      <c r="AK105" s="348">
        <f>(AJ105+AI105*(1+RdsonBotTc*Ta-RdsonBotTc*25))/(1-AI105*RdsonBotTc*ThetaJA_Q2)</f>
        <v>0.14947194963970159</v>
      </c>
      <c r="AL105" s="348">
        <f t="shared" si="104"/>
        <v>3.1987199999999993E-2</v>
      </c>
      <c r="AM105" s="348">
        <f t="shared" si="105"/>
        <v>0.96287999999999996</v>
      </c>
      <c r="AN105" s="348">
        <f t="shared" si="106"/>
        <v>7.0977403628691607E-2</v>
      </c>
      <c r="AO105" s="348">
        <f t="shared" si="107"/>
        <v>1.1E-4</v>
      </c>
      <c r="AP105" s="348">
        <f t="shared" si="108"/>
        <v>5.6099999999999997E-2</v>
      </c>
      <c r="AQ105" s="348">
        <f t="shared" si="109"/>
        <v>0.52647692307692318</v>
      </c>
      <c r="AR105" s="348">
        <f t="shared" si="110"/>
        <v>0.5048999999999999</v>
      </c>
      <c r="AS105" s="348">
        <f t="shared" si="133"/>
        <v>5.6209999999999996E-2</v>
      </c>
      <c r="AT105" s="348">
        <f xml:space="preserve"> SUM(U105,X105,AA105,AG105,AK105,AL105,AM105,AS105,AN105)</f>
        <v>2.0499296930601614</v>
      </c>
      <c r="AU105">
        <f t="shared" si="112"/>
        <v>57.599999999999994</v>
      </c>
      <c r="AV105" s="526">
        <f t="shared" si="127"/>
        <v>0.9656339964923939</v>
      </c>
      <c r="AW105" s="534">
        <f t="shared" si="113"/>
        <v>44.834924182377542</v>
      </c>
      <c r="AX105" s="534">
        <f t="shared" si="114"/>
        <v>19.015949630335854</v>
      </c>
      <c r="AY105" s="9"/>
      <c r="AZ105" s="4">
        <f t="shared" si="128"/>
        <v>96.563399649239386</v>
      </c>
      <c r="BA105" s="348">
        <f t="shared" si="115"/>
        <v>0.32746441672136362</v>
      </c>
      <c r="BB105" s="348">
        <f t="shared" si="129"/>
        <v>1.5443493444582146</v>
      </c>
      <c r="BC105" s="348">
        <f t="shared" si="130"/>
        <v>1.0674981948185129</v>
      </c>
      <c r="BD105" s="348">
        <f t="shared" si="131"/>
        <v>0.46722234963970155</v>
      </c>
      <c r="BE105" s="348">
        <f t="shared" si="132"/>
        <v>7.0977403628691607E-2</v>
      </c>
      <c r="BK105" s="18"/>
      <c r="BL105" s="19"/>
    </row>
    <row r="106" spans="7:64" x14ac:dyDescent="0.2">
      <c r="G106">
        <v>97</v>
      </c>
      <c r="H106" s="531">
        <f t="shared" si="85"/>
        <v>50</v>
      </c>
      <c r="I106" s="4">
        <f t="shared" si="86"/>
        <v>1</v>
      </c>
      <c r="J106" s="348">
        <f t="shared" si="116"/>
        <v>4.8499999999999996</v>
      </c>
      <c r="K106" s="348">
        <f t="shared" si="87"/>
        <v>4.8499999999999996</v>
      </c>
      <c r="L106" s="4">
        <f>Vout*K106/(Vin*Efficiency)</f>
        <v>1.2933333333333332</v>
      </c>
      <c r="M106" s="348">
        <f t="shared" si="89"/>
        <v>0.24106916388248995</v>
      </c>
      <c r="N106" s="4">
        <f>(Vin-(Rdson1+Rdcr)*K106-Vout)*M106/(Fsw*Lf)</f>
        <v>12.222601407940843</v>
      </c>
      <c r="O106" s="4">
        <f t="shared" si="117"/>
        <v>10.961300703970421</v>
      </c>
      <c r="P106" s="4">
        <f t="shared" si="118"/>
        <v>-1.2613007039704218</v>
      </c>
      <c r="Q106" s="4">
        <f>IF(MIN(Vin, -P106/(Coss_Q1+Coss_Q2)*0.00000002)&lt;0, 0, MIN(Vin, -P106/(Coss_Q1+Coss_Q2)*0.00000002))</f>
        <v>50</v>
      </c>
      <c r="R106" s="4">
        <f t="shared" si="119"/>
        <v>5.9976522155020335</v>
      </c>
      <c r="S106" s="348">
        <f>R106^2*Rdcr</f>
        <v>0.12590141234340757</v>
      </c>
      <c r="T106" s="348">
        <f t="shared" si="93"/>
        <v>0.2</v>
      </c>
      <c r="U106" s="348">
        <f>(T106+S106*(1+Ltc*(Ta-25)))/(1-S106*Ltc*ThetaCa)</f>
        <v>0.3292173264528746</v>
      </c>
      <c r="V106" s="4">
        <f t="shared" si="120"/>
        <v>3.5283611065360723</v>
      </c>
      <c r="W106" s="348">
        <f t="shared" si="121"/>
        <v>1.2449332098116456E-2</v>
      </c>
      <c r="X106" s="348">
        <f t="shared" si="122"/>
        <v>1.2449332098116456E-2</v>
      </c>
      <c r="Y106" s="4">
        <f t="shared" si="123"/>
        <v>2.5653888871653145</v>
      </c>
      <c r="Z106" s="348">
        <f t="shared" si="124"/>
        <v>6.5812201423912911E-3</v>
      </c>
      <c r="AA106" s="525">
        <f t="shared" si="125"/>
        <v>6.5812201423912911E-3</v>
      </c>
      <c r="AB106" s="348">
        <f t="shared" si="126"/>
        <v>2.9447749467852797</v>
      </c>
      <c r="AC106" s="348">
        <f>Rdson1*AB106^2</f>
        <v>0.10406039384657098</v>
      </c>
      <c r="AD106" s="348">
        <f t="shared" si="96"/>
        <v>0.32082760588913223</v>
      </c>
      <c r="AE106" s="348">
        <f t="shared" si="97"/>
        <v>0</v>
      </c>
      <c r="AF106" s="348">
        <f t="shared" si="98"/>
        <v>4.2026539456294452E-3</v>
      </c>
      <c r="AG106" s="348">
        <f>(AF106+AE106+AD106+AC106*(1+RdsonTopTc*Ta-RdsonTopTc*25))/(1-AC106*RdsonTopTc*ThetaJA_Q1)</f>
        <v>0.43672555364467397</v>
      </c>
      <c r="AH106" s="348">
        <f t="shared" si="100"/>
        <v>5.224952881213591</v>
      </c>
      <c r="AI106" s="348">
        <f>Rdson2*AH106^2</f>
        <v>0.11193054370469903</v>
      </c>
      <c r="AJ106" s="348">
        <f t="shared" si="102"/>
        <v>3.6523053945629436E-2</v>
      </c>
      <c r="AK106" s="348">
        <f>(AJ106+AI106*(1+RdsonBotTc*Ta-RdsonBotTc*25))/(1-AI106*RdsonBotTc*ThetaJA_Q2)</f>
        <v>0.15120897176473674</v>
      </c>
      <c r="AL106" s="348">
        <f t="shared" si="104"/>
        <v>3.2320399999999992E-2</v>
      </c>
      <c r="AM106" s="348">
        <f t="shared" si="105"/>
        <v>0.97290999999999994</v>
      </c>
      <c r="AN106" s="348">
        <f t="shared" si="106"/>
        <v>7.1943664196232909E-2</v>
      </c>
      <c r="AO106" s="348">
        <f t="shared" si="107"/>
        <v>1.1E-4</v>
      </c>
      <c r="AP106" s="348">
        <f t="shared" si="108"/>
        <v>5.6099999999999997E-2</v>
      </c>
      <c r="AQ106" s="348">
        <f t="shared" si="109"/>
        <v>0.52647692307692318</v>
      </c>
      <c r="AR106" s="348">
        <f t="shared" si="110"/>
        <v>0.5048999999999999</v>
      </c>
      <c r="AS106" s="348">
        <f t="shared" si="133"/>
        <v>5.6209999999999996E-2</v>
      </c>
      <c r="AT106" s="348">
        <f xml:space="preserve"> SUM(U106,X106,AA106,AG106,AK106,AL106,AM106,AS106,AN106)</f>
        <v>2.0695664682990258</v>
      </c>
      <c r="AU106">
        <f t="shared" si="112"/>
        <v>58.199999999999996</v>
      </c>
      <c r="AV106" s="526">
        <f t="shared" si="127"/>
        <v>0.96566150066157208</v>
      </c>
      <c r="AW106" s="534">
        <f t="shared" si="113"/>
        <v>45.311538453076309</v>
      </c>
      <c r="AX106" s="534">
        <f t="shared" si="114"/>
        <v>19.221359360824788</v>
      </c>
      <c r="AY106" s="9"/>
      <c r="AZ106" s="4">
        <f t="shared" si="128"/>
        <v>96.566150066157206</v>
      </c>
      <c r="BA106" s="348">
        <f t="shared" si="115"/>
        <v>0.3292173264528746</v>
      </c>
      <c r="BB106" s="348">
        <f t="shared" si="129"/>
        <v>1.5608445254094105</v>
      </c>
      <c r="BC106" s="348">
        <f t="shared" si="130"/>
        <v>1.0788461536446741</v>
      </c>
      <c r="BD106" s="348">
        <f t="shared" si="131"/>
        <v>0.47226927176473676</v>
      </c>
      <c r="BE106" s="348">
        <f t="shared" si="132"/>
        <v>7.1943664196232909E-2</v>
      </c>
      <c r="BK106" s="18"/>
      <c r="BL106" s="19"/>
    </row>
    <row r="107" spans="7:64" x14ac:dyDescent="0.2">
      <c r="G107">
        <v>98</v>
      </c>
      <c r="H107" s="531">
        <f t="shared" si="85"/>
        <v>50</v>
      </c>
      <c r="I107" s="4">
        <f t="shared" si="86"/>
        <v>1</v>
      </c>
      <c r="J107" s="348">
        <f t="shared" si="116"/>
        <v>4.9000000000000004</v>
      </c>
      <c r="K107" s="348">
        <f t="shared" si="87"/>
        <v>4.9000000000000004</v>
      </c>
      <c r="L107" s="4">
        <f>Vout*K107/(Vin*Efficiency)</f>
        <v>1.3066666666666669</v>
      </c>
      <c r="M107" s="348">
        <f t="shared" si="89"/>
        <v>0.24108019256734248</v>
      </c>
      <c r="N107" s="4">
        <f>(Vin-(Rdson1+Rdcr)*K107-Vout)*M107/(Fsw*Lf)</f>
        <v>12.222910798039472</v>
      </c>
      <c r="O107" s="4">
        <f t="shared" si="117"/>
        <v>11.011455399019736</v>
      </c>
      <c r="P107" s="4">
        <f t="shared" si="118"/>
        <v>-1.2114553990197354</v>
      </c>
      <c r="Q107" s="4">
        <f>IF(MIN(Vin, -P107/(Coss_Q1+Coss_Q2)*0.00000002)&lt;0, 0, MIN(Vin, -P107/(Coss_Q1+Coss_Q2)*0.00000002))</f>
        <v>50</v>
      </c>
      <c r="R107" s="4">
        <f t="shared" si="119"/>
        <v>6.0382085393546845</v>
      </c>
      <c r="S107" s="348">
        <f>R107^2*Rdcr</f>
        <v>0.12760986827657542</v>
      </c>
      <c r="T107" s="348">
        <f t="shared" si="93"/>
        <v>0.2</v>
      </c>
      <c r="U107" s="348">
        <f>(T107+S107*(1+Ltc*(Ta-25)))/(1-S107*Ltc*ThetaCa)</f>
        <v>0.33098886390246396</v>
      </c>
      <c r="V107" s="4">
        <f t="shared" si="120"/>
        <v>3.5284504197644364</v>
      </c>
      <c r="W107" s="348">
        <f t="shared" si="121"/>
        <v>1.2449962364735827E-2</v>
      </c>
      <c r="X107" s="348">
        <f t="shared" si="122"/>
        <v>1.2449962364735827E-2</v>
      </c>
      <c r="Y107" s="4">
        <f t="shared" si="123"/>
        <v>2.5827764438766341</v>
      </c>
      <c r="Z107" s="348">
        <f t="shared" si="124"/>
        <v>6.6707341590440316E-3</v>
      </c>
      <c r="AA107" s="525">
        <f t="shared" si="125"/>
        <v>6.6707341590440316E-3</v>
      </c>
      <c r="AB107" s="348">
        <f t="shared" si="126"/>
        <v>2.9647554280055841</v>
      </c>
      <c r="AC107" s="348">
        <f>Rdson1*AB107^2</f>
        <v>0.10547729697466289</v>
      </c>
      <c r="AD107" s="348">
        <f t="shared" si="96"/>
        <v>0.32413510698077286</v>
      </c>
      <c r="AE107" s="348">
        <f t="shared" si="97"/>
        <v>0</v>
      </c>
      <c r="AF107" s="348">
        <f t="shared" si="98"/>
        <v>4.0365693895337579E-3</v>
      </c>
      <c r="AG107" s="348">
        <f>(AF107+AE107+AD107+AC107*(1+RdsonTopTc*Ta-RdsonTopTc*25))/(1-AC107*RdsonTopTc*ThetaJA_Q1)</f>
        <v>0.44147193815506558</v>
      </c>
      <c r="AH107" s="348">
        <f t="shared" si="100"/>
        <v>5.260245965432345</v>
      </c>
      <c r="AI107" s="348">
        <f>Rdson2*AH107^2</f>
        <v>0.11344776922907378</v>
      </c>
      <c r="AJ107" s="348">
        <f t="shared" si="102"/>
        <v>3.6690169389533754E-2</v>
      </c>
      <c r="AK107" s="348">
        <f>(AJ107+AI107*(1+RdsonBotTc*Ta-RdsonBotTc*25))/(1-AI107*RdsonBotTc*ThetaJA_Q2)</f>
        <v>0.15296305875485106</v>
      </c>
      <c r="AL107" s="348">
        <f t="shared" si="104"/>
        <v>3.2653599999999998E-2</v>
      </c>
      <c r="AM107" s="348">
        <f t="shared" si="105"/>
        <v>0.98294000000000004</v>
      </c>
      <c r="AN107" s="348">
        <f t="shared" si="106"/>
        <v>7.2919924729471661E-2</v>
      </c>
      <c r="AO107" s="348">
        <f t="shared" si="107"/>
        <v>1.1E-4</v>
      </c>
      <c r="AP107" s="348">
        <f t="shared" si="108"/>
        <v>5.6099999999999997E-2</v>
      </c>
      <c r="AQ107" s="348">
        <f t="shared" si="109"/>
        <v>0.52647692307692318</v>
      </c>
      <c r="AR107" s="348">
        <f t="shared" si="110"/>
        <v>0.5048999999999999</v>
      </c>
      <c r="AS107" s="348">
        <f t="shared" si="133"/>
        <v>5.6209999999999996E-2</v>
      </c>
      <c r="AT107" s="348">
        <f xml:space="preserve"> SUM(U107,X107,AA107,AG107,AK107,AL107,AM107,AS107,AN107)</f>
        <v>2.0892680820656322</v>
      </c>
      <c r="AU107">
        <f t="shared" si="112"/>
        <v>58.800000000000004</v>
      </c>
      <c r="AV107" s="526">
        <f t="shared" si="127"/>
        <v>0.96568741671767599</v>
      </c>
      <c r="AW107" s="534">
        <f t="shared" si="113"/>
        <v>45.788918202512761</v>
      </c>
      <c r="AX107" s="534">
        <f t="shared" si="114"/>
        <v>19.427463631322443</v>
      </c>
      <c r="AY107" s="9"/>
      <c r="AZ107" s="4">
        <f t="shared" si="128"/>
        <v>96.568741671767597</v>
      </c>
      <c r="BA107" s="348">
        <f t="shared" si="115"/>
        <v>0.33098886390246396</v>
      </c>
      <c r="BB107" s="348">
        <f t="shared" si="129"/>
        <v>1.5773749969099167</v>
      </c>
      <c r="BC107" s="348">
        <f t="shared" si="130"/>
        <v>1.0902123381550657</v>
      </c>
      <c r="BD107" s="348">
        <f t="shared" si="131"/>
        <v>0.47733325875485111</v>
      </c>
      <c r="BE107" s="348">
        <f t="shared" si="132"/>
        <v>7.2919924729471661E-2</v>
      </c>
      <c r="BK107" s="18"/>
      <c r="BL107" s="19"/>
    </row>
    <row r="108" spans="7:64" x14ac:dyDescent="0.2">
      <c r="G108">
        <v>99</v>
      </c>
      <c r="H108" s="531">
        <f t="shared" si="85"/>
        <v>50</v>
      </c>
      <c r="I108" s="4">
        <f t="shared" si="86"/>
        <v>1</v>
      </c>
      <c r="J108" s="348">
        <f t="shared" si="116"/>
        <v>4.95</v>
      </c>
      <c r="K108" s="348">
        <f t="shared" si="87"/>
        <v>4.95</v>
      </c>
      <c r="L108" s="4">
        <f>Vout*K108/(Vin*Efficiency)</f>
        <v>1.32</v>
      </c>
      <c r="M108" s="348">
        <f t="shared" si="89"/>
        <v>0.24109122138240946</v>
      </c>
      <c r="N108" s="4">
        <f>(Vin-(Rdson1+Rdcr)*K108-Vout)*M108/(Fsw*Lf)</f>
        <v>12.223220171886355</v>
      </c>
      <c r="O108" s="4">
        <f t="shared" si="117"/>
        <v>11.061610085943178</v>
      </c>
      <c r="P108" s="4">
        <f t="shared" si="118"/>
        <v>-1.1616100859431775</v>
      </c>
      <c r="Q108" s="4">
        <f>IF(MIN(Vin, -P108/(Coss_Q1+Coss_Q2)*0.00000002)&lt;0, 0, MIN(Vin, -P108/(Coss_Q1+Coss_Q2)*0.00000002))</f>
        <v>48.19958862834762</v>
      </c>
      <c r="R108" s="4">
        <f t="shared" si="119"/>
        <v>6.0789055441091362</v>
      </c>
      <c r="S108" s="348">
        <f>R108^2*Rdcr</f>
        <v>0.12933582414970277</v>
      </c>
      <c r="T108" s="348">
        <f t="shared" si="93"/>
        <v>0.2</v>
      </c>
      <c r="U108" s="348">
        <f>(T108+S108*(1+Ltc*(Ta-25)))/(1-S108*Ltc*ThetaCa)</f>
        <v>0.33277904430610922</v>
      </c>
      <c r="V108" s="4">
        <f t="shared" si="120"/>
        <v>3.5285397283013258</v>
      </c>
      <c r="W108" s="348">
        <f t="shared" si="121"/>
        <v>1.2450592614200794E-2</v>
      </c>
      <c r="X108" s="348">
        <f t="shared" si="122"/>
        <v>1.2450592614200794E-2</v>
      </c>
      <c r="Y108" s="4">
        <f t="shared" si="123"/>
        <v>2.6002247158492815</v>
      </c>
      <c r="Z108" s="348">
        <f t="shared" si="124"/>
        <v>6.7611685729134768E-3</v>
      </c>
      <c r="AA108" s="525">
        <f t="shared" si="125"/>
        <v>6.7611685729134768E-3</v>
      </c>
      <c r="AB108" s="348">
        <f t="shared" si="126"/>
        <v>2.9848058952325465</v>
      </c>
      <c r="AC108" s="348">
        <f>Rdson1*AB108^2</f>
        <v>0.10690879478657955</v>
      </c>
      <c r="AD108" s="348">
        <f t="shared" si="96"/>
        <v>0.32744260807241338</v>
      </c>
      <c r="AE108" s="348">
        <f t="shared" si="97"/>
        <v>1.8226433043799332E-2</v>
      </c>
      <c r="AF108" s="348">
        <f t="shared" si="98"/>
        <v>3.8704848063626667E-3</v>
      </c>
      <c r="AG108" s="348">
        <f>(AF108+AE108+AD108+AC108*(1+RdsonTopTc*Ta-RdsonTopTc*25))/(1-AC108*RdsonTopTc*ThetaJA_Q1)</f>
        <v>0.46479637857920664</v>
      </c>
      <c r="AH108" s="348">
        <f t="shared" si="100"/>
        <v>5.2956610901742787</v>
      </c>
      <c r="AI108" s="348">
        <f>Rdson2*AH108^2</f>
        <v>0.11498050816614189</v>
      </c>
      <c r="AJ108" s="348">
        <f t="shared" si="102"/>
        <v>3.6857284806362661E-2</v>
      </c>
      <c r="AK108" s="348">
        <f>(AJ108+AI108*(1+RdsonBotTc*Ta-RdsonBotTc*25))/(1-AI108*RdsonBotTc*ThetaJA_Q2)</f>
        <v>0.15473423633150749</v>
      </c>
      <c r="AL108" s="348">
        <f t="shared" si="104"/>
        <v>3.2986799999999997E-2</v>
      </c>
      <c r="AM108" s="348">
        <f t="shared" si="105"/>
        <v>0.99297000000000013</v>
      </c>
      <c r="AN108" s="348">
        <f t="shared" si="106"/>
        <v>7.3906185228401589E-2</v>
      </c>
      <c r="AO108" s="348">
        <f t="shared" si="107"/>
        <v>1.1E-4</v>
      </c>
      <c r="AP108" s="348">
        <f t="shared" si="108"/>
        <v>5.6099999999999997E-2</v>
      </c>
      <c r="AQ108" s="348">
        <f t="shared" si="109"/>
        <v>0.52647692307692318</v>
      </c>
      <c r="AR108" s="348">
        <f t="shared" si="110"/>
        <v>0.5048999999999999</v>
      </c>
      <c r="AS108" s="348">
        <f t="shared" si="133"/>
        <v>5.6209999999999996E-2</v>
      </c>
      <c r="AT108" s="348">
        <f xml:space="preserve"> SUM(U108,X108,AA108,AG108,AK108,AL108,AM108,AS108,AN108)</f>
        <v>2.1275944056323395</v>
      </c>
      <c r="AU108">
        <f t="shared" si="112"/>
        <v>59.400000000000006</v>
      </c>
      <c r="AV108" s="526">
        <f t="shared" si="127"/>
        <v>0.96542048448041429</v>
      </c>
      <c r="AW108" s="534">
        <f t="shared" si="113"/>
        <v>47.046576300326691</v>
      </c>
      <c r="AX108" s="534">
        <f t="shared" si="114"/>
        <v>19.634263488692358</v>
      </c>
      <c r="AY108" s="9"/>
      <c r="AZ108" s="4">
        <f t="shared" si="128"/>
        <v>96.542048448041427</v>
      </c>
      <c r="BA108" s="348">
        <f t="shared" si="115"/>
        <v>0.33277904430610922</v>
      </c>
      <c r="BB108" s="348">
        <f t="shared" si="129"/>
        <v>1.6125006149107142</v>
      </c>
      <c r="BC108" s="348">
        <f t="shared" si="130"/>
        <v>1.1201565785792069</v>
      </c>
      <c r="BD108" s="348">
        <f t="shared" si="131"/>
        <v>0.48241433633150754</v>
      </c>
      <c r="BE108" s="348">
        <f t="shared" si="132"/>
        <v>7.3906185228401589E-2</v>
      </c>
      <c r="BK108" s="18"/>
      <c r="BL108" s="19"/>
    </row>
    <row r="109" spans="7:64" x14ac:dyDescent="0.2">
      <c r="G109">
        <v>100</v>
      </c>
      <c r="H109" s="531">
        <f t="shared" si="85"/>
        <v>50</v>
      </c>
      <c r="I109" s="4">
        <f t="shared" si="86"/>
        <v>1</v>
      </c>
      <c r="J109" s="348">
        <f t="shared" si="116"/>
        <v>5</v>
      </c>
      <c r="K109" s="348">
        <f t="shared" si="87"/>
        <v>5</v>
      </c>
      <c r="L109" s="4">
        <f>Vout*K109/(Vin*Efficiency)</f>
        <v>1.3333333333333333</v>
      </c>
      <c r="M109" s="348">
        <f t="shared" si="89"/>
        <v>0.24110225032769333</v>
      </c>
      <c r="N109" s="4">
        <f>(Vin-(Rdson1+Rdcr)*K109-Vout)*M109/(Fsw*Lf)</f>
        <v>12.223529529481217</v>
      </c>
      <c r="O109" s="4">
        <f t="shared" si="117"/>
        <v>11.111764764740609</v>
      </c>
      <c r="P109" s="4">
        <f t="shared" si="118"/>
        <v>-1.1117647647406086</v>
      </c>
      <c r="Q109" s="4">
        <f>IF(MIN(Vin, -P109/(Coss_Q1+Coss_Q2)*0.00000002)&lt;0, 0, MIN(Vin, -P109/(Coss_Q1+Coss_Q2)*0.00000002))</f>
        <v>46.131318039029409</v>
      </c>
      <c r="R109" s="4">
        <f t="shared" si="119"/>
        <v>6.1197404231313826</v>
      </c>
      <c r="S109" s="348">
        <f>R109^2*Rdcr</f>
        <v>0.13107927996277896</v>
      </c>
      <c r="T109" s="348">
        <f t="shared" si="93"/>
        <v>0.2</v>
      </c>
      <c r="U109" s="348">
        <f>(T109+S109*(1+Ltc*(Ta-25)))/(1-S109*Ltc*ThetaCa)</f>
        <v>0.33458788306650922</v>
      </c>
      <c r="V109" s="4">
        <f t="shared" si="120"/>
        <v>3.5286290321466605</v>
      </c>
      <c r="W109" s="348">
        <f t="shared" si="121"/>
        <v>1.2451222846508278E-2</v>
      </c>
      <c r="X109" s="348">
        <f t="shared" si="122"/>
        <v>1.2451222846508278E-2</v>
      </c>
      <c r="Y109" s="4">
        <f t="shared" si="123"/>
        <v>2.6177325053190406</v>
      </c>
      <c r="Z109" s="348">
        <f t="shared" si="124"/>
        <v>6.8525234694039004E-3</v>
      </c>
      <c r="AA109" s="525">
        <f t="shared" si="125"/>
        <v>6.8525234694039004E-3</v>
      </c>
      <c r="AB109" s="348">
        <f t="shared" si="126"/>
        <v>3.0049249750729325</v>
      </c>
      <c r="AC109" s="348">
        <f>Rdson1*AB109^2</f>
        <v>0.10835488926980477</v>
      </c>
      <c r="AD109" s="348">
        <f t="shared" si="96"/>
        <v>0.3307501091640539</v>
      </c>
      <c r="AE109" s="348">
        <f t="shared" si="97"/>
        <v>3.8824471247006602E-2</v>
      </c>
      <c r="AF109" s="348">
        <f t="shared" si="98"/>
        <v>3.7044001961157075E-3</v>
      </c>
      <c r="AG109" s="348">
        <f>(AF109+AE109+AD109+AC109*(1+RdsonTopTc*Ta-RdsonTopTc*25))/(1-AC109*RdsonTopTc*ThetaJA_Q1)</f>
        <v>0.49056390955776319</v>
      </c>
      <c r="AH109" s="348">
        <f t="shared" si="100"/>
        <v>5.331195807761258</v>
      </c>
      <c r="AI109" s="348">
        <f>Rdson2*AH109^2</f>
        <v>0.11652875983683395</v>
      </c>
      <c r="AJ109" s="348">
        <f t="shared" si="102"/>
        <v>3.7024400196115706E-2</v>
      </c>
      <c r="AK109" s="348">
        <f>(AJ109+AI109*(1+RdsonBotTc*Ta-RdsonBotTc*25))/(1-AI109*RdsonBotTc*ThetaJA_Q2)</f>
        <v>0.15652253050538587</v>
      </c>
      <c r="AL109" s="348">
        <f t="shared" si="104"/>
        <v>3.3319999999999995E-2</v>
      </c>
      <c r="AM109" s="348">
        <f t="shared" si="105"/>
        <v>1.0029999999999999</v>
      </c>
      <c r="AN109" s="348">
        <f t="shared" si="106"/>
        <v>7.4902445693016545E-2</v>
      </c>
      <c r="AO109" s="348">
        <f t="shared" si="107"/>
        <v>1.1E-4</v>
      </c>
      <c r="AP109" s="348">
        <f t="shared" si="108"/>
        <v>5.6099999999999997E-2</v>
      </c>
      <c r="AQ109" s="348">
        <f t="shared" si="109"/>
        <v>0.52647692307692318</v>
      </c>
      <c r="AR109" s="348">
        <f t="shared" si="110"/>
        <v>0.5048999999999999</v>
      </c>
      <c r="AS109" s="348">
        <f t="shared" si="133"/>
        <v>5.6209999999999996E-2</v>
      </c>
      <c r="AT109" s="348">
        <f xml:space="preserve"> SUM(U109,X109,AA109,AG109,AK109,AL109,AM109,AS109,AN109)</f>
        <v>2.1684105151385871</v>
      </c>
      <c r="AU109">
        <f t="shared" si="112"/>
        <v>60</v>
      </c>
      <c r="AV109" s="526">
        <f t="shared" si="127"/>
        <v>0.96512038031581071</v>
      </c>
      <c r="AW109" s="534">
        <f t="shared" si="113"/>
        <v>48.406844201426054</v>
      </c>
      <c r="AX109" s="534">
        <f t="shared" si="114"/>
        <v>19.841759991569209</v>
      </c>
      <c r="AY109" s="9"/>
      <c r="AZ109" s="4">
        <f t="shared" si="128"/>
        <v>96.512038031581071</v>
      </c>
      <c r="BA109" s="348">
        <f t="shared" si="115"/>
        <v>0.33458788306650922</v>
      </c>
      <c r="BB109" s="348">
        <f t="shared" si="129"/>
        <v>1.650086440063149</v>
      </c>
      <c r="BC109" s="348">
        <f t="shared" si="130"/>
        <v>1.1525439095577632</v>
      </c>
      <c r="BD109" s="348">
        <f t="shared" si="131"/>
        <v>0.4875125305053859</v>
      </c>
      <c r="BE109" s="348">
        <f t="shared" si="132"/>
        <v>7.4902445693016545E-2</v>
      </c>
      <c r="BK109" s="18"/>
      <c r="BL109" s="19"/>
    </row>
    <row r="110" spans="7:64" x14ac:dyDescent="0.2">
      <c r="H110" s="531"/>
      <c r="I110" s="4"/>
      <c r="J110" s="4"/>
      <c r="L110" s="4"/>
      <c r="R110" s="348"/>
      <c r="S110" s="348"/>
      <c r="T110" s="348"/>
      <c r="U110" s="348"/>
      <c r="W110" s="348"/>
      <c r="X110" s="348"/>
      <c r="Y110" s="348"/>
      <c r="Z110" s="348"/>
      <c r="AA110" s="525"/>
      <c r="AB110" s="348"/>
      <c r="AC110" s="348"/>
      <c r="AD110" s="348"/>
      <c r="AE110" s="348"/>
      <c r="AG110" s="348"/>
      <c r="AH110" s="348"/>
      <c r="AI110" s="348"/>
      <c r="AJ110" s="348"/>
      <c r="AK110" s="348"/>
      <c r="AL110" s="348"/>
      <c r="AM110" s="348"/>
      <c r="AN110" s="348"/>
      <c r="AO110" s="348"/>
      <c r="AP110" s="348"/>
      <c r="AQ110" s="348"/>
      <c r="AR110" s="348"/>
      <c r="AS110" s="348"/>
      <c r="AT110" s="348"/>
      <c r="AV110" s="526"/>
      <c r="AW110" s="534"/>
      <c r="AX110" s="534"/>
      <c r="AY110" s="9"/>
      <c r="AZ110" s="48"/>
      <c r="BA110" s="348"/>
      <c r="BB110" s="348"/>
      <c r="BC110" s="348"/>
      <c r="BD110" s="348"/>
      <c r="BE110" s="348"/>
    </row>
    <row r="111" spans="7:64" x14ac:dyDescent="0.2">
      <c r="H111" s="531"/>
      <c r="I111" s="4"/>
      <c r="J111" s="4"/>
      <c r="L111" s="4"/>
      <c r="R111" s="348"/>
      <c r="S111" s="348"/>
      <c r="T111" s="348"/>
      <c r="U111" s="348"/>
      <c r="W111" s="348"/>
      <c r="X111" s="348"/>
      <c r="Y111" s="348"/>
      <c r="Z111" s="348"/>
      <c r="AA111" s="525"/>
      <c r="AB111" s="348"/>
      <c r="AC111" s="348"/>
      <c r="AD111" s="348"/>
      <c r="AE111" s="348"/>
      <c r="AG111" s="348"/>
      <c r="AH111" s="348"/>
      <c r="AI111" s="348"/>
      <c r="AJ111" s="348"/>
      <c r="AK111" s="348"/>
      <c r="AL111" s="348"/>
      <c r="AM111" s="348"/>
      <c r="AN111" s="348"/>
      <c r="AO111" s="348"/>
      <c r="AP111" s="348"/>
      <c r="AQ111" s="348"/>
      <c r="AR111" s="348"/>
      <c r="AS111" s="348"/>
      <c r="AT111" s="348"/>
      <c r="AV111" s="526"/>
      <c r="AW111" s="534"/>
      <c r="AX111" s="534"/>
      <c r="AY111" s="9"/>
      <c r="AZ111" s="48"/>
      <c r="BA111" s="348"/>
      <c r="BB111" s="348"/>
      <c r="BC111" s="348"/>
      <c r="BD111" s="348"/>
      <c r="BE111" s="348"/>
    </row>
    <row r="112" spans="7:64" x14ac:dyDescent="0.2">
      <c r="H112" s="531"/>
      <c r="I112" s="4"/>
      <c r="J112" s="4"/>
      <c r="L112" s="4"/>
      <c r="R112" s="348"/>
      <c r="S112" s="348"/>
      <c r="T112" s="348"/>
      <c r="U112" s="348"/>
      <c r="W112" s="348"/>
      <c r="X112" s="348"/>
      <c r="Y112" s="348"/>
      <c r="Z112" s="348"/>
      <c r="AA112" s="525"/>
      <c r="AB112" s="348"/>
      <c r="AC112" s="348"/>
      <c r="AD112" s="348"/>
      <c r="AE112" s="348"/>
      <c r="AG112" s="348"/>
      <c r="AH112" s="348"/>
      <c r="AI112" s="348"/>
      <c r="AJ112" s="348"/>
      <c r="AK112" s="348"/>
      <c r="AL112" s="348"/>
      <c r="AM112" s="348"/>
      <c r="AN112" s="348"/>
      <c r="AO112" s="348"/>
      <c r="AP112" s="348"/>
      <c r="AQ112" s="348"/>
      <c r="AR112" s="348"/>
      <c r="AS112" s="348"/>
      <c r="AT112" s="348"/>
      <c r="AV112" s="526"/>
      <c r="AW112" s="534"/>
      <c r="AX112" s="534"/>
      <c r="AY112" s="9"/>
      <c r="AZ112" s="48"/>
      <c r="BA112" s="348"/>
      <c r="BB112" s="348"/>
      <c r="BC112" s="348"/>
      <c r="BD112" s="348"/>
      <c r="BE112" s="348"/>
    </row>
    <row r="113" spans="8:57" x14ac:dyDescent="0.2">
      <c r="H113" s="531"/>
      <c r="I113" s="4"/>
      <c r="J113" s="4"/>
      <c r="L113" s="4"/>
      <c r="R113" s="348"/>
      <c r="S113" s="348"/>
      <c r="T113" s="348"/>
      <c r="U113" s="348"/>
      <c r="W113" s="348"/>
      <c r="X113" s="348"/>
      <c r="Y113" s="348"/>
      <c r="Z113" s="348"/>
      <c r="AA113" s="525"/>
      <c r="AB113" s="348"/>
      <c r="AC113" s="348"/>
      <c r="AD113" s="348"/>
      <c r="AE113" s="348"/>
      <c r="AG113" s="348"/>
      <c r="AH113" s="348"/>
      <c r="AI113" s="348"/>
      <c r="AJ113" s="348"/>
      <c r="AK113" s="348"/>
      <c r="AL113" s="348"/>
      <c r="AM113" s="348"/>
      <c r="AN113" s="348"/>
      <c r="AO113" s="348"/>
      <c r="AP113" s="348"/>
      <c r="AQ113" s="348"/>
      <c r="AR113" s="348"/>
      <c r="AS113" s="348"/>
      <c r="AT113" s="348"/>
      <c r="AV113" s="526"/>
      <c r="AW113" s="534"/>
      <c r="AX113" s="534"/>
      <c r="AY113" s="9"/>
      <c r="AZ113" s="48"/>
      <c r="BA113" s="348"/>
      <c r="BB113" s="348"/>
      <c r="BC113" s="348"/>
      <c r="BD113" s="348"/>
      <c r="BE113" s="348"/>
    </row>
    <row r="114" spans="8:57" x14ac:dyDescent="0.2">
      <c r="H114" s="531"/>
      <c r="I114" s="4"/>
      <c r="J114" s="4"/>
      <c r="L114" s="4"/>
      <c r="R114" s="348"/>
      <c r="S114" s="348"/>
      <c r="T114" s="348"/>
      <c r="U114" s="348"/>
      <c r="W114" s="348"/>
      <c r="X114" s="348"/>
      <c r="Y114" s="348"/>
      <c r="Z114" s="348"/>
      <c r="AA114" s="525"/>
      <c r="AB114" s="348"/>
      <c r="AC114" s="348"/>
      <c r="AD114" s="348"/>
      <c r="AE114" s="348"/>
      <c r="AG114" s="348"/>
      <c r="AH114" s="348"/>
      <c r="AI114" s="348"/>
      <c r="AJ114" s="348"/>
      <c r="AK114" s="348"/>
      <c r="AL114" s="348"/>
      <c r="AM114" s="348"/>
      <c r="AN114" s="348"/>
      <c r="AO114" s="348"/>
      <c r="AP114" s="348"/>
      <c r="AQ114" s="348"/>
      <c r="AR114" s="348"/>
      <c r="AS114" s="348"/>
      <c r="AT114" s="348"/>
      <c r="AV114" s="526"/>
      <c r="AW114" s="534"/>
      <c r="AX114" s="534"/>
      <c r="AY114" s="9"/>
      <c r="AZ114" s="48"/>
      <c r="BA114" s="348"/>
      <c r="BB114" s="348"/>
      <c r="BC114" s="348"/>
      <c r="BD114" s="348"/>
      <c r="BE114" s="348"/>
    </row>
    <row r="115" spans="8:57" x14ac:dyDescent="0.2">
      <c r="H115" s="531"/>
      <c r="I115" s="4"/>
      <c r="J115" s="4"/>
      <c r="L115" s="4"/>
      <c r="R115" s="348"/>
      <c r="S115" s="348"/>
      <c r="T115" s="348"/>
      <c r="U115" s="348"/>
      <c r="W115" s="348"/>
      <c r="X115" s="348"/>
      <c r="Y115" s="348"/>
      <c r="Z115" s="348"/>
      <c r="AA115" s="525"/>
      <c r="AB115" s="348"/>
      <c r="AC115" s="348"/>
      <c r="AD115" s="348"/>
      <c r="AE115" s="348"/>
      <c r="AG115" s="348"/>
      <c r="AH115" s="348"/>
      <c r="AI115" s="348"/>
      <c r="AJ115" s="348"/>
      <c r="AK115" s="348"/>
      <c r="AL115" s="348"/>
      <c r="AM115" s="348"/>
      <c r="AN115" s="348"/>
      <c r="AO115" s="348"/>
      <c r="AP115" s="348"/>
      <c r="AQ115" s="348"/>
      <c r="AR115" s="348"/>
      <c r="AS115" s="348"/>
      <c r="AT115" s="348"/>
      <c r="AV115" s="526"/>
      <c r="AW115" s="534"/>
      <c r="AX115" s="534"/>
      <c r="AY115" s="9"/>
      <c r="AZ115" s="48"/>
      <c r="BA115" s="348"/>
      <c r="BB115" s="348"/>
      <c r="BC115" s="348"/>
      <c r="BD115" s="348"/>
      <c r="BE115" s="348"/>
    </row>
    <row r="116" spans="8:57" x14ac:dyDescent="0.2">
      <c r="H116" s="531"/>
      <c r="I116" s="4"/>
      <c r="J116" s="4"/>
      <c r="L116" s="4"/>
      <c r="R116" s="348"/>
      <c r="S116" s="348"/>
      <c r="T116" s="348"/>
      <c r="U116" s="348"/>
      <c r="W116" s="348"/>
      <c r="X116" s="348"/>
      <c r="Y116" s="348"/>
      <c r="Z116" s="348"/>
      <c r="AA116" s="525"/>
      <c r="AB116" s="348"/>
      <c r="AC116" s="348"/>
      <c r="AD116" s="348"/>
      <c r="AE116" s="348"/>
      <c r="AG116" s="348"/>
      <c r="AH116" s="348"/>
      <c r="AI116" s="348"/>
      <c r="AJ116" s="348"/>
      <c r="AK116" s="348"/>
      <c r="AL116" s="348"/>
      <c r="AM116" s="348"/>
      <c r="AN116" s="348"/>
      <c r="AO116" s="348"/>
      <c r="AP116" s="348"/>
      <c r="AQ116" s="348"/>
      <c r="AR116" s="348"/>
      <c r="AS116" s="348"/>
      <c r="AT116" s="348"/>
      <c r="AV116" s="526"/>
      <c r="AW116" s="534"/>
      <c r="AX116" s="534"/>
      <c r="AY116" s="9"/>
      <c r="AZ116" s="48"/>
      <c r="BA116" s="348"/>
      <c r="BB116" s="348"/>
      <c r="BC116" s="348"/>
      <c r="BD116" s="348"/>
      <c r="BE116" s="348"/>
    </row>
    <row r="117" spans="8:57" x14ac:dyDescent="0.2">
      <c r="H117" s="531"/>
      <c r="I117" s="4"/>
      <c r="J117" s="4"/>
      <c r="L117" s="4"/>
      <c r="R117" s="348"/>
      <c r="S117" s="348"/>
      <c r="T117" s="348"/>
      <c r="U117" s="348"/>
      <c r="W117" s="348"/>
      <c r="X117" s="348"/>
      <c r="Y117" s="348"/>
      <c r="Z117" s="348"/>
      <c r="AA117" s="525"/>
      <c r="AB117" s="348"/>
      <c r="AC117" s="348"/>
      <c r="AD117" s="348"/>
      <c r="AE117" s="348"/>
      <c r="AG117" s="348"/>
      <c r="AH117" s="348"/>
      <c r="AI117" s="348"/>
      <c r="AJ117" s="348"/>
      <c r="AK117" s="348"/>
      <c r="AL117" s="348"/>
      <c r="AM117" s="348"/>
      <c r="AN117" s="348"/>
      <c r="AO117" s="348"/>
      <c r="AP117" s="348"/>
      <c r="AQ117" s="348"/>
      <c r="AR117" s="348"/>
      <c r="AS117" s="348"/>
      <c r="AT117" s="348"/>
      <c r="AV117" s="526"/>
      <c r="AW117" s="534"/>
      <c r="AX117" s="534"/>
      <c r="AY117" s="9"/>
      <c r="AZ117" s="48"/>
      <c r="BA117" s="348"/>
      <c r="BB117" s="348"/>
      <c r="BC117" s="348"/>
      <c r="BD117" s="348"/>
      <c r="BE117" s="348"/>
    </row>
    <row r="118" spans="8:57" x14ac:dyDescent="0.2">
      <c r="H118" s="531"/>
      <c r="I118" s="4"/>
      <c r="J118" s="4"/>
      <c r="L118" s="4"/>
      <c r="R118" s="348"/>
      <c r="S118" s="348"/>
      <c r="T118" s="348"/>
      <c r="U118" s="348"/>
      <c r="W118" s="348"/>
      <c r="X118" s="348"/>
      <c r="Y118" s="348"/>
      <c r="Z118" s="348"/>
      <c r="AA118" s="525"/>
      <c r="AB118" s="348"/>
      <c r="AC118" s="348"/>
      <c r="AD118" s="348"/>
      <c r="AE118" s="348"/>
      <c r="AG118" s="348"/>
      <c r="AH118" s="348"/>
      <c r="AI118" s="348"/>
      <c r="AJ118" s="348"/>
      <c r="AK118" s="348"/>
      <c r="AL118" s="348"/>
      <c r="AM118" s="348"/>
      <c r="AN118" s="348"/>
      <c r="AO118" s="348"/>
      <c r="AP118" s="348"/>
      <c r="AQ118" s="348"/>
      <c r="AR118" s="348"/>
      <c r="AS118" s="348"/>
      <c r="AT118" s="348"/>
      <c r="AV118" s="526"/>
      <c r="AW118" s="534"/>
      <c r="AX118" s="534"/>
      <c r="AY118" s="9"/>
      <c r="AZ118" s="48"/>
      <c r="BA118" s="348"/>
      <c r="BB118" s="348"/>
      <c r="BC118" s="348"/>
      <c r="BD118" s="348"/>
      <c r="BE118" s="348"/>
    </row>
    <row r="119" spans="8:57" x14ac:dyDescent="0.2">
      <c r="H119" s="531"/>
      <c r="I119" s="4"/>
      <c r="J119" s="4"/>
      <c r="L119" s="4"/>
      <c r="R119" s="348"/>
      <c r="S119" s="348"/>
      <c r="T119" s="348"/>
      <c r="U119" s="348"/>
      <c r="W119" s="348"/>
      <c r="X119" s="348"/>
      <c r="Y119" s="348"/>
      <c r="Z119" s="348"/>
      <c r="AA119" s="525"/>
      <c r="AB119" s="348"/>
      <c r="AC119" s="348"/>
      <c r="AD119" s="348"/>
      <c r="AE119" s="348"/>
      <c r="AG119" s="348"/>
      <c r="AH119" s="348"/>
      <c r="AI119" s="348"/>
      <c r="AJ119" s="348"/>
      <c r="AK119" s="348"/>
      <c r="AL119" s="348"/>
      <c r="AM119" s="348"/>
      <c r="AN119" s="348"/>
      <c r="AO119" s="348"/>
      <c r="AP119" s="348"/>
      <c r="AQ119" s="348"/>
      <c r="AR119" s="348"/>
      <c r="AS119" s="348"/>
      <c r="AT119" s="348"/>
      <c r="AV119" s="526"/>
      <c r="AW119" s="534"/>
      <c r="AX119" s="534"/>
      <c r="AY119" s="9"/>
      <c r="AZ119" s="48"/>
      <c r="BA119" s="348"/>
      <c r="BB119" s="348"/>
      <c r="BC119" s="348"/>
      <c r="BD119" s="348"/>
      <c r="BE119" s="348"/>
    </row>
    <row r="120" spans="8:57" x14ac:dyDescent="0.2">
      <c r="H120" s="531"/>
      <c r="I120" s="4"/>
      <c r="J120" s="4"/>
      <c r="L120" s="4"/>
      <c r="R120" s="348"/>
      <c r="S120" s="348"/>
      <c r="T120" s="348"/>
      <c r="U120" s="348"/>
      <c r="W120" s="348"/>
      <c r="X120" s="348"/>
      <c r="Y120" s="348"/>
      <c r="Z120" s="348"/>
      <c r="AA120" s="525"/>
      <c r="AB120" s="348"/>
      <c r="AC120" s="348"/>
      <c r="AD120" s="348"/>
      <c r="AE120" s="348"/>
      <c r="AG120" s="348"/>
      <c r="AH120" s="348"/>
      <c r="AI120" s="348"/>
      <c r="AJ120" s="348"/>
      <c r="AK120" s="348"/>
      <c r="AL120" s="348"/>
      <c r="AM120" s="348"/>
      <c r="AN120" s="348"/>
      <c r="AO120" s="348"/>
      <c r="AP120" s="348"/>
      <c r="AQ120" s="348"/>
      <c r="AR120" s="348"/>
      <c r="AS120" s="348"/>
      <c r="AT120" s="348"/>
      <c r="AV120" s="526"/>
      <c r="AW120" s="534"/>
      <c r="AX120" s="534"/>
      <c r="AY120" s="9"/>
      <c r="AZ120" s="48"/>
      <c r="BA120" s="348"/>
      <c r="BB120" s="348"/>
      <c r="BC120" s="348"/>
      <c r="BD120" s="348"/>
      <c r="BE120" s="348"/>
    </row>
    <row r="121" spans="8:57" x14ac:dyDescent="0.2">
      <c r="H121" s="531"/>
      <c r="I121" s="4"/>
      <c r="J121" s="4"/>
      <c r="L121" s="4"/>
      <c r="R121" s="348"/>
      <c r="S121" s="348"/>
      <c r="T121" s="348"/>
      <c r="U121" s="348"/>
      <c r="W121" s="348"/>
      <c r="X121" s="348"/>
      <c r="Y121" s="348"/>
      <c r="Z121" s="348"/>
      <c r="AA121" s="525"/>
      <c r="AB121" s="348"/>
      <c r="AC121" s="348"/>
      <c r="AD121" s="348"/>
      <c r="AE121" s="348"/>
      <c r="AG121" s="348"/>
      <c r="AH121" s="348"/>
      <c r="AI121" s="348"/>
      <c r="AJ121" s="348"/>
      <c r="AK121" s="348"/>
      <c r="AL121" s="348"/>
      <c r="AM121" s="348"/>
      <c r="AN121" s="348"/>
      <c r="AO121" s="348"/>
      <c r="AP121" s="348"/>
      <c r="AQ121" s="348"/>
      <c r="AR121" s="348"/>
      <c r="AS121" s="348"/>
      <c r="AT121" s="348"/>
      <c r="AV121" s="526"/>
      <c r="AW121" s="534"/>
      <c r="AX121" s="534"/>
      <c r="AY121" s="9"/>
      <c r="AZ121" s="48"/>
      <c r="BA121" s="348"/>
      <c r="BB121" s="348"/>
      <c r="BC121" s="348"/>
      <c r="BD121" s="348"/>
      <c r="BE121" s="348"/>
    </row>
    <row r="122" spans="8:57" x14ac:dyDescent="0.2">
      <c r="H122" s="531"/>
      <c r="I122" s="4"/>
      <c r="J122" s="4"/>
      <c r="L122" s="4"/>
      <c r="R122" s="348"/>
      <c r="S122" s="348"/>
      <c r="T122" s="348"/>
      <c r="U122" s="348"/>
      <c r="W122" s="348"/>
      <c r="X122" s="348"/>
      <c r="Y122" s="348"/>
      <c r="Z122" s="348"/>
      <c r="AA122" s="525"/>
      <c r="AB122" s="348"/>
      <c r="AC122" s="348"/>
      <c r="AD122" s="348"/>
      <c r="AE122" s="348"/>
      <c r="AG122" s="348"/>
      <c r="AH122" s="348"/>
      <c r="AI122" s="348"/>
      <c r="AJ122" s="348"/>
      <c r="AK122" s="348"/>
      <c r="AL122" s="348"/>
      <c r="AM122" s="348"/>
      <c r="AN122" s="348"/>
      <c r="AO122" s="348"/>
      <c r="AP122" s="348"/>
      <c r="AQ122" s="348"/>
      <c r="AR122" s="348"/>
      <c r="AS122" s="348"/>
      <c r="AT122" s="348"/>
      <c r="AV122" s="526"/>
      <c r="AW122" s="534"/>
      <c r="AX122" s="534"/>
      <c r="AY122" s="9"/>
      <c r="AZ122" s="48"/>
      <c r="BA122" s="348"/>
      <c r="BB122" s="348"/>
      <c r="BC122" s="348"/>
      <c r="BD122" s="348"/>
      <c r="BE122" s="348"/>
    </row>
    <row r="123" spans="8:57" x14ac:dyDescent="0.2">
      <c r="H123" s="531"/>
      <c r="I123" s="4"/>
      <c r="J123" s="4"/>
      <c r="L123" s="4"/>
      <c r="R123" s="348"/>
      <c r="S123" s="348"/>
      <c r="T123" s="348"/>
      <c r="U123" s="348"/>
      <c r="W123" s="348"/>
      <c r="X123" s="348"/>
      <c r="Y123" s="348"/>
      <c r="Z123" s="348"/>
      <c r="AA123" s="525"/>
      <c r="AB123" s="348"/>
      <c r="AC123" s="348"/>
      <c r="AD123" s="348"/>
      <c r="AE123" s="348"/>
      <c r="AG123" s="348"/>
      <c r="AH123" s="348"/>
      <c r="AI123" s="348"/>
      <c r="AJ123" s="348"/>
      <c r="AK123" s="348"/>
      <c r="AL123" s="348"/>
      <c r="AM123" s="348"/>
      <c r="AN123" s="348"/>
      <c r="AO123" s="348"/>
      <c r="AP123" s="348"/>
      <c r="AQ123" s="348"/>
      <c r="AR123" s="348"/>
      <c r="AS123" s="348"/>
      <c r="AT123" s="348"/>
      <c r="AV123" s="526"/>
      <c r="AW123" s="534"/>
      <c r="AX123" s="534"/>
      <c r="AY123" s="9"/>
      <c r="AZ123" s="48"/>
      <c r="BA123" s="348"/>
      <c r="BB123" s="348"/>
      <c r="BC123" s="348"/>
      <c r="BD123" s="348"/>
      <c r="BE123" s="348"/>
    </row>
    <row r="124" spans="8:57" x14ac:dyDescent="0.2">
      <c r="H124" s="531"/>
      <c r="I124" s="4"/>
      <c r="J124" s="4"/>
      <c r="L124" s="4"/>
      <c r="R124" s="348"/>
      <c r="S124" s="348"/>
      <c r="T124" s="348"/>
      <c r="U124" s="348"/>
      <c r="W124" s="348"/>
      <c r="X124" s="348"/>
      <c r="Y124" s="348"/>
      <c r="Z124" s="348"/>
      <c r="AA124" s="525"/>
      <c r="AB124" s="348"/>
      <c r="AC124" s="348"/>
      <c r="AD124" s="348"/>
      <c r="AE124" s="348"/>
      <c r="AG124" s="348"/>
      <c r="AH124" s="348"/>
      <c r="AI124" s="348"/>
      <c r="AJ124" s="348"/>
      <c r="AK124" s="348"/>
      <c r="AL124" s="348"/>
      <c r="AM124" s="348"/>
      <c r="AN124" s="348"/>
      <c r="AO124" s="348"/>
      <c r="AP124" s="348"/>
      <c r="AQ124" s="348"/>
      <c r="AR124" s="348"/>
      <c r="AS124" s="348"/>
      <c r="AT124" s="348"/>
      <c r="AV124" s="526"/>
      <c r="AW124" s="534"/>
      <c r="AX124" s="534"/>
      <c r="AY124" s="9"/>
      <c r="AZ124" s="48"/>
      <c r="BA124" s="348"/>
      <c r="BB124" s="348"/>
      <c r="BC124" s="348"/>
      <c r="BD124" s="348"/>
      <c r="BE124" s="348"/>
    </row>
    <row r="125" spans="8:57" x14ac:dyDescent="0.2">
      <c r="H125" s="531"/>
      <c r="I125" s="4"/>
      <c r="J125" s="4"/>
      <c r="L125" s="4"/>
      <c r="R125" s="348"/>
      <c r="S125" s="348"/>
      <c r="T125" s="348"/>
      <c r="U125" s="348"/>
      <c r="W125" s="348"/>
      <c r="X125" s="348"/>
      <c r="Y125" s="348"/>
      <c r="Z125" s="348"/>
      <c r="AA125" s="525"/>
      <c r="AB125" s="348"/>
      <c r="AC125" s="348"/>
      <c r="AD125" s="348"/>
      <c r="AE125" s="348"/>
      <c r="AG125" s="348"/>
      <c r="AH125" s="348"/>
      <c r="AI125" s="348"/>
      <c r="AJ125" s="348"/>
      <c r="AK125" s="348"/>
      <c r="AL125" s="348"/>
      <c r="AM125" s="348"/>
      <c r="AN125" s="348"/>
      <c r="AO125" s="348"/>
      <c r="AP125" s="348"/>
      <c r="AQ125" s="348"/>
      <c r="AR125" s="348"/>
      <c r="AS125" s="348"/>
      <c r="AT125" s="348"/>
      <c r="AV125" s="526"/>
      <c r="AW125" s="534"/>
      <c r="AX125" s="534"/>
      <c r="AY125" s="9"/>
      <c r="AZ125" s="48"/>
      <c r="BA125" s="348"/>
      <c r="BB125" s="348"/>
      <c r="BC125" s="348"/>
      <c r="BD125" s="348"/>
      <c r="BE125" s="348"/>
    </row>
    <row r="126" spans="8:57" x14ac:dyDescent="0.2">
      <c r="H126" s="531"/>
      <c r="I126" s="4"/>
      <c r="J126" s="4"/>
      <c r="L126" s="4"/>
      <c r="R126" s="348"/>
      <c r="S126" s="348"/>
      <c r="T126" s="348"/>
      <c r="U126" s="348"/>
      <c r="W126" s="348"/>
      <c r="X126" s="348"/>
      <c r="Y126" s="348"/>
      <c r="Z126" s="348"/>
      <c r="AA126" s="525"/>
      <c r="AB126" s="348"/>
      <c r="AC126" s="348"/>
      <c r="AD126" s="348"/>
      <c r="AE126" s="348"/>
      <c r="AG126" s="348"/>
      <c r="AH126" s="348"/>
      <c r="AI126" s="348"/>
      <c r="AJ126" s="348"/>
      <c r="AK126" s="348"/>
      <c r="AL126" s="348"/>
      <c r="AM126" s="348"/>
      <c r="AN126" s="348"/>
      <c r="AO126" s="348"/>
      <c r="AP126" s="348"/>
      <c r="AQ126" s="348"/>
      <c r="AR126" s="348"/>
      <c r="AS126" s="348"/>
      <c r="AT126" s="348"/>
      <c r="AV126" s="526"/>
      <c r="AW126" s="534"/>
      <c r="AX126" s="534"/>
      <c r="AY126" s="9"/>
      <c r="AZ126" s="48"/>
      <c r="BA126" s="348"/>
      <c r="BB126" s="348"/>
      <c r="BC126" s="348"/>
      <c r="BD126" s="348"/>
      <c r="BE126" s="348"/>
    </row>
    <row r="127" spans="8:57" x14ac:dyDescent="0.2">
      <c r="H127" s="531"/>
      <c r="I127" s="4"/>
      <c r="J127" s="4"/>
      <c r="L127" s="4"/>
      <c r="R127" s="348"/>
      <c r="S127" s="348"/>
      <c r="T127" s="348"/>
      <c r="U127" s="348"/>
      <c r="W127" s="348"/>
      <c r="X127" s="348"/>
      <c r="Y127" s="348"/>
      <c r="Z127" s="348"/>
      <c r="AA127" s="525"/>
      <c r="AB127" s="348"/>
      <c r="AC127" s="348"/>
      <c r="AD127" s="348"/>
      <c r="AE127" s="348"/>
      <c r="AG127" s="348"/>
      <c r="AH127" s="348"/>
      <c r="AI127" s="348"/>
      <c r="AJ127" s="348"/>
      <c r="AK127" s="348"/>
      <c r="AL127" s="348"/>
      <c r="AM127" s="348"/>
      <c r="AN127" s="348"/>
      <c r="AO127" s="348"/>
      <c r="AP127" s="348"/>
      <c r="AQ127" s="348"/>
      <c r="AR127" s="348"/>
      <c r="AS127" s="348"/>
      <c r="AT127" s="348"/>
      <c r="AV127" s="526"/>
      <c r="AW127" s="534"/>
      <c r="AX127" s="534"/>
      <c r="AY127" s="9"/>
      <c r="AZ127" s="48"/>
      <c r="BA127" s="348"/>
      <c r="BB127" s="348"/>
      <c r="BC127" s="348"/>
      <c r="BD127" s="348"/>
      <c r="BE127" s="348"/>
    </row>
    <row r="128" spans="8:57" x14ac:dyDescent="0.2">
      <c r="H128" s="531"/>
      <c r="I128" s="4"/>
      <c r="J128" s="4"/>
      <c r="L128" s="4"/>
      <c r="R128" s="348"/>
      <c r="S128" s="348"/>
      <c r="T128" s="348"/>
      <c r="U128" s="348"/>
      <c r="W128" s="348"/>
      <c r="X128" s="348"/>
      <c r="Y128" s="348"/>
      <c r="Z128" s="348"/>
      <c r="AA128" s="525"/>
      <c r="AB128" s="348"/>
      <c r="AC128" s="348"/>
      <c r="AD128" s="348"/>
      <c r="AE128" s="348"/>
      <c r="AG128" s="348"/>
      <c r="AH128" s="348"/>
      <c r="AI128" s="348"/>
      <c r="AJ128" s="348"/>
      <c r="AK128" s="348"/>
      <c r="AL128" s="348"/>
      <c r="AM128" s="348"/>
      <c r="AN128" s="348"/>
      <c r="AO128" s="348"/>
      <c r="AP128" s="348"/>
      <c r="AQ128" s="348"/>
      <c r="AR128" s="348"/>
      <c r="AS128" s="348"/>
      <c r="AT128" s="348"/>
      <c r="AV128" s="526"/>
      <c r="AW128" s="534"/>
      <c r="AX128" s="534"/>
      <c r="AY128" s="9"/>
      <c r="AZ128" s="48"/>
      <c r="BA128" s="348"/>
      <c r="BB128" s="348"/>
      <c r="BC128" s="348"/>
      <c r="BD128" s="348"/>
      <c r="BE128" s="348"/>
    </row>
    <row r="129" spans="8:57" x14ac:dyDescent="0.2">
      <c r="H129" s="531"/>
      <c r="I129" s="4"/>
      <c r="J129" s="4"/>
      <c r="L129" s="4"/>
      <c r="R129" s="348"/>
      <c r="S129" s="348"/>
      <c r="T129" s="348"/>
      <c r="U129" s="348"/>
      <c r="W129" s="348"/>
      <c r="X129" s="348"/>
      <c r="Y129" s="348"/>
      <c r="Z129" s="348"/>
      <c r="AA129" s="525"/>
      <c r="AB129" s="348"/>
      <c r="AC129" s="348"/>
      <c r="AD129" s="348"/>
      <c r="AE129" s="348"/>
      <c r="AG129" s="348"/>
      <c r="AH129" s="348"/>
      <c r="AI129" s="348"/>
      <c r="AJ129" s="348"/>
      <c r="AK129" s="348"/>
      <c r="AL129" s="348"/>
      <c r="AM129" s="348"/>
      <c r="AN129" s="348"/>
      <c r="AO129" s="348"/>
      <c r="AP129" s="348"/>
      <c r="AQ129" s="348"/>
      <c r="AR129" s="348"/>
      <c r="AS129" s="348"/>
      <c r="AT129" s="348"/>
      <c r="AV129" s="526"/>
      <c r="AW129" s="534"/>
      <c r="AX129" s="534"/>
      <c r="AY129" s="9"/>
      <c r="AZ129" s="48"/>
      <c r="BA129" s="348"/>
      <c r="BB129" s="348"/>
      <c r="BC129" s="348"/>
      <c r="BD129" s="348"/>
      <c r="BE129" s="348"/>
    </row>
    <row r="130" spans="8:57" x14ac:dyDescent="0.2">
      <c r="H130" s="531"/>
      <c r="I130" s="4"/>
      <c r="J130" s="4"/>
      <c r="L130" s="4"/>
      <c r="R130" s="348"/>
      <c r="S130" s="348"/>
      <c r="T130" s="348"/>
      <c r="U130" s="348"/>
      <c r="W130" s="348"/>
      <c r="X130" s="348"/>
      <c r="Y130" s="348"/>
      <c r="Z130" s="348"/>
      <c r="AA130" s="525"/>
      <c r="AB130" s="348"/>
      <c r="AC130" s="348"/>
      <c r="AD130" s="348"/>
      <c r="AE130" s="348"/>
      <c r="AG130" s="348"/>
      <c r="AH130" s="348"/>
      <c r="AI130" s="348"/>
      <c r="AJ130" s="348"/>
      <c r="AK130" s="348"/>
      <c r="AL130" s="348"/>
      <c r="AM130" s="348"/>
      <c r="AN130" s="348"/>
      <c r="AO130" s="348"/>
      <c r="AP130" s="348"/>
      <c r="AQ130" s="348"/>
      <c r="AR130" s="348"/>
      <c r="AS130" s="348"/>
      <c r="AT130" s="348"/>
      <c r="AV130" s="526"/>
      <c r="AW130" s="534"/>
      <c r="AX130" s="534"/>
      <c r="AY130" s="9"/>
      <c r="AZ130" s="48"/>
      <c r="BA130" s="348"/>
      <c r="BB130" s="348"/>
      <c r="BC130" s="348"/>
      <c r="BD130" s="348"/>
      <c r="BE130" s="348"/>
    </row>
    <row r="131" spans="8:57" x14ac:dyDescent="0.2">
      <c r="H131" s="531"/>
      <c r="I131" s="4"/>
      <c r="J131" s="4"/>
      <c r="L131" s="4"/>
      <c r="R131" s="348"/>
      <c r="S131" s="348"/>
      <c r="T131" s="348"/>
      <c r="U131" s="348"/>
      <c r="W131" s="348"/>
      <c r="X131" s="348"/>
      <c r="Y131" s="348"/>
      <c r="Z131" s="348"/>
      <c r="AA131" s="525"/>
      <c r="AB131" s="348"/>
      <c r="AC131" s="348"/>
      <c r="AD131" s="348"/>
      <c r="AE131" s="348"/>
      <c r="AG131" s="348"/>
      <c r="AH131" s="348"/>
      <c r="AI131" s="348"/>
      <c r="AJ131" s="348"/>
      <c r="AK131" s="348"/>
      <c r="AL131" s="348"/>
      <c r="AM131" s="348"/>
      <c r="AN131" s="348"/>
      <c r="AO131" s="348"/>
      <c r="AP131" s="348"/>
      <c r="AQ131" s="348"/>
      <c r="AR131" s="348"/>
      <c r="AS131" s="348"/>
      <c r="AT131" s="348"/>
      <c r="AV131" s="526"/>
      <c r="AW131" s="534"/>
      <c r="AX131" s="534"/>
      <c r="AY131" s="9"/>
      <c r="AZ131" s="48"/>
      <c r="BA131" s="348"/>
      <c r="BB131" s="348"/>
      <c r="BC131" s="348"/>
      <c r="BD131" s="348"/>
      <c r="BE131" s="348"/>
    </row>
    <row r="132" spans="8:57" x14ac:dyDescent="0.2">
      <c r="H132" s="531"/>
      <c r="I132" s="4"/>
      <c r="J132" s="4"/>
      <c r="L132" s="4"/>
      <c r="R132" s="348"/>
      <c r="S132" s="348"/>
      <c r="T132" s="348"/>
      <c r="U132" s="348"/>
      <c r="W132" s="348"/>
      <c r="X132" s="348"/>
      <c r="Y132" s="348"/>
      <c r="Z132" s="348"/>
      <c r="AA132" s="525"/>
      <c r="AB132" s="348"/>
      <c r="AC132" s="348"/>
      <c r="AD132" s="348"/>
      <c r="AE132" s="348"/>
      <c r="AG132" s="348"/>
      <c r="AH132" s="348"/>
      <c r="AI132" s="348"/>
      <c r="AJ132" s="348"/>
      <c r="AK132" s="348"/>
      <c r="AL132" s="348"/>
      <c r="AM132" s="348"/>
      <c r="AN132" s="348"/>
      <c r="AO132" s="348"/>
      <c r="AP132" s="348"/>
      <c r="AQ132" s="348"/>
      <c r="AR132" s="348"/>
      <c r="AS132" s="348"/>
      <c r="AT132" s="348"/>
      <c r="AV132" s="526"/>
      <c r="AW132" s="534"/>
      <c r="AX132" s="534"/>
      <c r="AY132" s="9"/>
      <c r="AZ132" s="48"/>
      <c r="BA132" s="348"/>
      <c r="BB132" s="348"/>
      <c r="BC132" s="348"/>
      <c r="BD132" s="348"/>
      <c r="BE132" s="348"/>
    </row>
    <row r="133" spans="8:57" x14ac:dyDescent="0.2">
      <c r="H133" s="531"/>
      <c r="I133" s="4"/>
      <c r="J133" s="4"/>
      <c r="L133" s="4"/>
      <c r="R133" s="348"/>
      <c r="S133" s="348"/>
      <c r="T133" s="348"/>
      <c r="U133" s="348"/>
      <c r="W133" s="348"/>
      <c r="X133" s="348"/>
      <c r="Y133" s="348"/>
      <c r="Z133" s="348"/>
      <c r="AA133" s="525"/>
      <c r="AB133" s="348"/>
      <c r="AC133" s="348"/>
      <c r="AD133" s="348"/>
      <c r="AE133" s="348"/>
      <c r="AG133" s="348"/>
      <c r="AH133" s="348"/>
      <c r="AI133" s="348"/>
      <c r="AJ133" s="348"/>
      <c r="AK133" s="348"/>
      <c r="AL133" s="348"/>
      <c r="AM133" s="348"/>
      <c r="AN133" s="348"/>
      <c r="AO133" s="348"/>
      <c r="AP133" s="348"/>
      <c r="AQ133" s="348"/>
      <c r="AR133" s="348"/>
      <c r="AS133" s="348"/>
      <c r="AT133" s="348"/>
      <c r="AV133" s="526"/>
      <c r="AW133" s="534"/>
      <c r="AX133" s="534"/>
      <c r="AY133" s="9"/>
      <c r="AZ133" s="48"/>
      <c r="BA133" s="348"/>
      <c r="BB133" s="348"/>
      <c r="BC133" s="348"/>
      <c r="BD133" s="348"/>
      <c r="BE133" s="348"/>
    </row>
    <row r="134" spans="8:57" x14ac:dyDescent="0.2">
      <c r="H134" s="531"/>
      <c r="I134" s="4"/>
      <c r="J134" s="4"/>
      <c r="L134" s="4"/>
      <c r="R134" s="348"/>
      <c r="S134" s="348"/>
      <c r="T134" s="348"/>
      <c r="U134" s="348"/>
      <c r="W134" s="348"/>
      <c r="X134" s="348"/>
      <c r="Y134" s="348"/>
      <c r="Z134" s="348"/>
      <c r="AA134" s="525"/>
      <c r="AB134" s="348"/>
      <c r="AC134" s="348"/>
      <c r="AD134" s="348"/>
      <c r="AE134" s="348"/>
      <c r="AG134" s="348"/>
      <c r="AH134" s="348"/>
      <c r="AI134" s="348"/>
      <c r="AJ134" s="348"/>
      <c r="AK134" s="348"/>
      <c r="AL134" s="348"/>
      <c r="AM134" s="348"/>
      <c r="AN134" s="348"/>
      <c r="AO134" s="348"/>
      <c r="AP134" s="348"/>
      <c r="AQ134" s="348"/>
      <c r="AR134" s="348"/>
      <c r="AS134" s="348"/>
      <c r="AT134" s="348"/>
      <c r="AV134" s="526"/>
      <c r="AW134" s="534"/>
      <c r="AX134" s="534"/>
      <c r="AY134" s="9"/>
      <c r="AZ134" s="48"/>
      <c r="BA134" s="348"/>
      <c r="BB134" s="348"/>
      <c r="BC134" s="348"/>
      <c r="BD134" s="348"/>
      <c r="BE134" s="348"/>
    </row>
    <row r="135" spans="8:57" x14ac:dyDescent="0.2">
      <c r="H135" s="531"/>
      <c r="I135" s="4"/>
      <c r="J135" s="4"/>
      <c r="L135" s="4"/>
      <c r="R135" s="348"/>
      <c r="S135" s="348"/>
      <c r="T135" s="348"/>
      <c r="U135" s="348"/>
      <c r="W135" s="348"/>
      <c r="X135" s="348"/>
      <c r="Y135" s="348"/>
      <c r="Z135" s="348"/>
      <c r="AA135" s="525"/>
      <c r="AB135" s="348"/>
      <c r="AC135" s="348"/>
      <c r="AD135" s="348"/>
      <c r="AE135" s="348"/>
      <c r="AG135" s="348"/>
      <c r="AH135" s="348"/>
      <c r="AI135" s="348"/>
      <c r="AJ135" s="348"/>
      <c r="AK135" s="348"/>
      <c r="AL135" s="348"/>
      <c r="AM135" s="348"/>
      <c r="AN135" s="348"/>
      <c r="AO135" s="348"/>
      <c r="AP135" s="348"/>
      <c r="AQ135" s="348"/>
      <c r="AR135" s="348"/>
      <c r="AS135" s="348"/>
      <c r="AT135" s="348"/>
      <c r="AV135" s="526"/>
      <c r="AW135" s="534"/>
      <c r="AX135" s="534"/>
      <c r="AY135" s="9"/>
      <c r="AZ135" s="48"/>
      <c r="BA135" s="348"/>
      <c r="BB135" s="348"/>
      <c r="BC135" s="348"/>
      <c r="BD135" s="348"/>
      <c r="BE135" s="348"/>
    </row>
    <row r="136" spans="8:57" x14ac:dyDescent="0.2">
      <c r="H136" s="531"/>
      <c r="I136" s="4"/>
      <c r="J136" s="4"/>
      <c r="L136" s="4"/>
      <c r="R136" s="348"/>
      <c r="S136" s="348"/>
      <c r="T136" s="348"/>
      <c r="U136" s="348"/>
      <c r="W136" s="348"/>
      <c r="X136" s="348"/>
      <c r="Y136" s="348"/>
      <c r="Z136" s="348"/>
      <c r="AA136" s="525"/>
      <c r="AB136" s="348"/>
      <c r="AC136" s="348"/>
      <c r="AD136" s="348"/>
      <c r="AE136" s="348"/>
      <c r="AG136" s="348"/>
      <c r="AH136" s="348"/>
      <c r="AI136" s="348"/>
      <c r="AJ136" s="348"/>
      <c r="AK136" s="348"/>
      <c r="AL136" s="348"/>
      <c r="AM136" s="348"/>
      <c r="AN136" s="348"/>
      <c r="AO136" s="348"/>
      <c r="AP136" s="348"/>
      <c r="AQ136" s="348"/>
      <c r="AR136" s="348"/>
      <c r="AS136" s="348"/>
      <c r="AT136" s="348"/>
      <c r="AV136" s="526"/>
      <c r="AW136" s="534"/>
      <c r="AX136" s="534"/>
      <c r="AY136" s="9"/>
      <c r="AZ136" s="48"/>
      <c r="BA136" s="348"/>
      <c r="BB136" s="348"/>
      <c r="BC136" s="348"/>
      <c r="BD136" s="348"/>
      <c r="BE136" s="348"/>
    </row>
    <row r="137" spans="8:57" x14ac:dyDescent="0.2">
      <c r="H137" s="531"/>
      <c r="I137" s="4"/>
      <c r="J137" s="4"/>
      <c r="L137" s="4"/>
      <c r="R137" s="348"/>
      <c r="S137" s="348"/>
      <c r="T137" s="348"/>
      <c r="U137" s="348"/>
      <c r="W137" s="348"/>
      <c r="X137" s="348"/>
      <c r="Y137" s="348"/>
      <c r="Z137" s="348"/>
      <c r="AA137" s="525"/>
      <c r="AB137" s="348"/>
      <c r="AC137" s="348"/>
      <c r="AD137" s="348"/>
      <c r="AE137" s="348"/>
      <c r="AG137" s="348"/>
      <c r="AH137" s="348"/>
      <c r="AI137" s="348"/>
      <c r="AJ137" s="348"/>
      <c r="AK137" s="348"/>
      <c r="AL137" s="348"/>
      <c r="AM137" s="348"/>
      <c r="AN137" s="348"/>
      <c r="AO137" s="348"/>
      <c r="AP137" s="348"/>
      <c r="AQ137" s="348"/>
      <c r="AR137" s="348"/>
      <c r="AS137" s="348"/>
      <c r="AT137" s="348"/>
      <c r="AV137" s="526"/>
      <c r="AW137" s="534"/>
      <c r="AX137" s="534"/>
      <c r="AY137" s="9"/>
      <c r="AZ137" s="48"/>
      <c r="BA137" s="348"/>
      <c r="BB137" s="348"/>
      <c r="BC137" s="348"/>
      <c r="BD137" s="348"/>
      <c r="BE137" s="348"/>
    </row>
    <row r="138" spans="8:57" x14ac:dyDescent="0.2">
      <c r="H138" s="531"/>
      <c r="I138" s="4"/>
      <c r="J138" s="4"/>
      <c r="L138" s="4"/>
      <c r="R138" s="348"/>
      <c r="S138" s="348"/>
      <c r="T138" s="348"/>
      <c r="U138" s="348"/>
      <c r="W138" s="348"/>
      <c r="X138" s="348"/>
      <c r="Y138" s="348"/>
      <c r="Z138" s="348"/>
      <c r="AA138" s="525"/>
      <c r="AB138" s="348"/>
      <c r="AC138" s="348"/>
      <c r="AD138" s="348"/>
      <c r="AE138" s="348"/>
      <c r="AG138" s="348"/>
      <c r="AH138" s="348"/>
      <c r="AI138" s="348"/>
      <c r="AJ138" s="348"/>
      <c r="AK138" s="348"/>
      <c r="AL138" s="348"/>
      <c r="AM138" s="348"/>
      <c r="AN138" s="348"/>
      <c r="AO138" s="348"/>
      <c r="AP138" s="348"/>
      <c r="AQ138" s="348"/>
      <c r="AR138" s="348"/>
      <c r="AS138" s="348"/>
      <c r="AT138" s="348"/>
      <c r="AV138" s="526"/>
      <c r="AW138" s="534"/>
      <c r="AX138" s="534"/>
      <c r="AY138" s="9"/>
      <c r="AZ138" s="48"/>
      <c r="BA138" s="348"/>
      <c r="BB138" s="348"/>
      <c r="BC138" s="348"/>
      <c r="BD138" s="348"/>
      <c r="BE138" s="348"/>
    </row>
    <row r="139" spans="8:57" x14ac:dyDescent="0.2">
      <c r="H139" s="531"/>
      <c r="I139" s="4"/>
      <c r="J139" s="4"/>
      <c r="L139" s="4"/>
      <c r="R139" s="348"/>
      <c r="S139" s="348"/>
      <c r="T139" s="348"/>
      <c r="U139" s="348"/>
      <c r="W139" s="348"/>
      <c r="X139" s="348"/>
      <c r="Y139" s="348"/>
      <c r="Z139" s="348"/>
      <c r="AA139" s="525"/>
      <c r="AB139" s="348"/>
      <c r="AC139" s="348"/>
      <c r="AD139" s="348"/>
      <c r="AE139" s="348"/>
      <c r="AG139" s="348"/>
      <c r="AH139" s="348"/>
      <c r="AI139" s="348"/>
      <c r="AJ139" s="348"/>
      <c r="AK139" s="348"/>
      <c r="AL139" s="348"/>
      <c r="AM139" s="348"/>
      <c r="AN139" s="348"/>
      <c r="AO139" s="348"/>
      <c r="AP139" s="348"/>
      <c r="AQ139" s="348"/>
      <c r="AR139" s="348"/>
      <c r="AS139" s="348"/>
      <c r="AT139" s="348"/>
      <c r="AV139" s="526"/>
      <c r="AW139" s="534"/>
      <c r="AX139" s="534"/>
      <c r="AY139" s="9"/>
      <c r="AZ139" s="48"/>
      <c r="BA139" s="348"/>
      <c r="BB139" s="348"/>
      <c r="BC139" s="348"/>
      <c r="BD139" s="348"/>
      <c r="BE139" s="348"/>
    </row>
    <row r="140" spans="8:57" x14ac:dyDescent="0.2">
      <c r="H140" s="531"/>
      <c r="I140" s="4"/>
      <c r="J140" s="4"/>
      <c r="L140" s="4"/>
      <c r="R140" s="348"/>
      <c r="S140" s="348"/>
      <c r="T140" s="348"/>
      <c r="U140" s="348"/>
      <c r="W140" s="348"/>
      <c r="X140" s="348"/>
      <c r="Y140" s="348"/>
      <c r="Z140" s="348"/>
      <c r="AA140" s="525"/>
      <c r="AB140" s="348"/>
      <c r="AC140" s="348"/>
      <c r="AD140" s="348"/>
      <c r="AE140" s="348"/>
      <c r="AG140" s="348"/>
      <c r="AH140" s="348"/>
      <c r="AI140" s="348"/>
      <c r="AJ140" s="348"/>
      <c r="AK140" s="348"/>
      <c r="AL140" s="348"/>
      <c r="AM140" s="348"/>
      <c r="AN140" s="348"/>
      <c r="AO140" s="348"/>
      <c r="AP140" s="348"/>
      <c r="AQ140" s="348"/>
      <c r="AR140" s="348"/>
      <c r="AS140" s="348"/>
      <c r="AT140" s="348"/>
      <c r="AV140" s="526"/>
      <c r="AW140" s="534"/>
      <c r="AX140" s="534"/>
      <c r="AY140" s="9"/>
      <c r="AZ140" s="48"/>
      <c r="BA140" s="348"/>
      <c r="BB140" s="348"/>
      <c r="BC140" s="348"/>
      <c r="BD140" s="348"/>
      <c r="BE140" s="348"/>
    </row>
    <row r="141" spans="8:57" x14ac:dyDescent="0.2">
      <c r="H141" s="531"/>
      <c r="I141" s="4"/>
      <c r="J141" s="4"/>
      <c r="L141" s="4"/>
      <c r="R141" s="348"/>
      <c r="S141" s="348"/>
      <c r="T141" s="348"/>
      <c r="U141" s="348"/>
      <c r="W141" s="348"/>
      <c r="X141" s="348"/>
      <c r="Y141" s="348"/>
      <c r="Z141" s="348"/>
      <c r="AA141" s="525"/>
      <c r="AB141" s="348"/>
      <c r="AC141" s="348"/>
      <c r="AD141" s="348"/>
      <c r="AE141" s="348"/>
      <c r="AG141" s="348"/>
      <c r="AH141" s="348"/>
      <c r="AI141" s="348"/>
      <c r="AJ141" s="348"/>
      <c r="AK141" s="348"/>
      <c r="AL141" s="348"/>
      <c r="AM141" s="348"/>
      <c r="AN141" s="348"/>
      <c r="AO141" s="348"/>
      <c r="AP141" s="348"/>
      <c r="AQ141" s="348"/>
      <c r="AR141" s="348"/>
      <c r="AS141" s="348"/>
      <c r="AT141" s="348"/>
      <c r="AV141" s="526"/>
      <c r="AW141" s="534"/>
      <c r="AX141" s="534"/>
      <c r="AY141" s="9"/>
      <c r="AZ141" s="48"/>
      <c r="BA141" s="348"/>
      <c r="BB141" s="348"/>
      <c r="BC141" s="348"/>
      <c r="BD141" s="348"/>
      <c r="BE141" s="348"/>
    </row>
    <row r="142" spans="8:57" x14ac:dyDescent="0.2">
      <c r="H142" s="531"/>
      <c r="I142" s="4"/>
      <c r="J142" s="4"/>
      <c r="L142" s="4"/>
      <c r="R142" s="348"/>
      <c r="S142" s="348"/>
      <c r="T142" s="348"/>
      <c r="U142" s="348"/>
      <c r="W142" s="348"/>
      <c r="X142" s="348"/>
      <c r="Y142" s="348"/>
      <c r="Z142" s="348"/>
      <c r="AA142" s="525"/>
      <c r="AB142" s="348"/>
      <c r="AC142" s="348"/>
      <c r="AD142" s="348"/>
      <c r="AE142" s="348"/>
      <c r="AG142" s="348"/>
      <c r="AH142" s="348"/>
      <c r="AI142" s="348"/>
      <c r="AJ142" s="348"/>
      <c r="AK142" s="348"/>
      <c r="AL142" s="348"/>
      <c r="AM142" s="348"/>
      <c r="AN142" s="348"/>
      <c r="AO142" s="348"/>
      <c r="AP142" s="348"/>
      <c r="AQ142" s="348"/>
      <c r="AR142" s="348"/>
      <c r="AS142" s="348"/>
      <c r="AT142" s="348"/>
      <c r="AV142" s="526"/>
      <c r="AW142" s="534"/>
      <c r="AX142" s="534"/>
      <c r="AY142" s="9"/>
      <c r="AZ142" s="48"/>
      <c r="BA142" s="348"/>
      <c r="BB142" s="348"/>
      <c r="BC142" s="348"/>
      <c r="BD142" s="348"/>
      <c r="BE142" s="348"/>
    </row>
    <row r="143" spans="8:57" x14ac:dyDescent="0.2">
      <c r="H143" s="531"/>
      <c r="I143" s="4"/>
      <c r="J143" s="4"/>
      <c r="L143" s="4"/>
      <c r="R143" s="348"/>
      <c r="S143" s="348"/>
      <c r="T143" s="348"/>
      <c r="U143" s="348"/>
      <c r="W143" s="348"/>
      <c r="X143" s="348"/>
      <c r="Y143" s="348"/>
      <c r="Z143" s="348"/>
      <c r="AA143" s="525"/>
      <c r="AB143" s="348"/>
      <c r="AC143" s="348"/>
      <c r="AD143" s="348"/>
      <c r="AE143" s="348"/>
      <c r="AG143" s="348"/>
      <c r="AH143" s="348"/>
      <c r="AI143" s="348"/>
      <c r="AJ143" s="348"/>
      <c r="AK143" s="348"/>
      <c r="AL143" s="348"/>
      <c r="AM143" s="348"/>
      <c r="AN143" s="348"/>
      <c r="AO143" s="348"/>
      <c r="AP143" s="348"/>
      <c r="AQ143" s="348"/>
      <c r="AR143" s="348"/>
      <c r="AS143" s="348"/>
      <c r="AT143" s="348"/>
      <c r="AV143" s="526"/>
      <c r="AW143" s="534"/>
      <c r="AX143" s="534"/>
      <c r="AY143" s="9"/>
      <c r="AZ143" s="48"/>
      <c r="BA143" s="348"/>
      <c r="BB143" s="348"/>
      <c r="BC143" s="348"/>
      <c r="BD143" s="348"/>
      <c r="BE143" s="348"/>
    </row>
    <row r="144" spans="8:57" x14ac:dyDescent="0.2">
      <c r="H144" s="531"/>
      <c r="I144" s="4"/>
      <c r="J144" s="4"/>
      <c r="L144" s="4"/>
      <c r="R144" s="348"/>
      <c r="S144" s="348"/>
      <c r="T144" s="348"/>
      <c r="U144" s="348"/>
      <c r="W144" s="348"/>
      <c r="X144" s="348"/>
      <c r="Y144" s="348"/>
      <c r="Z144" s="348"/>
      <c r="AA144" s="525"/>
      <c r="AB144" s="348"/>
      <c r="AC144" s="348"/>
      <c r="AD144" s="348"/>
      <c r="AE144" s="348"/>
      <c r="AG144" s="348"/>
      <c r="AH144" s="348"/>
      <c r="AI144" s="348"/>
      <c r="AJ144" s="348"/>
      <c r="AK144" s="348"/>
      <c r="AL144" s="348"/>
      <c r="AM144" s="348"/>
      <c r="AN144" s="348"/>
      <c r="AO144" s="348"/>
      <c r="AP144" s="348"/>
      <c r="AQ144" s="348"/>
      <c r="AR144" s="348"/>
      <c r="AS144" s="348"/>
      <c r="AT144" s="348"/>
      <c r="AV144" s="526"/>
      <c r="AW144" s="534"/>
      <c r="AX144" s="534"/>
      <c r="AY144" s="9"/>
      <c r="AZ144" s="48"/>
      <c r="BA144" s="348"/>
      <c r="BB144" s="348"/>
      <c r="BC144" s="348"/>
      <c r="BD144" s="348"/>
      <c r="BE144" s="348"/>
    </row>
    <row r="145" spans="8:57" x14ac:dyDescent="0.2">
      <c r="H145" s="531"/>
      <c r="I145" s="4"/>
      <c r="J145" s="4"/>
      <c r="L145" s="4"/>
      <c r="R145" s="348"/>
      <c r="S145" s="348"/>
      <c r="T145" s="348"/>
      <c r="U145" s="348"/>
      <c r="W145" s="348"/>
      <c r="X145" s="348"/>
      <c r="Y145" s="348"/>
      <c r="Z145" s="348"/>
      <c r="AA145" s="525"/>
      <c r="AB145" s="348"/>
      <c r="AC145" s="348"/>
      <c r="AD145" s="348"/>
      <c r="AE145" s="348"/>
      <c r="AG145" s="348"/>
      <c r="AH145" s="348"/>
      <c r="AI145" s="348"/>
      <c r="AJ145" s="348"/>
      <c r="AK145" s="348"/>
      <c r="AL145" s="348"/>
      <c r="AM145" s="348"/>
      <c r="AN145" s="348"/>
      <c r="AO145" s="348"/>
      <c r="AP145" s="348"/>
      <c r="AQ145" s="348"/>
      <c r="AR145" s="348"/>
      <c r="AS145" s="348"/>
      <c r="AT145" s="348"/>
      <c r="AV145" s="526"/>
      <c r="AW145" s="534"/>
      <c r="AX145" s="534"/>
      <c r="AY145" s="9"/>
      <c r="AZ145" s="48"/>
      <c r="BA145" s="348"/>
      <c r="BB145" s="348"/>
      <c r="BC145" s="348"/>
      <c r="BD145" s="348"/>
      <c r="BE145" s="348"/>
    </row>
    <row r="146" spans="8:57" x14ac:dyDescent="0.2">
      <c r="H146" s="531"/>
      <c r="I146" s="4"/>
      <c r="J146" s="4"/>
      <c r="L146" s="4"/>
      <c r="R146" s="348"/>
      <c r="S146" s="348"/>
      <c r="T146" s="348"/>
      <c r="U146" s="348"/>
      <c r="W146" s="348"/>
      <c r="X146" s="348"/>
      <c r="Y146" s="348"/>
      <c r="Z146" s="348"/>
      <c r="AA146" s="525"/>
      <c r="AB146" s="348"/>
      <c r="AC146" s="348"/>
      <c r="AD146" s="348"/>
      <c r="AE146" s="348"/>
      <c r="AG146" s="348"/>
      <c r="AH146" s="348"/>
      <c r="AI146" s="348"/>
      <c r="AJ146" s="348"/>
      <c r="AK146" s="348"/>
      <c r="AL146" s="348"/>
      <c r="AM146" s="348"/>
      <c r="AN146" s="348"/>
      <c r="AO146" s="348"/>
      <c r="AP146" s="348"/>
      <c r="AQ146" s="348"/>
      <c r="AR146" s="348"/>
      <c r="AS146" s="348"/>
      <c r="AT146" s="348"/>
      <c r="AV146" s="526"/>
      <c r="AW146" s="534"/>
      <c r="AX146" s="534"/>
      <c r="AY146" s="9"/>
      <c r="AZ146" s="48"/>
      <c r="BA146" s="348"/>
      <c r="BB146" s="348"/>
      <c r="BC146" s="348"/>
      <c r="BD146" s="348"/>
      <c r="BE146" s="348"/>
    </row>
    <row r="147" spans="8:57" x14ac:dyDescent="0.2">
      <c r="H147" s="531"/>
      <c r="I147" s="4"/>
      <c r="J147" s="4"/>
      <c r="L147" s="4"/>
      <c r="R147" s="348"/>
      <c r="S147" s="348"/>
      <c r="T147" s="348"/>
      <c r="U147" s="348"/>
      <c r="W147" s="348"/>
      <c r="X147" s="348"/>
      <c r="Y147" s="348"/>
      <c r="Z147" s="348"/>
      <c r="AA147" s="525"/>
      <c r="AB147" s="348"/>
      <c r="AC147" s="348"/>
      <c r="AD147" s="348"/>
      <c r="AE147" s="348"/>
      <c r="AG147" s="348"/>
      <c r="AH147" s="348"/>
      <c r="AI147" s="348"/>
      <c r="AJ147" s="348"/>
      <c r="AK147" s="348"/>
      <c r="AL147" s="348"/>
      <c r="AM147" s="348"/>
      <c r="AN147" s="348"/>
      <c r="AO147" s="348"/>
      <c r="AP147" s="348"/>
      <c r="AQ147" s="348"/>
      <c r="AR147" s="348"/>
      <c r="AS147" s="348"/>
      <c r="AT147" s="348"/>
      <c r="AV147" s="526"/>
      <c r="AW147" s="534"/>
      <c r="AX147" s="534"/>
      <c r="AY147" s="9"/>
      <c r="AZ147" s="48"/>
      <c r="BA147" s="348"/>
      <c r="BB147" s="348"/>
      <c r="BC147" s="348"/>
      <c r="BD147" s="348"/>
      <c r="BE147" s="348"/>
    </row>
    <row r="148" spans="8:57" x14ac:dyDescent="0.2">
      <c r="H148" s="531"/>
      <c r="I148" s="4"/>
      <c r="J148" s="4"/>
      <c r="L148" s="4"/>
      <c r="R148" s="348"/>
      <c r="S148" s="348"/>
      <c r="T148" s="348"/>
      <c r="U148" s="348"/>
      <c r="W148" s="348"/>
      <c r="X148" s="348"/>
      <c r="Y148" s="348"/>
      <c r="Z148" s="348"/>
      <c r="AA148" s="525"/>
      <c r="AB148" s="348"/>
      <c r="AC148" s="348"/>
      <c r="AD148" s="348"/>
      <c r="AE148" s="348"/>
      <c r="AG148" s="348"/>
      <c r="AH148" s="348"/>
      <c r="AI148" s="348"/>
      <c r="AJ148" s="348"/>
      <c r="AK148" s="348"/>
      <c r="AL148" s="348"/>
      <c r="AM148" s="348"/>
      <c r="AN148" s="348"/>
      <c r="AO148" s="348"/>
      <c r="AP148" s="348"/>
      <c r="AQ148" s="348"/>
      <c r="AR148" s="348"/>
      <c r="AS148" s="348"/>
      <c r="AT148" s="348"/>
      <c r="AV148" s="526"/>
      <c r="AW148" s="534"/>
      <c r="AX148" s="534"/>
      <c r="AY148" s="9"/>
      <c r="AZ148" s="48"/>
      <c r="BA148" s="348"/>
      <c r="BB148" s="348"/>
      <c r="BC148" s="348"/>
      <c r="BD148" s="348"/>
      <c r="BE148" s="348"/>
    </row>
    <row r="149" spans="8:57" x14ac:dyDescent="0.2">
      <c r="H149" s="531"/>
      <c r="I149" s="4"/>
      <c r="J149" s="4"/>
      <c r="L149" s="4"/>
      <c r="R149" s="348"/>
      <c r="S149" s="348"/>
      <c r="T149" s="348"/>
      <c r="U149" s="348"/>
      <c r="W149" s="348"/>
      <c r="X149" s="348"/>
      <c r="Y149" s="348"/>
      <c r="Z149" s="348"/>
      <c r="AA149" s="525"/>
      <c r="AB149" s="348"/>
      <c r="AC149" s="348"/>
      <c r="AD149" s="348"/>
      <c r="AE149" s="348"/>
      <c r="AG149" s="348"/>
      <c r="AH149" s="348"/>
      <c r="AI149" s="348"/>
      <c r="AJ149" s="348"/>
      <c r="AK149" s="348"/>
      <c r="AL149" s="348"/>
      <c r="AM149" s="348"/>
      <c r="AN149" s="348"/>
      <c r="AO149" s="348"/>
      <c r="AP149" s="348"/>
      <c r="AQ149" s="348"/>
      <c r="AR149" s="348"/>
      <c r="AS149" s="348"/>
      <c r="AT149" s="348"/>
      <c r="AV149" s="526"/>
      <c r="AW149" s="534"/>
      <c r="AX149" s="534"/>
      <c r="AY149" s="9"/>
      <c r="AZ149" s="48"/>
      <c r="BA149" s="348"/>
      <c r="BB149" s="348"/>
      <c r="BC149" s="348"/>
      <c r="BD149" s="348"/>
      <c r="BE149" s="348"/>
    </row>
    <row r="150" spans="8:57" x14ac:dyDescent="0.2">
      <c r="H150" s="531"/>
      <c r="I150" s="4"/>
      <c r="J150" s="4"/>
      <c r="L150" s="4"/>
      <c r="R150" s="348"/>
      <c r="S150" s="348"/>
      <c r="T150" s="348"/>
      <c r="U150" s="348"/>
      <c r="W150" s="348"/>
      <c r="X150" s="348"/>
      <c r="Y150" s="348"/>
      <c r="Z150" s="348"/>
      <c r="AA150" s="525"/>
      <c r="AB150" s="348"/>
      <c r="AC150" s="348"/>
      <c r="AD150" s="348"/>
      <c r="AE150" s="348"/>
      <c r="AG150" s="348"/>
      <c r="AH150" s="348"/>
      <c r="AI150" s="348"/>
      <c r="AJ150" s="348"/>
      <c r="AK150" s="348"/>
      <c r="AL150" s="348"/>
      <c r="AM150" s="348"/>
      <c r="AN150" s="348"/>
      <c r="AO150" s="348"/>
      <c r="AP150" s="348"/>
      <c r="AQ150" s="348"/>
      <c r="AR150" s="348"/>
      <c r="AS150" s="348"/>
      <c r="AT150" s="348"/>
      <c r="AV150" s="526"/>
      <c r="AW150" s="534"/>
      <c r="AX150" s="534"/>
      <c r="AY150" s="9"/>
      <c r="AZ150" s="48"/>
      <c r="BA150" s="348"/>
      <c r="BB150" s="348"/>
      <c r="BC150" s="348"/>
      <c r="BD150" s="348"/>
      <c r="BE150" s="348"/>
    </row>
    <row r="151" spans="8:57" x14ac:dyDescent="0.2">
      <c r="H151" s="531"/>
      <c r="I151" s="4"/>
      <c r="J151" s="4"/>
      <c r="L151" s="4"/>
      <c r="R151" s="348"/>
      <c r="S151" s="348"/>
      <c r="T151" s="348"/>
      <c r="U151" s="348"/>
      <c r="W151" s="348"/>
      <c r="X151" s="348"/>
      <c r="Y151" s="348"/>
      <c r="Z151" s="348"/>
      <c r="AA151" s="525"/>
      <c r="AB151" s="348"/>
      <c r="AC151" s="348"/>
      <c r="AD151" s="348"/>
      <c r="AE151" s="348"/>
      <c r="AG151" s="348"/>
      <c r="AH151" s="348"/>
      <c r="AI151" s="348"/>
      <c r="AJ151" s="348"/>
      <c r="AK151" s="348"/>
      <c r="AL151" s="348"/>
      <c r="AM151" s="348"/>
      <c r="AN151" s="348"/>
      <c r="AO151" s="348"/>
      <c r="AP151" s="348"/>
      <c r="AQ151" s="348"/>
      <c r="AR151" s="348"/>
      <c r="AS151" s="348"/>
      <c r="AT151" s="348"/>
      <c r="AV151" s="526"/>
      <c r="AW151" s="534"/>
      <c r="AX151" s="534"/>
      <c r="AY151" s="9"/>
      <c r="AZ151" s="48"/>
      <c r="BA151" s="348"/>
      <c r="BB151" s="348"/>
      <c r="BC151" s="348"/>
      <c r="BD151" s="348"/>
      <c r="BE151" s="348"/>
    </row>
    <row r="152" spans="8:57" x14ac:dyDescent="0.2">
      <c r="H152" s="531"/>
      <c r="I152" s="4"/>
      <c r="J152" s="4"/>
      <c r="L152" s="4"/>
      <c r="R152" s="348"/>
      <c r="S152" s="348"/>
      <c r="T152" s="348"/>
      <c r="U152" s="348"/>
      <c r="W152" s="348"/>
      <c r="X152" s="348"/>
      <c r="Y152" s="348"/>
      <c r="Z152" s="348"/>
      <c r="AA152" s="525"/>
      <c r="AB152" s="348"/>
      <c r="AC152" s="348"/>
      <c r="AD152" s="348"/>
      <c r="AE152" s="348"/>
      <c r="AG152" s="348"/>
      <c r="AH152" s="348"/>
      <c r="AI152" s="348"/>
      <c r="AJ152" s="348"/>
      <c r="AK152" s="348"/>
      <c r="AL152" s="348"/>
      <c r="AM152" s="348"/>
      <c r="AN152" s="348"/>
      <c r="AO152" s="348"/>
      <c r="AP152" s="348"/>
      <c r="AQ152" s="348"/>
      <c r="AR152" s="348"/>
      <c r="AS152" s="348"/>
      <c r="AT152" s="348"/>
      <c r="AV152" s="526"/>
      <c r="AW152" s="534"/>
      <c r="AX152" s="534"/>
      <c r="AY152" s="9"/>
      <c r="AZ152" s="48"/>
      <c r="BA152" s="348"/>
      <c r="BB152" s="348"/>
      <c r="BC152" s="348"/>
      <c r="BD152" s="348"/>
      <c r="BE152" s="348"/>
    </row>
    <row r="153" spans="8:57" x14ac:dyDescent="0.2">
      <c r="H153" s="531"/>
      <c r="I153" s="4"/>
      <c r="J153" s="4"/>
      <c r="L153" s="4"/>
      <c r="R153" s="348"/>
      <c r="S153" s="348"/>
      <c r="T153" s="348"/>
      <c r="U153" s="348"/>
      <c r="W153" s="348"/>
      <c r="X153" s="348"/>
      <c r="Y153" s="348"/>
      <c r="Z153" s="348"/>
      <c r="AA153" s="525"/>
      <c r="AB153" s="348"/>
      <c r="AC153" s="348"/>
      <c r="AD153" s="348"/>
      <c r="AE153" s="348"/>
      <c r="AG153" s="348"/>
      <c r="AH153" s="348"/>
      <c r="AI153" s="348"/>
      <c r="AJ153" s="348"/>
      <c r="AK153" s="348"/>
      <c r="AL153" s="348"/>
      <c r="AM153" s="348"/>
      <c r="AN153" s="348"/>
      <c r="AO153" s="348"/>
      <c r="AP153" s="348"/>
      <c r="AQ153" s="348"/>
      <c r="AR153" s="348"/>
      <c r="AS153" s="348"/>
      <c r="AT153" s="348"/>
      <c r="AV153" s="526"/>
      <c r="AW153" s="534"/>
      <c r="AX153" s="534"/>
      <c r="AY153" s="9"/>
      <c r="AZ153" s="48"/>
      <c r="BA153" s="348"/>
      <c r="BB153" s="348"/>
      <c r="BC153" s="348"/>
      <c r="BD153" s="348"/>
      <c r="BE153" s="348"/>
    </row>
    <row r="154" spans="8:57" x14ac:dyDescent="0.2">
      <c r="H154" s="531"/>
      <c r="I154" s="4"/>
      <c r="J154" s="4"/>
      <c r="L154" s="4"/>
      <c r="R154" s="348"/>
      <c r="S154" s="348"/>
      <c r="T154" s="348"/>
      <c r="U154" s="348"/>
      <c r="W154" s="348"/>
      <c r="X154" s="348"/>
      <c r="Y154" s="348"/>
      <c r="Z154" s="348"/>
      <c r="AA154" s="525"/>
      <c r="AB154" s="348"/>
      <c r="AC154" s="348"/>
      <c r="AD154" s="348"/>
      <c r="AE154" s="348"/>
      <c r="AG154" s="348"/>
      <c r="AH154" s="348"/>
      <c r="AI154" s="348"/>
      <c r="AJ154" s="348"/>
      <c r="AK154" s="348"/>
      <c r="AL154" s="348"/>
      <c r="AM154" s="348"/>
      <c r="AN154" s="348"/>
      <c r="AO154" s="348"/>
      <c r="AP154" s="348"/>
      <c r="AQ154" s="348"/>
      <c r="AR154" s="348"/>
      <c r="AS154" s="348"/>
      <c r="AT154" s="348"/>
      <c r="AV154" s="526"/>
      <c r="AW154" s="534"/>
      <c r="AX154" s="534"/>
      <c r="AY154" s="9"/>
      <c r="AZ154" s="48"/>
      <c r="BA154" s="348"/>
      <c r="BB154" s="348"/>
      <c r="BC154" s="348"/>
      <c r="BD154" s="348"/>
      <c r="BE154" s="348"/>
    </row>
    <row r="155" spans="8:57" x14ac:dyDescent="0.2">
      <c r="H155" s="531"/>
      <c r="I155" s="4"/>
      <c r="J155" s="4"/>
      <c r="L155" s="4"/>
      <c r="R155" s="348"/>
      <c r="S155" s="348"/>
      <c r="T155" s="348"/>
      <c r="U155" s="348"/>
      <c r="W155" s="348"/>
      <c r="X155" s="348"/>
      <c r="Y155" s="348"/>
      <c r="Z155" s="348"/>
      <c r="AA155" s="525"/>
      <c r="AB155" s="348"/>
      <c r="AC155" s="348"/>
      <c r="AD155" s="348"/>
      <c r="AE155" s="348"/>
      <c r="AG155" s="348"/>
      <c r="AH155" s="348"/>
      <c r="AI155" s="348"/>
      <c r="AJ155" s="348"/>
      <c r="AK155" s="348"/>
      <c r="AL155" s="348"/>
      <c r="AM155" s="348"/>
      <c r="AN155" s="348"/>
      <c r="AO155" s="348"/>
      <c r="AP155" s="348"/>
      <c r="AQ155" s="348"/>
      <c r="AR155" s="348"/>
      <c r="AS155" s="348"/>
      <c r="AT155" s="348"/>
      <c r="AV155" s="526"/>
      <c r="AW155" s="534"/>
      <c r="AX155" s="534"/>
      <c r="AY155" s="9"/>
      <c r="AZ155" s="48"/>
      <c r="BA155" s="348"/>
      <c r="BB155" s="348"/>
      <c r="BC155" s="348"/>
      <c r="BD155" s="348"/>
      <c r="BE155" s="348"/>
    </row>
    <row r="156" spans="8:57" x14ac:dyDescent="0.2">
      <c r="H156" s="531"/>
      <c r="I156" s="4"/>
      <c r="J156" s="4"/>
      <c r="L156" s="4"/>
      <c r="R156" s="348"/>
      <c r="S156" s="348"/>
      <c r="T156" s="348"/>
      <c r="U156" s="348"/>
      <c r="W156" s="348"/>
      <c r="X156" s="348"/>
      <c r="Y156" s="348"/>
      <c r="Z156" s="348"/>
      <c r="AA156" s="525"/>
      <c r="AB156" s="348"/>
      <c r="AC156" s="348"/>
      <c r="AD156" s="348"/>
      <c r="AE156" s="348"/>
      <c r="AG156" s="348"/>
      <c r="AH156" s="348"/>
      <c r="AI156" s="348"/>
      <c r="AJ156" s="348"/>
      <c r="AK156" s="348"/>
      <c r="AL156" s="348"/>
      <c r="AM156" s="348"/>
      <c r="AN156" s="348"/>
      <c r="AO156" s="348"/>
      <c r="AP156" s="348"/>
      <c r="AQ156" s="348"/>
      <c r="AR156" s="348"/>
      <c r="AS156" s="348"/>
      <c r="AT156" s="348"/>
      <c r="AV156" s="526"/>
      <c r="AW156" s="534"/>
      <c r="AX156" s="534"/>
      <c r="AY156" s="9"/>
      <c r="AZ156" s="48"/>
      <c r="BA156" s="348"/>
      <c r="BB156" s="348"/>
      <c r="BC156" s="348"/>
      <c r="BD156" s="348"/>
      <c r="BE156" s="348"/>
    </row>
    <row r="157" spans="8:57" x14ac:dyDescent="0.2">
      <c r="H157" s="531"/>
      <c r="I157" s="4"/>
      <c r="J157" s="4"/>
      <c r="L157" s="4"/>
      <c r="R157" s="348"/>
      <c r="S157" s="348"/>
      <c r="T157" s="348"/>
      <c r="U157" s="348"/>
      <c r="W157" s="348"/>
      <c r="X157" s="348"/>
      <c r="Y157" s="348"/>
      <c r="Z157" s="348"/>
      <c r="AA157" s="525"/>
      <c r="AB157" s="348"/>
      <c r="AC157" s="348"/>
      <c r="AD157" s="348"/>
      <c r="AE157" s="348"/>
      <c r="AG157" s="348"/>
      <c r="AH157" s="348"/>
      <c r="AI157" s="348"/>
      <c r="AJ157" s="348"/>
      <c r="AK157" s="348"/>
      <c r="AL157" s="348"/>
      <c r="AM157" s="348"/>
      <c r="AN157" s="348"/>
      <c r="AO157" s="348"/>
      <c r="AP157" s="348"/>
      <c r="AQ157" s="348"/>
      <c r="AR157" s="348"/>
      <c r="AS157" s="348"/>
      <c r="AT157" s="348"/>
      <c r="AV157" s="526"/>
      <c r="AW157" s="534"/>
      <c r="AX157" s="534"/>
      <c r="AY157" s="9"/>
      <c r="AZ157" s="48"/>
      <c r="BA157" s="348"/>
      <c r="BB157" s="348"/>
      <c r="BC157" s="348"/>
      <c r="BD157" s="348"/>
      <c r="BE157" s="348"/>
    </row>
    <row r="158" spans="8:57" x14ac:dyDescent="0.2">
      <c r="H158" s="531"/>
      <c r="I158" s="4"/>
      <c r="J158" s="4"/>
      <c r="L158" s="4"/>
      <c r="R158" s="348"/>
      <c r="S158" s="348"/>
      <c r="T158" s="348"/>
      <c r="U158" s="348"/>
      <c r="W158" s="348"/>
      <c r="X158" s="348"/>
      <c r="Y158" s="348"/>
      <c r="Z158" s="348"/>
      <c r="AA158" s="525"/>
      <c r="AB158" s="348"/>
      <c r="AC158" s="348"/>
      <c r="AD158" s="348"/>
      <c r="AE158" s="348"/>
      <c r="AG158" s="348"/>
      <c r="AH158" s="348"/>
      <c r="AI158" s="348"/>
      <c r="AJ158" s="348"/>
      <c r="AK158" s="348"/>
      <c r="AL158" s="348"/>
      <c r="AM158" s="348"/>
      <c r="AN158" s="348"/>
      <c r="AO158" s="348"/>
      <c r="AP158" s="348"/>
      <c r="AQ158" s="348"/>
      <c r="AR158" s="348"/>
      <c r="AS158" s="348"/>
      <c r="AT158" s="348"/>
      <c r="AV158" s="526"/>
      <c r="AW158" s="534"/>
      <c r="AX158" s="534"/>
      <c r="AY158" s="9"/>
      <c r="AZ158" s="48"/>
      <c r="BA158" s="348"/>
      <c r="BB158" s="348"/>
      <c r="BC158" s="348"/>
      <c r="BD158" s="348"/>
      <c r="BE158" s="348"/>
    </row>
    <row r="159" spans="8:57" x14ac:dyDescent="0.2">
      <c r="H159" s="531"/>
      <c r="I159" s="4"/>
      <c r="J159" s="4"/>
      <c r="L159" s="4"/>
      <c r="R159" s="348"/>
      <c r="S159" s="348"/>
      <c r="T159" s="348"/>
      <c r="U159" s="348"/>
      <c r="W159" s="348"/>
      <c r="X159" s="348"/>
      <c r="Y159" s="348"/>
      <c r="Z159" s="348"/>
      <c r="AA159" s="525"/>
      <c r="AB159" s="348"/>
      <c r="AC159" s="348"/>
      <c r="AD159" s="348"/>
      <c r="AE159" s="348"/>
      <c r="AG159" s="348"/>
      <c r="AH159" s="348"/>
      <c r="AI159" s="348"/>
      <c r="AJ159" s="348"/>
      <c r="AK159" s="348"/>
      <c r="AL159" s="348"/>
      <c r="AM159" s="348"/>
      <c r="AN159" s="348"/>
      <c r="AO159" s="348"/>
      <c r="AP159" s="348"/>
      <c r="AQ159" s="348"/>
      <c r="AR159" s="348"/>
      <c r="AS159" s="348"/>
      <c r="AT159" s="348"/>
      <c r="AV159" s="526"/>
      <c r="AW159" s="534"/>
      <c r="AX159" s="534"/>
      <c r="AY159" s="9"/>
      <c r="AZ159" s="48"/>
      <c r="BA159" s="348"/>
      <c r="BB159" s="348"/>
      <c r="BC159" s="348"/>
      <c r="BD159" s="348"/>
      <c r="BE159" s="348"/>
    </row>
    <row r="160" spans="8:57" x14ac:dyDescent="0.2">
      <c r="H160" s="531"/>
      <c r="I160" s="4"/>
      <c r="J160" s="4"/>
      <c r="L160" s="4"/>
      <c r="R160" s="348"/>
      <c r="S160" s="348"/>
      <c r="T160" s="348"/>
      <c r="U160" s="348"/>
      <c r="W160" s="348"/>
      <c r="X160" s="348"/>
      <c r="Y160" s="348"/>
      <c r="Z160" s="348"/>
      <c r="AA160" s="525"/>
      <c r="AB160" s="348"/>
      <c r="AC160" s="348"/>
      <c r="AD160" s="348"/>
      <c r="AE160" s="348"/>
      <c r="AG160" s="348"/>
      <c r="AH160" s="348"/>
      <c r="AI160" s="348"/>
      <c r="AJ160" s="348"/>
      <c r="AK160" s="348"/>
      <c r="AL160" s="348"/>
      <c r="AM160" s="348"/>
      <c r="AN160" s="348"/>
      <c r="AO160" s="348"/>
      <c r="AP160" s="348"/>
      <c r="AQ160" s="348"/>
      <c r="AR160" s="348"/>
      <c r="AS160" s="348"/>
      <c r="AT160" s="348"/>
      <c r="AV160" s="526"/>
      <c r="AW160" s="534"/>
      <c r="AX160" s="534"/>
      <c r="AY160" s="9"/>
      <c r="AZ160" s="48"/>
      <c r="BA160" s="348"/>
      <c r="BB160" s="348"/>
      <c r="BC160" s="348"/>
      <c r="BD160" s="348"/>
      <c r="BE160" s="348"/>
    </row>
    <row r="161" spans="8:57" x14ac:dyDescent="0.2">
      <c r="H161" s="531"/>
      <c r="I161" s="4"/>
      <c r="J161" s="4"/>
      <c r="L161" s="4"/>
      <c r="R161" s="348"/>
      <c r="S161" s="348"/>
      <c r="T161" s="348"/>
      <c r="U161" s="348"/>
      <c r="W161" s="348"/>
      <c r="X161" s="348"/>
      <c r="Y161" s="348"/>
      <c r="Z161" s="348"/>
      <c r="AA161" s="525"/>
      <c r="AB161" s="348"/>
      <c r="AC161" s="348"/>
      <c r="AD161" s="348"/>
      <c r="AE161" s="348"/>
      <c r="AG161" s="348"/>
      <c r="AH161" s="348"/>
      <c r="AI161" s="348"/>
      <c r="AJ161" s="348"/>
      <c r="AK161" s="348"/>
      <c r="AL161" s="348"/>
      <c r="AM161" s="348"/>
      <c r="AN161" s="348"/>
      <c r="AO161" s="348"/>
      <c r="AP161" s="348"/>
      <c r="AQ161" s="348"/>
      <c r="AR161" s="348"/>
      <c r="AS161" s="348"/>
      <c r="AT161" s="348"/>
      <c r="AV161" s="526"/>
      <c r="AW161" s="534"/>
      <c r="AX161" s="534"/>
      <c r="AY161" s="9"/>
      <c r="AZ161" s="48"/>
      <c r="BA161" s="348"/>
      <c r="BB161" s="348"/>
      <c r="BC161" s="348"/>
      <c r="BD161" s="348"/>
      <c r="BE161" s="348"/>
    </row>
    <row r="162" spans="8:57" x14ac:dyDescent="0.2">
      <c r="H162" s="531"/>
      <c r="I162" s="4"/>
      <c r="J162" s="4"/>
      <c r="L162" s="4"/>
      <c r="R162" s="348"/>
      <c r="S162" s="348"/>
      <c r="T162" s="348"/>
      <c r="U162" s="348"/>
      <c r="W162" s="348"/>
      <c r="X162" s="348"/>
      <c r="Y162" s="348"/>
      <c r="Z162" s="348"/>
      <c r="AA162" s="525"/>
      <c r="AB162" s="348"/>
      <c r="AC162" s="348"/>
      <c r="AD162" s="348"/>
      <c r="AE162" s="348"/>
      <c r="AG162" s="348"/>
      <c r="AH162" s="348"/>
      <c r="AI162" s="348"/>
      <c r="AJ162" s="348"/>
      <c r="AK162" s="348"/>
      <c r="AL162" s="348"/>
      <c r="AM162" s="348"/>
      <c r="AN162" s="348"/>
      <c r="AO162" s="348"/>
      <c r="AP162" s="348"/>
      <c r="AQ162" s="348"/>
      <c r="AR162" s="348"/>
      <c r="AS162" s="348"/>
      <c r="AT162" s="348"/>
      <c r="AV162" s="526"/>
      <c r="AW162" s="534"/>
      <c r="AX162" s="534"/>
      <c r="AY162" s="9"/>
      <c r="AZ162" s="48"/>
      <c r="BA162" s="348"/>
      <c r="BB162" s="348"/>
      <c r="BC162" s="348"/>
      <c r="BD162" s="348"/>
      <c r="BE162" s="348"/>
    </row>
    <row r="163" spans="8:57" x14ac:dyDescent="0.2">
      <c r="H163" s="531"/>
      <c r="I163" s="4"/>
      <c r="J163" s="4"/>
      <c r="L163" s="4"/>
      <c r="R163" s="348"/>
      <c r="S163" s="348"/>
      <c r="T163" s="348"/>
      <c r="U163" s="348"/>
      <c r="W163" s="348"/>
      <c r="X163" s="348"/>
      <c r="Y163" s="348"/>
      <c r="Z163" s="348"/>
      <c r="AA163" s="525"/>
      <c r="AB163" s="348"/>
      <c r="AC163" s="348"/>
      <c r="AD163" s="348"/>
      <c r="AE163" s="348"/>
      <c r="AG163" s="348"/>
      <c r="AH163" s="348"/>
      <c r="AI163" s="348"/>
      <c r="AJ163" s="348"/>
      <c r="AK163" s="348"/>
      <c r="AL163" s="348"/>
      <c r="AM163" s="348"/>
      <c r="AN163" s="348"/>
      <c r="AO163" s="348"/>
      <c r="AP163" s="348"/>
      <c r="AQ163" s="348"/>
      <c r="AR163" s="348"/>
      <c r="AS163" s="348"/>
      <c r="AT163" s="348"/>
      <c r="AV163" s="526"/>
      <c r="AW163" s="534"/>
      <c r="AX163" s="534"/>
      <c r="AY163" s="9"/>
      <c r="AZ163" s="48"/>
      <c r="BA163" s="348"/>
      <c r="BB163" s="348"/>
      <c r="BC163" s="348"/>
      <c r="BD163" s="348"/>
      <c r="BE163" s="348"/>
    </row>
    <row r="164" spans="8:57" x14ac:dyDescent="0.2">
      <c r="H164" s="531"/>
      <c r="I164" s="4"/>
      <c r="J164" s="4"/>
      <c r="L164" s="4"/>
      <c r="R164" s="348"/>
      <c r="S164" s="348"/>
      <c r="T164" s="348"/>
      <c r="U164" s="348"/>
      <c r="W164" s="348"/>
      <c r="X164" s="348"/>
      <c r="Y164" s="348"/>
      <c r="Z164" s="348"/>
      <c r="AA164" s="525"/>
      <c r="AB164" s="348"/>
      <c r="AC164" s="348"/>
      <c r="AD164" s="348"/>
      <c r="AE164" s="348"/>
      <c r="AG164" s="348"/>
      <c r="AH164" s="348"/>
      <c r="AI164" s="348"/>
      <c r="AJ164" s="348"/>
      <c r="AK164" s="348"/>
      <c r="AL164" s="348"/>
      <c r="AM164" s="348"/>
      <c r="AN164" s="348"/>
      <c r="AO164" s="348"/>
      <c r="AP164" s="348"/>
      <c r="AQ164" s="348"/>
      <c r="AR164" s="348"/>
      <c r="AS164" s="348"/>
      <c r="AT164" s="348"/>
      <c r="AV164" s="526"/>
      <c r="AW164" s="534"/>
      <c r="AX164" s="534"/>
      <c r="AY164" s="9"/>
      <c r="AZ164" s="48"/>
      <c r="BA164" s="348"/>
      <c r="BB164" s="348"/>
      <c r="BC164" s="348"/>
      <c r="BD164" s="348"/>
      <c r="BE164" s="348"/>
    </row>
    <row r="165" spans="8:57" x14ac:dyDescent="0.2">
      <c r="H165" s="531"/>
      <c r="I165" s="4"/>
      <c r="J165" s="4"/>
      <c r="L165" s="4"/>
      <c r="R165" s="348"/>
      <c r="S165" s="348"/>
      <c r="T165" s="348"/>
      <c r="U165" s="348"/>
      <c r="W165" s="348"/>
      <c r="X165" s="348"/>
      <c r="Y165" s="348"/>
      <c r="Z165" s="348"/>
      <c r="AA165" s="525"/>
      <c r="AB165" s="348"/>
      <c r="AC165" s="348"/>
      <c r="AD165" s="348"/>
      <c r="AE165" s="348"/>
      <c r="AG165" s="348"/>
      <c r="AH165" s="348"/>
      <c r="AI165" s="348"/>
      <c r="AJ165" s="348"/>
      <c r="AK165" s="348"/>
      <c r="AL165" s="348"/>
      <c r="AM165" s="348"/>
      <c r="AN165" s="348"/>
      <c r="AO165" s="348"/>
      <c r="AP165" s="348"/>
      <c r="AQ165" s="348"/>
      <c r="AR165" s="348"/>
      <c r="AS165" s="348"/>
      <c r="AT165" s="348"/>
      <c r="AV165" s="526"/>
      <c r="AW165" s="534"/>
      <c r="AX165" s="534"/>
      <c r="AY165" s="9"/>
      <c r="AZ165" s="48"/>
      <c r="BA165" s="348"/>
      <c r="BB165" s="348"/>
      <c r="BC165" s="348"/>
      <c r="BD165" s="348"/>
      <c r="BE165" s="348"/>
    </row>
    <row r="166" spans="8:57" x14ac:dyDescent="0.2">
      <c r="H166" s="531"/>
      <c r="I166" s="4"/>
      <c r="J166" s="4"/>
      <c r="L166" s="4"/>
      <c r="R166" s="348"/>
      <c r="S166" s="348"/>
      <c r="T166" s="348"/>
      <c r="U166" s="348"/>
      <c r="W166" s="348"/>
      <c r="X166" s="348"/>
      <c r="Y166" s="348"/>
      <c r="Z166" s="348"/>
      <c r="AA166" s="525"/>
      <c r="AB166" s="348"/>
      <c r="AC166" s="348"/>
      <c r="AD166" s="348"/>
      <c r="AE166" s="348"/>
      <c r="AG166" s="348"/>
      <c r="AH166" s="348"/>
      <c r="AI166" s="348"/>
      <c r="AJ166" s="348"/>
      <c r="AK166" s="348"/>
      <c r="AL166" s="348"/>
      <c r="AM166" s="348"/>
      <c r="AN166" s="348"/>
      <c r="AO166" s="348"/>
      <c r="AP166" s="348"/>
      <c r="AQ166" s="348"/>
      <c r="AR166" s="348"/>
      <c r="AS166" s="348"/>
      <c r="AT166" s="348"/>
      <c r="AV166" s="526"/>
      <c r="AW166" s="534"/>
      <c r="AX166" s="534"/>
      <c r="AY166" s="9"/>
      <c r="AZ166" s="48"/>
      <c r="BA166" s="348"/>
      <c r="BB166" s="348"/>
      <c r="BC166" s="348"/>
      <c r="BD166" s="348"/>
      <c r="BE166" s="348"/>
    </row>
    <row r="167" spans="8:57" x14ac:dyDescent="0.2">
      <c r="H167" s="531"/>
      <c r="I167" s="4"/>
      <c r="J167" s="4"/>
      <c r="L167" s="4"/>
      <c r="R167" s="348"/>
      <c r="S167" s="348"/>
      <c r="T167" s="348"/>
      <c r="U167" s="348"/>
      <c r="W167" s="348"/>
      <c r="X167" s="348"/>
      <c r="Y167" s="348"/>
      <c r="Z167" s="348"/>
      <c r="AA167" s="525"/>
      <c r="AB167" s="348"/>
      <c r="AC167" s="348"/>
      <c r="AD167" s="348"/>
      <c r="AE167" s="348"/>
      <c r="AG167" s="348"/>
      <c r="AH167" s="348"/>
      <c r="AI167" s="348"/>
      <c r="AJ167" s="348"/>
      <c r="AK167" s="348"/>
      <c r="AL167" s="348"/>
      <c r="AM167" s="348"/>
      <c r="AN167" s="348"/>
      <c r="AO167" s="348"/>
      <c r="AP167" s="348"/>
      <c r="AQ167" s="348"/>
      <c r="AR167" s="348"/>
      <c r="AS167" s="348"/>
      <c r="AT167" s="348"/>
      <c r="AV167" s="526"/>
      <c r="AW167" s="534"/>
      <c r="AX167" s="534"/>
      <c r="AY167" s="9"/>
      <c r="AZ167" s="48"/>
      <c r="BA167" s="348"/>
      <c r="BB167" s="348"/>
      <c r="BC167" s="348"/>
      <c r="BD167" s="348"/>
      <c r="BE167" s="348"/>
    </row>
    <row r="168" spans="8:57" x14ac:dyDescent="0.2">
      <c r="H168" s="531"/>
      <c r="I168" s="4"/>
      <c r="J168" s="4"/>
      <c r="L168" s="4"/>
      <c r="R168" s="348"/>
      <c r="S168" s="348"/>
      <c r="T168" s="348"/>
      <c r="U168" s="348"/>
      <c r="W168" s="348"/>
      <c r="X168" s="348"/>
      <c r="Y168" s="348"/>
      <c r="Z168" s="348"/>
      <c r="AA168" s="525"/>
      <c r="AB168" s="348"/>
      <c r="AC168" s="348"/>
      <c r="AD168" s="348"/>
      <c r="AE168" s="348"/>
      <c r="AG168" s="348"/>
      <c r="AH168" s="348"/>
      <c r="AI168" s="348"/>
      <c r="AJ168" s="348"/>
      <c r="AK168" s="348"/>
      <c r="AL168" s="348"/>
      <c r="AM168" s="348"/>
      <c r="AN168" s="348"/>
      <c r="AO168" s="348"/>
      <c r="AP168" s="348"/>
      <c r="AQ168" s="348"/>
      <c r="AR168" s="348"/>
      <c r="AS168" s="348"/>
      <c r="AT168" s="348"/>
      <c r="AV168" s="526"/>
      <c r="AW168" s="534"/>
      <c r="AX168" s="534"/>
      <c r="AY168" s="9"/>
      <c r="AZ168" s="48"/>
      <c r="BA168" s="348"/>
      <c r="BB168" s="348"/>
      <c r="BC168" s="348"/>
      <c r="BD168" s="348"/>
      <c r="BE168" s="348"/>
    </row>
    <row r="169" spans="8:57" x14ac:dyDescent="0.2">
      <c r="H169" s="531"/>
      <c r="I169" s="4"/>
      <c r="J169" s="4"/>
      <c r="L169" s="4"/>
      <c r="R169" s="348"/>
      <c r="S169" s="348"/>
      <c r="T169" s="348"/>
      <c r="U169" s="348"/>
      <c r="W169" s="348"/>
      <c r="X169" s="348"/>
      <c r="Y169" s="348"/>
      <c r="Z169" s="348"/>
      <c r="AA169" s="525"/>
      <c r="AB169" s="348"/>
      <c r="AC169" s="348"/>
      <c r="AD169" s="348"/>
      <c r="AE169" s="348"/>
      <c r="AG169" s="348"/>
      <c r="AH169" s="348"/>
      <c r="AI169" s="348"/>
      <c r="AJ169" s="348"/>
      <c r="AK169" s="348"/>
      <c r="AL169" s="348"/>
      <c r="AM169" s="348"/>
      <c r="AN169" s="348"/>
      <c r="AO169" s="348"/>
      <c r="AP169" s="348"/>
      <c r="AQ169" s="348"/>
      <c r="AR169" s="348"/>
      <c r="AS169" s="348"/>
      <c r="AT169" s="348"/>
      <c r="AV169" s="526"/>
      <c r="AW169" s="534"/>
      <c r="AX169" s="534"/>
      <c r="AY169" s="9"/>
      <c r="AZ169" s="48"/>
      <c r="BA169" s="348"/>
      <c r="BB169" s="348"/>
      <c r="BC169" s="348"/>
      <c r="BD169" s="348"/>
      <c r="BE169" s="348"/>
    </row>
    <row r="170" spans="8:57" x14ac:dyDescent="0.2">
      <c r="H170" s="531"/>
      <c r="I170" s="4"/>
      <c r="J170" s="4"/>
      <c r="L170" s="4"/>
      <c r="R170" s="348"/>
      <c r="S170" s="348"/>
      <c r="T170" s="348"/>
      <c r="U170" s="348"/>
      <c r="W170" s="348"/>
      <c r="X170" s="348"/>
      <c r="Y170" s="348"/>
      <c r="Z170" s="348"/>
      <c r="AA170" s="525"/>
      <c r="AB170" s="348"/>
      <c r="AC170" s="348"/>
      <c r="AD170" s="348"/>
      <c r="AE170" s="348"/>
      <c r="AG170" s="348"/>
      <c r="AH170" s="348"/>
      <c r="AI170" s="348"/>
      <c r="AJ170" s="348"/>
      <c r="AK170" s="348"/>
      <c r="AL170" s="348"/>
      <c r="AM170" s="348"/>
      <c r="AN170" s="348"/>
      <c r="AO170" s="348"/>
      <c r="AP170" s="348"/>
      <c r="AQ170" s="348"/>
      <c r="AR170" s="348"/>
      <c r="AS170" s="348"/>
      <c r="AT170" s="348"/>
      <c r="AV170" s="526"/>
      <c r="AW170" s="534"/>
      <c r="AX170" s="534"/>
      <c r="AY170" s="9"/>
      <c r="AZ170" s="48"/>
      <c r="BA170" s="348"/>
      <c r="BB170" s="348"/>
      <c r="BC170" s="348"/>
      <c r="BD170" s="348"/>
      <c r="BE170" s="348"/>
    </row>
    <row r="171" spans="8:57" x14ac:dyDescent="0.2">
      <c r="H171" s="531"/>
      <c r="I171" s="4"/>
      <c r="J171" s="4"/>
      <c r="L171" s="4"/>
      <c r="R171" s="348"/>
      <c r="S171" s="348"/>
      <c r="T171" s="348"/>
      <c r="U171" s="348"/>
      <c r="W171" s="348"/>
      <c r="X171" s="348"/>
      <c r="Y171" s="348"/>
      <c r="Z171" s="348"/>
      <c r="AA171" s="525"/>
      <c r="AB171" s="348"/>
      <c r="AC171" s="348"/>
      <c r="AD171" s="348"/>
      <c r="AE171" s="348"/>
      <c r="AG171" s="348"/>
      <c r="AH171" s="348"/>
      <c r="AI171" s="348"/>
      <c r="AJ171" s="348"/>
      <c r="AK171" s="348"/>
      <c r="AL171" s="348"/>
      <c r="AM171" s="348"/>
      <c r="AN171" s="348"/>
      <c r="AO171" s="348"/>
      <c r="AP171" s="348"/>
      <c r="AQ171" s="348"/>
      <c r="AR171" s="348"/>
      <c r="AS171" s="348"/>
      <c r="AT171" s="348"/>
      <c r="AV171" s="526"/>
      <c r="AW171" s="534"/>
      <c r="AX171" s="534"/>
      <c r="AY171" s="9"/>
      <c r="AZ171" s="48"/>
      <c r="BA171" s="348"/>
      <c r="BB171" s="348"/>
      <c r="BC171" s="348"/>
      <c r="BD171" s="348"/>
      <c r="BE171" s="348"/>
    </row>
    <row r="172" spans="8:57" x14ac:dyDescent="0.2">
      <c r="H172" s="531"/>
      <c r="I172" s="4"/>
      <c r="J172" s="4"/>
      <c r="L172" s="4"/>
      <c r="R172" s="348"/>
      <c r="S172" s="348"/>
      <c r="T172" s="348"/>
      <c r="U172" s="348"/>
      <c r="W172" s="348"/>
      <c r="X172" s="348"/>
      <c r="Y172" s="348"/>
      <c r="Z172" s="348"/>
      <c r="AA172" s="525"/>
      <c r="AB172" s="348"/>
      <c r="AC172" s="348"/>
      <c r="AD172" s="348"/>
      <c r="AE172" s="348"/>
      <c r="AG172" s="348"/>
      <c r="AH172" s="348"/>
      <c r="AI172" s="348"/>
      <c r="AJ172" s="348"/>
      <c r="AK172" s="348"/>
      <c r="AL172" s="348"/>
      <c r="AM172" s="348"/>
      <c r="AN172" s="348"/>
      <c r="AO172" s="348"/>
      <c r="AP172" s="348"/>
      <c r="AQ172" s="348"/>
      <c r="AR172" s="348"/>
      <c r="AS172" s="348"/>
      <c r="AT172" s="348"/>
      <c r="AV172" s="526"/>
      <c r="AW172" s="534"/>
      <c r="AX172" s="534"/>
      <c r="AY172" s="9"/>
      <c r="AZ172" s="48"/>
      <c r="BA172" s="348"/>
      <c r="BB172" s="348"/>
      <c r="BC172" s="348"/>
      <c r="BD172" s="348"/>
      <c r="BE172" s="348"/>
    </row>
    <row r="173" spans="8:57" x14ac:dyDescent="0.2">
      <c r="H173" s="531"/>
      <c r="I173" s="4"/>
      <c r="J173" s="4"/>
      <c r="L173" s="4"/>
      <c r="R173" s="348"/>
      <c r="S173" s="348"/>
      <c r="T173" s="348"/>
      <c r="U173" s="348"/>
      <c r="W173" s="348"/>
      <c r="X173" s="348"/>
      <c r="Y173" s="348"/>
      <c r="Z173" s="348"/>
      <c r="AA173" s="525"/>
      <c r="AB173" s="348"/>
      <c r="AC173" s="348"/>
      <c r="AD173" s="348"/>
      <c r="AE173" s="348"/>
      <c r="AG173" s="348"/>
      <c r="AH173" s="348"/>
      <c r="AI173" s="348"/>
      <c r="AJ173" s="348"/>
      <c r="AK173" s="348"/>
      <c r="AL173" s="348"/>
      <c r="AM173" s="348"/>
      <c r="AN173" s="348"/>
      <c r="AO173" s="348"/>
      <c r="AP173" s="348"/>
      <c r="AQ173" s="348"/>
      <c r="AR173" s="348"/>
      <c r="AS173" s="348"/>
      <c r="AT173" s="348"/>
      <c r="AV173" s="526"/>
      <c r="AW173" s="534"/>
      <c r="AX173" s="534"/>
      <c r="AY173" s="9"/>
      <c r="AZ173" s="48"/>
      <c r="BA173" s="348"/>
      <c r="BB173" s="348"/>
      <c r="BC173" s="348"/>
      <c r="BD173" s="348"/>
      <c r="BE173" s="348"/>
    </row>
    <row r="174" spans="8:57" x14ac:dyDescent="0.2">
      <c r="H174" s="531"/>
      <c r="I174" s="4"/>
      <c r="J174" s="4"/>
      <c r="L174" s="4"/>
      <c r="R174" s="348"/>
      <c r="S174" s="348"/>
      <c r="T174" s="348"/>
      <c r="U174" s="348"/>
      <c r="W174" s="348"/>
      <c r="X174" s="348"/>
      <c r="Y174" s="348"/>
      <c r="Z174" s="348"/>
      <c r="AA174" s="525"/>
      <c r="AB174" s="348"/>
      <c r="AC174" s="348"/>
      <c r="AD174" s="348"/>
      <c r="AE174" s="348"/>
      <c r="AG174" s="348"/>
      <c r="AH174" s="348"/>
      <c r="AI174" s="348"/>
      <c r="AJ174" s="348"/>
      <c r="AK174" s="348"/>
      <c r="AL174" s="348"/>
      <c r="AM174" s="348"/>
      <c r="AN174" s="348"/>
      <c r="AO174" s="348"/>
      <c r="AP174" s="348"/>
      <c r="AQ174" s="348"/>
      <c r="AR174" s="348"/>
      <c r="AS174" s="348"/>
      <c r="AT174" s="348"/>
      <c r="AV174" s="526"/>
      <c r="AW174" s="534"/>
      <c r="AX174" s="534"/>
      <c r="AY174" s="9"/>
      <c r="AZ174" s="48"/>
      <c r="BA174" s="348"/>
      <c r="BB174" s="348"/>
      <c r="BC174" s="348"/>
      <c r="BD174" s="348"/>
      <c r="BE174" s="348"/>
    </row>
    <row r="175" spans="8:57" x14ac:dyDescent="0.2">
      <c r="H175" s="531"/>
      <c r="I175" s="4"/>
      <c r="J175" s="4"/>
      <c r="L175" s="4"/>
      <c r="R175" s="348"/>
      <c r="S175" s="348"/>
      <c r="T175" s="348"/>
      <c r="U175" s="348"/>
      <c r="W175" s="348"/>
      <c r="X175" s="348"/>
      <c r="Y175" s="348"/>
      <c r="Z175" s="348"/>
      <c r="AA175" s="525"/>
      <c r="AB175" s="348"/>
      <c r="AC175" s="348"/>
      <c r="AD175" s="348"/>
      <c r="AE175" s="348"/>
      <c r="AG175" s="348"/>
      <c r="AH175" s="348"/>
      <c r="AI175" s="348"/>
      <c r="AJ175" s="348"/>
      <c r="AK175" s="348"/>
      <c r="AL175" s="348"/>
      <c r="AM175" s="348"/>
      <c r="AN175" s="348"/>
      <c r="AO175" s="348"/>
      <c r="AP175" s="348"/>
      <c r="AQ175" s="348"/>
      <c r="AR175" s="348"/>
      <c r="AS175" s="348"/>
      <c r="AT175" s="348"/>
      <c r="AV175" s="526"/>
      <c r="AW175" s="534"/>
      <c r="AX175" s="534"/>
      <c r="AY175" s="9"/>
      <c r="AZ175" s="48"/>
      <c r="BA175" s="348"/>
      <c r="BB175" s="348"/>
      <c r="BC175" s="348"/>
      <c r="BD175" s="348"/>
      <c r="BE175" s="348"/>
    </row>
    <row r="176" spans="8:57" x14ac:dyDescent="0.2">
      <c r="H176" s="531"/>
      <c r="I176" s="4"/>
      <c r="J176" s="4"/>
      <c r="L176" s="4"/>
      <c r="R176" s="348"/>
      <c r="S176" s="348"/>
      <c r="T176" s="348"/>
      <c r="U176" s="348"/>
      <c r="W176" s="348"/>
      <c r="X176" s="348"/>
      <c r="Y176" s="348"/>
      <c r="Z176" s="348"/>
      <c r="AA176" s="525"/>
      <c r="AB176" s="348"/>
      <c r="AC176" s="348"/>
      <c r="AD176" s="348"/>
      <c r="AE176" s="348"/>
      <c r="AG176" s="348"/>
      <c r="AH176" s="348"/>
      <c r="AI176" s="348"/>
      <c r="AJ176" s="348"/>
      <c r="AK176" s="348"/>
      <c r="AL176" s="348"/>
      <c r="AM176" s="348"/>
      <c r="AN176" s="348"/>
      <c r="AO176" s="348"/>
      <c r="AP176" s="348"/>
      <c r="AQ176" s="348"/>
      <c r="AR176" s="348"/>
      <c r="AS176" s="348"/>
      <c r="AT176" s="348"/>
      <c r="AV176" s="526"/>
      <c r="AW176" s="534"/>
      <c r="AX176" s="534"/>
      <c r="AY176" s="9"/>
      <c r="AZ176" s="48"/>
      <c r="BA176" s="348"/>
      <c r="BB176" s="348"/>
      <c r="BC176" s="348"/>
      <c r="BD176" s="348"/>
      <c r="BE176" s="348"/>
    </row>
    <row r="177" spans="8:57" x14ac:dyDescent="0.2">
      <c r="H177" s="531"/>
      <c r="I177" s="4"/>
      <c r="J177" s="4"/>
      <c r="L177" s="4"/>
      <c r="R177" s="348"/>
      <c r="S177" s="348"/>
      <c r="T177" s="348"/>
      <c r="U177" s="348"/>
      <c r="W177" s="348"/>
      <c r="X177" s="348"/>
      <c r="Y177" s="348"/>
      <c r="Z177" s="348"/>
      <c r="AA177" s="525"/>
      <c r="AB177" s="348"/>
      <c r="AC177" s="348"/>
      <c r="AD177" s="348"/>
      <c r="AE177" s="348"/>
      <c r="AG177" s="348"/>
      <c r="AH177" s="348"/>
      <c r="AI177" s="348"/>
      <c r="AJ177" s="348"/>
      <c r="AK177" s="348"/>
      <c r="AL177" s="348"/>
      <c r="AM177" s="348"/>
      <c r="AN177" s="348"/>
      <c r="AO177" s="348"/>
      <c r="AP177" s="348"/>
      <c r="AQ177" s="348"/>
      <c r="AR177" s="348"/>
      <c r="AS177" s="348"/>
      <c r="AT177" s="348"/>
      <c r="AV177" s="526"/>
      <c r="AW177" s="534"/>
      <c r="AX177" s="534"/>
      <c r="AY177" s="9"/>
      <c r="AZ177" s="48"/>
      <c r="BA177" s="348"/>
      <c r="BB177" s="348"/>
      <c r="BC177" s="348"/>
      <c r="BD177" s="348"/>
      <c r="BE177" s="348"/>
    </row>
    <row r="178" spans="8:57" x14ac:dyDescent="0.2">
      <c r="H178" s="531"/>
      <c r="I178" s="4"/>
      <c r="J178" s="4"/>
      <c r="L178" s="4"/>
      <c r="R178" s="348"/>
      <c r="S178" s="348"/>
      <c r="T178" s="348"/>
      <c r="U178" s="348"/>
      <c r="W178" s="348"/>
      <c r="X178" s="348"/>
      <c r="Y178" s="348"/>
      <c r="Z178" s="348"/>
      <c r="AA178" s="525"/>
      <c r="AB178" s="348"/>
      <c r="AC178" s="348"/>
      <c r="AD178" s="348"/>
      <c r="AE178" s="348"/>
      <c r="AG178" s="348"/>
      <c r="AH178" s="348"/>
      <c r="AI178" s="348"/>
      <c r="AJ178" s="348"/>
      <c r="AK178" s="348"/>
      <c r="AL178" s="348"/>
      <c r="AM178" s="348"/>
      <c r="AN178" s="348"/>
      <c r="AO178" s="348"/>
      <c r="AP178" s="348"/>
      <c r="AQ178" s="348"/>
      <c r="AR178" s="348"/>
      <c r="AS178" s="348"/>
      <c r="AT178" s="348"/>
      <c r="AV178" s="526"/>
      <c r="AW178" s="534"/>
      <c r="AX178" s="534"/>
      <c r="AY178" s="9"/>
      <c r="AZ178" s="48"/>
      <c r="BA178" s="348"/>
      <c r="BB178" s="348"/>
      <c r="BC178" s="348"/>
      <c r="BD178" s="348"/>
      <c r="BE178" s="348"/>
    </row>
    <row r="179" spans="8:57" x14ac:dyDescent="0.2">
      <c r="H179" s="531"/>
      <c r="I179" s="4"/>
      <c r="J179" s="4"/>
      <c r="L179" s="4"/>
      <c r="R179" s="348"/>
      <c r="S179" s="348"/>
      <c r="T179" s="348"/>
      <c r="U179" s="348"/>
      <c r="W179" s="348"/>
      <c r="X179" s="348"/>
      <c r="Y179" s="348"/>
      <c r="Z179" s="348"/>
      <c r="AA179" s="525"/>
      <c r="AB179" s="348"/>
      <c r="AC179" s="348"/>
      <c r="AD179" s="348"/>
      <c r="AE179" s="348"/>
      <c r="AG179" s="348"/>
      <c r="AH179" s="348"/>
      <c r="AI179" s="348"/>
      <c r="AJ179" s="348"/>
      <c r="AK179" s="348"/>
      <c r="AL179" s="348"/>
      <c r="AM179" s="348"/>
      <c r="AN179" s="348"/>
      <c r="AO179" s="348"/>
      <c r="AP179" s="348"/>
      <c r="AQ179" s="348"/>
      <c r="AR179" s="348"/>
      <c r="AS179" s="348"/>
      <c r="AT179" s="348"/>
      <c r="AV179" s="526"/>
      <c r="AW179" s="534"/>
      <c r="AX179" s="534"/>
      <c r="AY179" s="9"/>
      <c r="AZ179" s="48"/>
      <c r="BA179" s="348"/>
      <c r="BB179" s="348"/>
      <c r="BC179" s="348"/>
      <c r="BD179" s="348"/>
      <c r="BE179" s="348"/>
    </row>
    <row r="180" spans="8:57" x14ac:dyDescent="0.2">
      <c r="H180" s="531"/>
      <c r="I180" s="4"/>
      <c r="J180" s="4"/>
      <c r="L180" s="4"/>
      <c r="R180" s="348"/>
      <c r="S180" s="348"/>
      <c r="T180" s="348"/>
      <c r="U180" s="348"/>
      <c r="W180" s="348"/>
      <c r="X180" s="348"/>
      <c r="Y180" s="348"/>
      <c r="Z180" s="348"/>
      <c r="AA180" s="525"/>
      <c r="AB180" s="348"/>
      <c r="AC180" s="348"/>
      <c r="AD180" s="348"/>
      <c r="AE180" s="348"/>
      <c r="AG180" s="348"/>
      <c r="AH180" s="348"/>
      <c r="AI180" s="348"/>
      <c r="AJ180" s="348"/>
      <c r="AK180" s="348"/>
      <c r="AL180" s="348"/>
      <c r="AM180" s="348"/>
      <c r="AN180" s="348"/>
      <c r="AO180" s="348"/>
      <c r="AP180" s="348"/>
      <c r="AQ180" s="348"/>
      <c r="AR180" s="348"/>
      <c r="AS180" s="348"/>
      <c r="AT180" s="348"/>
      <c r="AV180" s="526"/>
      <c r="AW180" s="534"/>
      <c r="AX180" s="534"/>
      <c r="AY180" s="9"/>
      <c r="AZ180" s="48"/>
      <c r="BA180" s="348"/>
      <c r="BB180" s="348"/>
      <c r="BC180" s="348"/>
      <c r="BD180" s="348"/>
      <c r="BE180" s="348"/>
    </row>
    <row r="181" spans="8:57" x14ac:dyDescent="0.2">
      <c r="H181" s="531"/>
      <c r="I181" s="4"/>
      <c r="J181" s="4"/>
      <c r="L181" s="4"/>
      <c r="R181" s="348"/>
      <c r="S181" s="348"/>
      <c r="T181" s="348"/>
      <c r="U181" s="348"/>
      <c r="W181" s="348"/>
      <c r="X181" s="348"/>
      <c r="Y181" s="348"/>
      <c r="Z181" s="348"/>
      <c r="AA181" s="525"/>
      <c r="AB181" s="348"/>
      <c r="AC181" s="348"/>
      <c r="AD181" s="348"/>
      <c r="AE181" s="348"/>
      <c r="AG181" s="348"/>
      <c r="AH181" s="348"/>
      <c r="AI181" s="348"/>
      <c r="AJ181" s="348"/>
      <c r="AK181" s="348"/>
      <c r="AL181" s="348"/>
      <c r="AM181" s="348"/>
      <c r="AN181" s="348"/>
      <c r="AO181" s="348"/>
      <c r="AP181" s="348"/>
      <c r="AQ181" s="348"/>
      <c r="AR181" s="348"/>
      <c r="AS181" s="348"/>
      <c r="AT181" s="348"/>
      <c r="AV181" s="526"/>
      <c r="AW181" s="534"/>
      <c r="AX181" s="534"/>
      <c r="AY181" s="9"/>
      <c r="AZ181" s="48"/>
      <c r="BA181" s="348"/>
      <c r="BB181" s="348"/>
      <c r="BC181" s="348"/>
      <c r="BD181" s="348"/>
      <c r="BE181" s="348"/>
    </row>
    <row r="182" spans="8:57" x14ac:dyDescent="0.2">
      <c r="H182" s="531"/>
      <c r="I182" s="4"/>
      <c r="J182" s="4"/>
      <c r="L182" s="4"/>
      <c r="R182" s="348"/>
      <c r="S182" s="348"/>
      <c r="T182" s="348"/>
      <c r="U182" s="348"/>
      <c r="W182" s="348"/>
      <c r="X182" s="348"/>
      <c r="Y182" s="348"/>
      <c r="Z182" s="348"/>
      <c r="AA182" s="525"/>
      <c r="AB182" s="348"/>
      <c r="AC182" s="348"/>
      <c r="AD182" s="348"/>
      <c r="AE182" s="348"/>
      <c r="AG182" s="348"/>
      <c r="AH182" s="348"/>
      <c r="AI182" s="348"/>
      <c r="AJ182" s="348"/>
      <c r="AK182" s="348"/>
      <c r="AL182" s="348"/>
      <c r="AM182" s="348"/>
      <c r="AN182" s="348"/>
      <c r="AO182" s="348"/>
      <c r="AP182" s="348"/>
      <c r="AQ182" s="348"/>
      <c r="AR182" s="348"/>
      <c r="AS182" s="348"/>
      <c r="AT182" s="348"/>
      <c r="AV182" s="526"/>
      <c r="AW182" s="534"/>
      <c r="AX182" s="534"/>
      <c r="AY182" s="9"/>
      <c r="AZ182" s="48"/>
      <c r="BA182" s="348"/>
      <c r="BB182" s="348"/>
      <c r="BC182" s="348"/>
      <c r="BD182" s="348"/>
      <c r="BE182" s="348"/>
    </row>
    <row r="183" spans="8:57" x14ac:dyDescent="0.2">
      <c r="H183" s="531"/>
      <c r="I183" s="4"/>
      <c r="J183" s="4"/>
      <c r="L183" s="4"/>
      <c r="R183" s="348"/>
      <c r="S183" s="348"/>
      <c r="T183" s="348"/>
      <c r="U183" s="348"/>
      <c r="W183" s="348"/>
      <c r="X183" s="348"/>
      <c r="Y183" s="348"/>
      <c r="Z183" s="348"/>
      <c r="AA183" s="525"/>
      <c r="AB183" s="348"/>
      <c r="AC183" s="348"/>
      <c r="AD183" s="348"/>
      <c r="AE183" s="348"/>
      <c r="AG183" s="348"/>
      <c r="AH183" s="348"/>
      <c r="AI183" s="348"/>
      <c r="AJ183" s="348"/>
      <c r="AK183" s="348"/>
      <c r="AL183" s="348"/>
      <c r="AM183" s="348"/>
      <c r="AN183" s="348"/>
      <c r="AO183" s="348"/>
      <c r="AP183" s="348"/>
      <c r="AQ183" s="348"/>
      <c r="AR183" s="348"/>
      <c r="AS183" s="348"/>
      <c r="AT183" s="348"/>
      <c r="AV183" s="526"/>
      <c r="AW183" s="534"/>
      <c r="AX183" s="534"/>
      <c r="AY183" s="9"/>
      <c r="AZ183" s="48"/>
      <c r="BA183" s="348"/>
      <c r="BB183" s="348"/>
      <c r="BC183" s="348"/>
      <c r="BD183" s="348"/>
      <c r="BE183" s="348"/>
    </row>
    <row r="184" spans="8:57" x14ac:dyDescent="0.2">
      <c r="H184" s="531"/>
      <c r="I184" s="4"/>
      <c r="J184" s="4"/>
      <c r="L184" s="4"/>
      <c r="R184" s="348"/>
      <c r="S184" s="348"/>
      <c r="T184" s="348"/>
      <c r="U184" s="348"/>
      <c r="W184" s="348"/>
      <c r="X184" s="348"/>
      <c r="Y184" s="348"/>
      <c r="Z184" s="348"/>
      <c r="AA184" s="525"/>
      <c r="AB184" s="348"/>
      <c r="AC184" s="348"/>
      <c r="AD184" s="348"/>
      <c r="AE184" s="348"/>
      <c r="AG184" s="348"/>
      <c r="AH184" s="348"/>
      <c r="AI184" s="348"/>
      <c r="AJ184" s="348"/>
      <c r="AK184" s="348"/>
      <c r="AL184" s="348"/>
      <c r="AM184" s="348"/>
      <c r="AN184" s="348"/>
      <c r="AO184" s="348"/>
      <c r="AP184" s="348"/>
      <c r="AQ184" s="348"/>
      <c r="AR184" s="348"/>
      <c r="AS184" s="348"/>
      <c r="AT184" s="348"/>
      <c r="AV184" s="526"/>
      <c r="AW184" s="534"/>
      <c r="AX184" s="534"/>
      <c r="AY184" s="9"/>
      <c r="AZ184" s="48"/>
      <c r="BA184" s="348"/>
      <c r="BB184" s="348"/>
      <c r="BC184" s="348"/>
      <c r="BD184" s="348"/>
      <c r="BE184" s="348"/>
    </row>
    <row r="185" spans="8:57" x14ac:dyDescent="0.2">
      <c r="H185" s="531"/>
      <c r="I185" s="4"/>
      <c r="J185" s="4"/>
      <c r="L185" s="4"/>
      <c r="R185" s="348"/>
      <c r="S185" s="348"/>
      <c r="T185" s="348"/>
      <c r="U185" s="348"/>
      <c r="W185" s="348"/>
      <c r="X185" s="348"/>
      <c r="Y185" s="348"/>
      <c r="Z185" s="348"/>
      <c r="AA185" s="525"/>
      <c r="AB185" s="348"/>
      <c r="AC185" s="348"/>
      <c r="AD185" s="348"/>
      <c r="AE185" s="348"/>
      <c r="AG185" s="348"/>
      <c r="AH185" s="348"/>
      <c r="AI185" s="348"/>
      <c r="AJ185" s="348"/>
      <c r="AK185" s="348"/>
      <c r="AL185" s="348"/>
      <c r="AM185" s="348"/>
      <c r="AN185" s="348"/>
      <c r="AO185" s="348"/>
      <c r="AP185" s="348"/>
      <c r="AQ185" s="348"/>
      <c r="AR185" s="348"/>
      <c r="AS185" s="348"/>
      <c r="AT185" s="348"/>
      <c r="AV185" s="526"/>
      <c r="AW185" s="534"/>
      <c r="AX185" s="534"/>
      <c r="AY185" s="9"/>
      <c r="AZ185" s="48"/>
      <c r="BA185" s="348"/>
      <c r="BB185" s="348"/>
      <c r="BC185" s="348"/>
      <c r="BD185" s="348"/>
      <c r="BE185" s="348"/>
    </row>
    <row r="186" spans="8:57" x14ac:dyDescent="0.2">
      <c r="H186" s="531"/>
      <c r="I186" s="4"/>
      <c r="J186" s="4"/>
      <c r="L186" s="4"/>
      <c r="R186" s="348"/>
      <c r="S186" s="348"/>
      <c r="T186" s="348"/>
      <c r="U186" s="348"/>
      <c r="W186" s="348"/>
      <c r="X186" s="348"/>
      <c r="Y186" s="348"/>
      <c r="Z186" s="348"/>
      <c r="AA186" s="525"/>
      <c r="AB186" s="348"/>
      <c r="AC186" s="348"/>
      <c r="AD186" s="348"/>
      <c r="AE186" s="348"/>
      <c r="AG186" s="348"/>
      <c r="AH186" s="348"/>
      <c r="AI186" s="348"/>
      <c r="AJ186" s="348"/>
      <c r="AK186" s="348"/>
      <c r="AL186" s="348"/>
      <c r="AM186" s="348"/>
      <c r="AN186" s="348"/>
      <c r="AO186" s="348"/>
      <c r="AP186" s="348"/>
      <c r="AQ186" s="348"/>
      <c r="AR186" s="348"/>
      <c r="AS186" s="348"/>
      <c r="AT186" s="348"/>
      <c r="AV186" s="526"/>
      <c r="AW186" s="534"/>
      <c r="AX186" s="534"/>
      <c r="AY186" s="9"/>
      <c r="AZ186" s="48"/>
      <c r="BA186" s="348"/>
      <c r="BB186" s="348"/>
      <c r="BC186" s="348"/>
      <c r="BD186" s="348"/>
      <c r="BE186" s="348"/>
    </row>
    <row r="187" spans="8:57" x14ac:dyDescent="0.2">
      <c r="H187" s="531"/>
      <c r="I187" s="4"/>
      <c r="J187" s="4"/>
      <c r="L187" s="4"/>
      <c r="R187" s="348"/>
      <c r="S187" s="348"/>
      <c r="T187" s="348"/>
      <c r="U187" s="348"/>
      <c r="W187" s="348"/>
      <c r="X187" s="348"/>
      <c r="Y187" s="348"/>
      <c r="Z187" s="348"/>
      <c r="AA187" s="525"/>
      <c r="AB187" s="348"/>
      <c r="AC187" s="348"/>
      <c r="AD187" s="348"/>
      <c r="AE187" s="348"/>
      <c r="AG187" s="348"/>
      <c r="AH187" s="348"/>
      <c r="AI187" s="348"/>
      <c r="AJ187" s="348"/>
      <c r="AK187" s="348"/>
      <c r="AL187" s="348"/>
      <c r="AM187" s="348"/>
      <c r="AN187" s="348"/>
      <c r="AO187" s="348"/>
      <c r="AP187" s="348"/>
      <c r="AQ187" s="348"/>
      <c r="AR187" s="348"/>
      <c r="AS187" s="348"/>
      <c r="AT187" s="348"/>
      <c r="AV187" s="526"/>
      <c r="AW187" s="534"/>
      <c r="AX187" s="534"/>
      <c r="AY187" s="9"/>
      <c r="AZ187" s="48"/>
      <c r="BA187" s="348"/>
      <c r="BB187" s="348"/>
      <c r="BC187" s="348"/>
      <c r="BD187" s="348"/>
      <c r="BE187" s="348"/>
    </row>
    <row r="188" spans="8:57" x14ac:dyDescent="0.2">
      <c r="H188" s="531"/>
      <c r="I188" s="4"/>
      <c r="J188" s="4"/>
      <c r="L188" s="4"/>
      <c r="R188" s="348"/>
      <c r="S188" s="348"/>
      <c r="T188" s="348"/>
      <c r="U188" s="348"/>
      <c r="W188" s="348"/>
      <c r="X188" s="348"/>
      <c r="Y188" s="348"/>
      <c r="Z188" s="348"/>
      <c r="AA188" s="525"/>
      <c r="AB188" s="348"/>
      <c r="AC188" s="348"/>
      <c r="AD188" s="348"/>
      <c r="AE188" s="348"/>
      <c r="AG188" s="348"/>
      <c r="AH188" s="348"/>
      <c r="AI188" s="348"/>
      <c r="AJ188" s="348"/>
      <c r="AK188" s="348"/>
      <c r="AL188" s="348"/>
      <c r="AM188" s="348"/>
      <c r="AN188" s="348"/>
      <c r="AO188" s="348"/>
      <c r="AP188" s="348"/>
      <c r="AQ188" s="348"/>
      <c r="AR188" s="348"/>
      <c r="AS188" s="348"/>
      <c r="AT188" s="348"/>
      <c r="AV188" s="526"/>
      <c r="AW188" s="534"/>
      <c r="AX188" s="534"/>
      <c r="AY188" s="9"/>
      <c r="AZ188" s="48"/>
      <c r="BA188" s="348"/>
      <c r="BB188" s="348"/>
      <c r="BC188" s="348"/>
      <c r="BD188" s="348"/>
      <c r="BE188" s="348"/>
    </row>
    <row r="189" spans="8:57" x14ac:dyDescent="0.2">
      <c r="H189" s="531"/>
      <c r="I189" s="4"/>
      <c r="J189" s="4"/>
      <c r="L189" s="4"/>
      <c r="R189" s="348"/>
      <c r="S189" s="348"/>
      <c r="T189" s="348"/>
      <c r="U189" s="348"/>
      <c r="W189" s="348"/>
      <c r="X189" s="348"/>
      <c r="Y189" s="348"/>
      <c r="Z189" s="348"/>
      <c r="AA189" s="525"/>
      <c r="AB189" s="348"/>
      <c r="AC189" s="348"/>
      <c r="AD189" s="348"/>
      <c r="AE189" s="348"/>
      <c r="AG189" s="348"/>
      <c r="AH189" s="348"/>
      <c r="AI189" s="348"/>
      <c r="AJ189" s="348"/>
      <c r="AK189" s="348"/>
      <c r="AL189" s="348"/>
      <c r="AM189" s="348"/>
      <c r="AN189" s="348"/>
      <c r="AO189" s="348"/>
      <c r="AP189" s="348"/>
      <c r="AQ189" s="348"/>
      <c r="AR189" s="348"/>
      <c r="AS189" s="348"/>
      <c r="AT189" s="348"/>
      <c r="AV189" s="526"/>
      <c r="AW189" s="534"/>
      <c r="AX189" s="534"/>
      <c r="AY189" s="9"/>
      <c r="AZ189" s="48"/>
      <c r="BA189" s="348"/>
      <c r="BB189" s="348"/>
      <c r="BC189" s="348"/>
      <c r="BD189" s="348"/>
      <c r="BE189" s="348"/>
    </row>
    <row r="190" spans="8:57" x14ac:dyDescent="0.2">
      <c r="H190" s="531"/>
      <c r="I190" s="4"/>
      <c r="J190" s="4"/>
      <c r="L190" s="4"/>
      <c r="R190" s="348"/>
      <c r="S190" s="348"/>
      <c r="T190" s="348"/>
      <c r="U190" s="348"/>
      <c r="W190" s="348"/>
      <c r="X190" s="348"/>
      <c r="Y190" s="348"/>
      <c r="Z190" s="348"/>
      <c r="AA190" s="525"/>
      <c r="AB190" s="348"/>
      <c r="AC190" s="348"/>
      <c r="AD190" s="348"/>
      <c r="AE190" s="348"/>
      <c r="AG190" s="348"/>
      <c r="AH190" s="348"/>
      <c r="AI190" s="348"/>
      <c r="AJ190" s="348"/>
      <c r="AK190" s="348"/>
      <c r="AL190" s="348"/>
      <c r="AM190" s="348"/>
      <c r="AN190" s="348"/>
      <c r="AO190" s="348"/>
      <c r="AP190" s="348"/>
      <c r="AQ190" s="348"/>
      <c r="AR190" s="348"/>
      <c r="AS190" s="348"/>
      <c r="AT190" s="348"/>
      <c r="AV190" s="526"/>
      <c r="AW190" s="534"/>
      <c r="AX190" s="534"/>
      <c r="AY190" s="9"/>
      <c r="AZ190" s="48"/>
      <c r="BA190" s="348"/>
      <c r="BB190" s="348"/>
      <c r="BC190" s="348"/>
      <c r="BD190" s="348"/>
      <c r="BE190" s="348"/>
    </row>
    <row r="191" spans="8:57" x14ac:dyDescent="0.2">
      <c r="H191" s="531"/>
      <c r="I191" s="4"/>
      <c r="J191" s="4"/>
      <c r="L191" s="4"/>
      <c r="R191" s="348"/>
      <c r="S191" s="348"/>
      <c r="T191" s="348"/>
      <c r="U191" s="348"/>
      <c r="W191" s="348"/>
      <c r="X191" s="348"/>
      <c r="Y191" s="348"/>
      <c r="Z191" s="348"/>
      <c r="AA191" s="525"/>
      <c r="AB191" s="348"/>
      <c r="AC191" s="348"/>
      <c r="AD191" s="348"/>
      <c r="AE191" s="348"/>
      <c r="AG191" s="348"/>
      <c r="AH191" s="348"/>
      <c r="AI191" s="348"/>
      <c r="AJ191" s="348"/>
      <c r="AK191" s="348"/>
      <c r="AL191" s="348"/>
      <c r="AM191" s="348"/>
      <c r="AN191" s="348"/>
      <c r="AO191" s="348"/>
      <c r="AP191" s="348"/>
      <c r="AQ191" s="348"/>
      <c r="AR191" s="348"/>
      <c r="AS191" s="348"/>
      <c r="AT191" s="348"/>
      <c r="AV191" s="526"/>
      <c r="AW191" s="534"/>
      <c r="AX191" s="534"/>
      <c r="AY191" s="9"/>
      <c r="AZ191" s="48"/>
      <c r="BA191" s="348"/>
      <c r="BB191" s="348"/>
      <c r="BC191" s="348"/>
      <c r="BD191" s="348"/>
      <c r="BE191" s="348"/>
    </row>
    <row r="192" spans="8:57" x14ac:dyDescent="0.2">
      <c r="H192" s="531"/>
      <c r="I192" s="4"/>
      <c r="J192" s="4"/>
      <c r="L192" s="4"/>
      <c r="R192" s="348"/>
      <c r="S192" s="348"/>
      <c r="T192" s="348"/>
      <c r="U192" s="348"/>
      <c r="W192" s="348"/>
      <c r="X192" s="348"/>
      <c r="Y192" s="348"/>
      <c r="Z192" s="348"/>
      <c r="AA192" s="525"/>
      <c r="AB192" s="348"/>
      <c r="AC192" s="348"/>
      <c r="AD192" s="348"/>
      <c r="AE192" s="348"/>
      <c r="AG192" s="348"/>
      <c r="AH192" s="348"/>
      <c r="AI192" s="348"/>
      <c r="AJ192" s="348"/>
      <c r="AK192" s="348"/>
      <c r="AL192" s="348"/>
      <c r="AM192" s="348"/>
      <c r="AN192" s="348"/>
      <c r="AO192" s="348"/>
      <c r="AP192" s="348"/>
      <c r="AQ192" s="348"/>
      <c r="AR192" s="348"/>
      <c r="AS192" s="348"/>
      <c r="AT192" s="348"/>
      <c r="AV192" s="526"/>
      <c r="AW192" s="534"/>
      <c r="AX192" s="534"/>
      <c r="AY192" s="9"/>
      <c r="AZ192" s="48"/>
      <c r="BA192" s="348"/>
      <c r="BB192" s="348"/>
      <c r="BC192" s="348"/>
      <c r="BD192" s="348"/>
      <c r="BE192" s="348"/>
    </row>
    <row r="193" spans="8:57" x14ac:dyDescent="0.2">
      <c r="H193" s="531"/>
      <c r="I193" s="4"/>
      <c r="J193" s="4"/>
      <c r="L193" s="4"/>
      <c r="R193" s="348"/>
      <c r="S193" s="348"/>
      <c r="T193" s="348"/>
      <c r="U193" s="348"/>
      <c r="W193" s="348"/>
      <c r="X193" s="348"/>
      <c r="Y193" s="348"/>
      <c r="Z193" s="348"/>
      <c r="AA193" s="525"/>
      <c r="AB193" s="348"/>
      <c r="AC193" s="348"/>
      <c r="AD193" s="348"/>
      <c r="AE193" s="348"/>
      <c r="AG193" s="348"/>
      <c r="AH193" s="348"/>
      <c r="AI193" s="348"/>
      <c r="AJ193" s="348"/>
      <c r="AK193" s="348"/>
      <c r="AL193" s="348"/>
      <c r="AM193" s="348"/>
      <c r="AN193" s="348"/>
      <c r="AO193" s="348"/>
      <c r="AP193" s="348"/>
      <c r="AQ193" s="348"/>
      <c r="AR193" s="348"/>
      <c r="AS193" s="348"/>
      <c r="AT193" s="348"/>
      <c r="AV193" s="526"/>
      <c r="AW193" s="534"/>
      <c r="AX193" s="534"/>
      <c r="AY193" s="9"/>
      <c r="AZ193" s="48"/>
      <c r="BA193" s="348"/>
      <c r="BB193" s="348"/>
      <c r="BC193" s="348"/>
      <c r="BD193" s="348"/>
      <c r="BE193" s="348"/>
    </row>
    <row r="194" spans="8:57" x14ac:dyDescent="0.2">
      <c r="H194" s="531"/>
      <c r="I194" s="4"/>
      <c r="J194" s="4"/>
      <c r="L194" s="4"/>
      <c r="R194" s="348"/>
      <c r="S194" s="348"/>
      <c r="T194" s="348"/>
      <c r="U194" s="348"/>
      <c r="W194" s="348"/>
      <c r="X194" s="348"/>
      <c r="Y194" s="348"/>
      <c r="Z194" s="348"/>
      <c r="AA194" s="525"/>
      <c r="AB194" s="348"/>
      <c r="AC194" s="348"/>
      <c r="AD194" s="348"/>
      <c r="AE194" s="348"/>
      <c r="AG194" s="348"/>
      <c r="AH194" s="348"/>
      <c r="AI194" s="348"/>
      <c r="AJ194" s="348"/>
      <c r="AK194" s="348"/>
      <c r="AL194" s="348"/>
      <c r="AM194" s="348"/>
      <c r="AN194" s="348"/>
      <c r="AO194" s="348"/>
      <c r="AP194" s="348"/>
      <c r="AQ194" s="348"/>
      <c r="AR194" s="348"/>
      <c r="AS194" s="348"/>
      <c r="AT194" s="348"/>
      <c r="AV194" s="526"/>
      <c r="AW194" s="534"/>
      <c r="AX194" s="534"/>
      <c r="AY194" s="9"/>
      <c r="AZ194" s="48"/>
      <c r="BA194" s="348"/>
      <c r="BB194" s="348"/>
      <c r="BC194" s="348"/>
      <c r="BD194" s="348"/>
      <c r="BE194" s="348"/>
    </row>
    <row r="195" spans="8:57" x14ac:dyDescent="0.2">
      <c r="H195" s="531"/>
      <c r="I195" s="4"/>
      <c r="J195" s="4"/>
      <c r="L195" s="4"/>
      <c r="R195" s="348"/>
      <c r="S195" s="348"/>
      <c r="T195" s="348"/>
      <c r="U195" s="348"/>
      <c r="W195" s="348"/>
      <c r="X195" s="348"/>
      <c r="Y195" s="348"/>
      <c r="Z195" s="348"/>
      <c r="AA195" s="525"/>
      <c r="AB195" s="348"/>
      <c r="AC195" s="348"/>
      <c r="AD195" s="348"/>
      <c r="AE195" s="348"/>
      <c r="AG195" s="348"/>
      <c r="AH195" s="348"/>
      <c r="AI195" s="348"/>
      <c r="AJ195" s="348"/>
      <c r="AK195" s="348"/>
      <c r="AL195" s="348"/>
      <c r="AM195" s="348"/>
      <c r="AN195" s="348"/>
      <c r="AO195" s="348"/>
      <c r="AP195" s="348"/>
      <c r="AQ195" s="348"/>
      <c r="AR195" s="348"/>
      <c r="AS195" s="348"/>
      <c r="AT195" s="348"/>
      <c r="AV195" s="526"/>
      <c r="AW195" s="534"/>
      <c r="AX195" s="534"/>
      <c r="AY195" s="9"/>
      <c r="AZ195" s="48"/>
      <c r="BA195" s="348"/>
      <c r="BB195" s="348"/>
      <c r="BC195" s="348"/>
      <c r="BD195" s="348"/>
      <c r="BE195" s="348"/>
    </row>
    <row r="196" spans="8:57" x14ac:dyDescent="0.2">
      <c r="H196" s="531"/>
      <c r="I196" s="4"/>
      <c r="J196" s="4"/>
      <c r="L196" s="4"/>
      <c r="R196" s="348"/>
      <c r="S196" s="348"/>
      <c r="T196" s="348"/>
      <c r="U196" s="348"/>
      <c r="W196" s="348"/>
      <c r="X196" s="348"/>
      <c r="Y196" s="348"/>
      <c r="Z196" s="348"/>
      <c r="AA196" s="525"/>
      <c r="AB196" s="348"/>
      <c r="AC196" s="348"/>
      <c r="AD196" s="348"/>
      <c r="AE196" s="348"/>
      <c r="AG196" s="348"/>
      <c r="AH196" s="348"/>
      <c r="AI196" s="348"/>
      <c r="AJ196" s="348"/>
      <c r="AK196" s="348"/>
      <c r="AL196" s="348"/>
      <c r="AM196" s="348"/>
      <c r="AN196" s="348"/>
      <c r="AO196" s="348"/>
      <c r="AP196" s="348"/>
      <c r="AQ196" s="348"/>
      <c r="AR196" s="348"/>
      <c r="AS196" s="348"/>
      <c r="AT196" s="348"/>
      <c r="AV196" s="526"/>
      <c r="AW196" s="534"/>
      <c r="AX196" s="534"/>
      <c r="AY196" s="9"/>
      <c r="AZ196" s="48"/>
      <c r="BA196" s="348"/>
      <c r="BB196" s="348"/>
      <c r="BC196" s="348"/>
      <c r="BD196" s="348"/>
      <c r="BE196" s="348"/>
    </row>
    <row r="197" spans="8:57" x14ac:dyDescent="0.2">
      <c r="H197" s="531"/>
      <c r="I197" s="4"/>
      <c r="J197" s="4"/>
      <c r="L197" s="4"/>
      <c r="R197" s="348"/>
      <c r="S197" s="348"/>
      <c r="T197" s="348"/>
      <c r="U197" s="348"/>
      <c r="W197" s="348"/>
      <c r="X197" s="348"/>
      <c r="Y197" s="348"/>
      <c r="Z197" s="348"/>
      <c r="AA197" s="525"/>
      <c r="AB197" s="348"/>
      <c r="AC197" s="348"/>
      <c r="AD197" s="348"/>
      <c r="AE197" s="348"/>
      <c r="AG197" s="348"/>
      <c r="AH197" s="348"/>
      <c r="AI197" s="348"/>
      <c r="AJ197" s="348"/>
      <c r="AK197" s="348"/>
      <c r="AL197" s="348"/>
      <c r="AM197" s="348"/>
      <c r="AN197" s="348"/>
      <c r="AO197" s="348"/>
      <c r="AP197" s="348"/>
      <c r="AQ197" s="348"/>
      <c r="AR197" s="348"/>
      <c r="AS197" s="348"/>
      <c r="AT197" s="348"/>
      <c r="AV197" s="526"/>
      <c r="AW197" s="534"/>
      <c r="AX197" s="534"/>
      <c r="AY197" s="9"/>
      <c r="AZ197" s="48"/>
      <c r="BA197" s="348"/>
      <c r="BB197" s="348"/>
      <c r="BC197" s="348"/>
      <c r="BD197" s="348"/>
      <c r="BE197" s="348"/>
    </row>
    <row r="198" spans="8:57" x14ac:dyDescent="0.2">
      <c r="H198" s="531"/>
      <c r="I198" s="4"/>
      <c r="J198" s="4"/>
      <c r="L198" s="4"/>
      <c r="R198" s="348"/>
      <c r="S198" s="348"/>
      <c r="T198" s="348"/>
      <c r="U198" s="348"/>
      <c r="W198" s="348"/>
      <c r="X198" s="348"/>
      <c r="Y198" s="348"/>
      <c r="Z198" s="348"/>
      <c r="AA198" s="525"/>
      <c r="AB198" s="348"/>
      <c r="AC198" s="348"/>
      <c r="AD198" s="348"/>
      <c r="AE198" s="348"/>
      <c r="AG198" s="348"/>
      <c r="AH198" s="348"/>
      <c r="AI198" s="348"/>
      <c r="AJ198" s="348"/>
      <c r="AK198" s="348"/>
      <c r="AL198" s="348"/>
      <c r="AM198" s="348"/>
      <c r="AN198" s="348"/>
      <c r="AO198" s="348"/>
      <c r="AP198" s="348"/>
      <c r="AQ198" s="348"/>
      <c r="AR198" s="348"/>
      <c r="AS198" s="348"/>
      <c r="AT198" s="348"/>
      <c r="AV198" s="526"/>
      <c r="AW198" s="534"/>
      <c r="AX198" s="534"/>
      <c r="AY198" s="9"/>
      <c r="AZ198" s="48"/>
      <c r="BA198" s="348"/>
      <c r="BB198" s="348"/>
      <c r="BC198" s="348"/>
      <c r="BD198" s="348"/>
      <c r="BE198" s="348"/>
    </row>
    <row r="199" spans="8:57" x14ac:dyDescent="0.2">
      <c r="H199" s="531"/>
      <c r="I199" s="4"/>
      <c r="J199" s="4"/>
      <c r="L199" s="4"/>
      <c r="R199" s="348"/>
      <c r="S199" s="348"/>
      <c r="T199" s="348"/>
      <c r="U199" s="348"/>
      <c r="W199" s="348"/>
      <c r="X199" s="348"/>
      <c r="Y199" s="348"/>
      <c r="Z199" s="348"/>
      <c r="AA199" s="525"/>
      <c r="AB199" s="348"/>
      <c r="AC199" s="348"/>
      <c r="AD199" s="348"/>
      <c r="AE199" s="348"/>
      <c r="AG199" s="348"/>
      <c r="AH199" s="348"/>
      <c r="AI199" s="348"/>
      <c r="AJ199" s="348"/>
      <c r="AK199" s="348"/>
      <c r="AL199" s="348"/>
      <c r="AM199" s="348"/>
      <c r="AN199" s="348"/>
      <c r="AO199" s="348"/>
      <c r="AP199" s="348"/>
      <c r="AQ199" s="348"/>
      <c r="AR199" s="348"/>
      <c r="AS199" s="348"/>
      <c r="AT199" s="348"/>
      <c r="AV199" s="526"/>
      <c r="AW199" s="534"/>
      <c r="AX199" s="534"/>
      <c r="AY199" s="9"/>
      <c r="AZ199" s="48"/>
      <c r="BA199" s="348"/>
      <c r="BB199" s="348"/>
      <c r="BC199" s="348"/>
      <c r="BD199" s="348"/>
      <c r="BE199" s="348"/>
    </row>
    <row r="200" spans="8:57" x14ac:dyDescent="0.2">
      <c r="H200" s="531"/>
      <c r="I200" s="4"/>
      <c r="J200" s="4"/>
      <c r="L200" s="4"/>
      <c r="R200" s="348"/>
      <c r="S200" s="348"/>
      <c r="T200" s="348"/>
      <c r="U200" s="348"/>
      <c r="W200" s="348"/>
      <c r="X200" s="348"/>
      <c r="Y200" s="348"/>
      <c r="Z200" s="348"/>
      <c r="AA200" s="525"/>
      <c r="AB200" s="348"/>
      <c r="AC200" s="348"/>
      <c r="AD200" s="348"/>
      <c r="AE200" s="348"/>
      <c r="AG200" s="348"/>
      <c r="AH200" s="348"/>
      <c r="AI200" s="348"/>
      <c r="AJ200" s="348"/>
      <c r="AK200" s="348"/>
      <c r="AL200" s="348"/>
      <c r="AM200" s="348"/>
      <c r="AN200" s="348"/>
      <c r="AO200" s="348"/>
      <c r="AP200" s="348"/>
      <c r="AQ200" s="348"/>
      <c r="AR200" s="348"/>
      <c r="AS200" s="348"/>
      <c r="AT200" s="348"/>
      <c r="AV200" s="526"/>
      <c r="AW200" s="534"/>
      <c r="AX200" s="534"/>
      <c r="AY200" s="9"/>
      <c r="AZ200" s="48"/>
      <c r="BA200" s="348"/>
      <c r="BB200" s="348"/>
      <c r="BC200" s="348"/>
      <c r="BD200" s="348"/>
      <c r="BE200" s="348"/>
    </row>
    <row r="201" spans="8:57" x14ac:dyDescent="0.2">
      <c r="H201" s="531"/>
      <c r="I201" s="4"/>
      <c r="J201" s="4"/>
      <c r="L201" s="4"/>
      <c r="R201" s="348"/>
      <c r="S201" s="348"/>
      <c r="T201" s="348"/>
      <c r="U201" s="348"/>
      <c r="W201" s="348"/>
      <c r="X201" s="348"/>
      <c r="Y201" s="348"/>
      <c r="Z201" s="348"/>
      <c r="AA201" s="525"/>
      <c r="AB201" s="348"/>
      <c r="AC201" s="348"/>
      <c r="AD201" s="348"/>
      <c r="AE201" s="348"/>
      <c r="AG201" s="348"/>
      <c r="AH201" s="348"/>
      <c r="AI201" s="348"/>
      <c r="AJ201" s="348"/>
      <c r="AK201" s="348"/>
      <c r="AL201" s="348"/>
      <c r="AM201" s="348"/>
      <c r="AN201" s="348"/>
      <c r="AO201" s="348"/>
      <c r="AP201" s="348"/>
      <c r="AQ201" s="348"/>
      <c r="AR201" s="348"/>
      <c r="AS201" s="348"/>
      <c r="AT201" s="348"/>
      <c r="AV201" s="526"/>
      <c r="AW201" s="534"/>
      <c r="AX201" s="534"/>
      <c r="AY201" s="9"/>
      <c r="AZ201" s="48"/>
      <c r="BA201" s="348"/>
      <c r="BB201" s="348"/>
      <c r="BC201" s="348"/>
      <c r="BD201" s="348"/>
      <c r="BE201" s="348"/>
    </row>
    <row r="202" spans="8:57" x14ac:dyDescent="0.2">
      <c r="H202" s="531"/>
      <c r="I202" s="4"/>
      <c r="J202" s="4"/>
      <c r="L202" s="4"/>
      <c r="R202" s="348"/>
      <c r="S202" s="348"/>
      <c r="T202" s="348"/>
      <c r="U202" s="348"/>
      <c r="W202" s="348"/>
      <c r="X202" s="348"/>
      <c r="Y202" s="348"/>
      <c r="Z202" s="348"/>
      <c r="AA202" s="525"/>
      <c r="AB202" s="348"/>
      <c r="AC202" s="348"/>
      <c r="AD202" s="348"/>
      <c r="AE202" s="348"/>
      <c r="AG202" s="348"/>
      <c r="AH202" s="348"/>
      <c r="AI202" s="348"/>
      <c r="AJ202" s="348"/>
      <c r="AK202" s="348"/>
      <c r="AL202" s="348"/>
      <c r="AM202" s="348"/>
      <c r="AN202" s="348"/>
      <c r="AO202" s="348"/>
      <c r="AP202" s="348"/>
      <c r="AQ202" s="348"/>
      <c r="AR202" s="348"/>
      <c r="AS202" s="348"/>
      <c r="AT202" s="348"/>
      <c r="AV202" s="526"/>
      <c r="AW202" s="534"/>
      <c r="AX202" s="534"/>
      <c r="AY202" s="9"/>
      <c r="AZ202" s="48"/>
      <c r="BA202" s="348"/>
      <c r="BB202" s="348"/>
      <c r="BC202" s="348"/>
      <c r="BD202" s="348"/>
      <c r="BE202" s="348"/>
    </row>
    <row r="203" spans="8:57" x14ac:dyDescent="0.2">
      <c r="H203" s="531"/>
      <c r="I203" s="4"/>
      <c r="J203" s="4"/>
      <c r="L203" s="4"/>
      <c r="R203" s="348"/>
      <c r="S203" s="348"/>
      <c r="T203" s="348"/>
      <c r="U203" s="348"/>
      <c r="W203" s="348"/>
      <c r="X203" s="348"/>
      <c r="Y203" s="348"/>
      <c r="Z203" s="348"/>
      <c r="AA203" s="525"/>
      <c r="AB203" s="348"/>
      <c r="AC203" s="348"/>
      <c r="AD203" s="348"/>
      <c r="AE203" s="348"/>
      <c r="AG203" s="348"/>
      <c r="AH203" s="348"/>
      <c r="AI203" s="348"/>
      <c r="AJ203" s="348"/>
      <c r="AK203" s="348"/>
      <c r="AL203" s="348"/>
      <c r="AM203" s="348"/>
      <c r="AN203" s="348"/>
      <c r="AO203" s="348"/>
      <c r="AP203" s="348"/>
      <c r="AQ203" s="348"/>
      <c r="AR203" s="348"/>
      <c r="AS203" s="348"/>
      <c r="AT203" s="348"/>
      <c r="AV203" s="526"/>
      <c r="AW203" s="534"/>
      <c r="AX203" s="534"/>
      <c r="AY203" s="9"/>
      <c r="AZ203" s="48"/>
      <c r="BA203" s="348"/>
      <c r="BB203" s="348"/>
      <c r="BC203" s="348"/>
      <c r="BD203" s="348"/>
      <c r="BE203" s="348"/>
    </row>
    <row r="204" spans="8:57" x14ac:dyDescent="0.2">
      <c r="H204" s="531"/>
      <c r="I204" s="4"/>
      <c r="J204" s="4"/>
      <c r="L204" s="4"/>
      <c r="R204" s="348"/>
      <c r="S204" s="348"/>
      <c r="T204" s="348"/>
      <c r="U204" s="348"/>
      <c r="W204" s="348"/>
      <c r="X204" s="348"/>
      <c r="Y204" s="348"/>
      <c r="Z204" s="348"/>
      <c r="AA204" s="525"/>
      <c r="AB204" s="348"/>
      <c r="AC204" s="348"/>
      <c r="AD204" s="348"/>
      <c r="AE204" s="348"/>
      <c r="AG204" s="348"/>
      <c r="AH204" s="348"/>
      <c r="AI204" s="348"/>
      <c r="AJ204" s="348"/>
      <c r="AK204" s="348"/>
      <c r="AL204" s="348"/>
      <c r="AM204" s="348"/>
      <c r="AN204" s="348"/>
      <c r="AO204" s="348"/>
      <c r="AP204" s="348"/>
      <c r="AQ204" s="348"/>
      <c r="AR204" s="348"/>
      <c r="AS204" s="348"/>
      <c r="AT204" s="348"/>
      <c r="AV204" s="526"/>
      <c r="AW204" s="534"/>
      <c r="AX204" s="534"/>
      <c r="AY204" s="9"/>
      <c r="AZ204" s="48"/>
      <c r="BA204" s="348"/>
      <c r="BB204" s="348"/>
      <c r="BC204" s="348"/>
      <c r="BD204" s="348"/>
      <c r="BE204" s="348"/>
    </row>
    <row r="205" spans="8:57" x14ac:dyDescent="0.2">
      <c r="H205" s="531"/>
      <c r="I205" s="4"/>
      <c r="J205" s="4"/>
      <c r="L205" s="4"/>
      <c r="R205" s="348"/>
      <c r="S205" s="348"/>
      <c r="T205" s="348"/>
      <c r="U205" s="348"/>
      <c r="W205" s="348"/>
      <c r="X205" s="348"/>
      <c r="Y205" s="348"/>
      <c r="Z205" s="348"/>
      <c r="AA205" s="525"/>
      <c r="AB205" s="348"/>
      <c r="AC205" s="348"/>
      <c r="AD205" s="348"/>
      <c r="AE205" s="348"/>
      <c r="AG205" s="348"/>
      <c r="AH205" s="348"/>
      <c r="AI205" s="348"/>
      <c r="AJ205" s="348"/>
      <c r="AK205" s="348"/>
      <c r="AL205" s="348"/>
      <c r="AM205" s="348"/>
      <c r="AN205" s="348"/>
      <c r="AO205" s="348"/>
      <c r="AP205" s="348"/>
      <c r="AQ205" s="348"/>
      <c r="AR205" s="348"/>
      <c r="AS205" s="348"/>
      <c r="AT205" s="348"/>
      <c r="AV205" s="526"/>
      <c r="AW205" s="534"/>
      <c r="AX205" s="534"/>
      <c r="AY205" s="9"/>
      <c r="AZ205" s="48"/>
      <c r="BA205" s="348"/>
      <c r="BB205" s="348"/>
      <c r="BC205" s="348"/>
      <c r="BD205" s="348"/>
      <c r="BE205" s="348"/>
    </row>
    <row r="206" spans="8:57" x14ac:dyDescent="0.2">
      <c r="H206" s="531"/>
      <c r="I206" s="4"/>
      <c r="J206" s="4"/>
      <c r="L206" s="4"/>
      <c r="R206" s="348"/>
      <c r="S206" s="348"/>
      <c r="T206" s="348"/>
      <c r="U206" s="348"/>
      <c r="W206" s="348"/>
      <c r="X206" s="348"/>
      <c r="Y206" s="348"/>
      <c r="Z206" s="348"/>
      <c r="AA206" s="525"/>
      <c r="AB206" s="348"/>
      <c r="AC206" s="348"/>
      <c r="AD206" s="348"/>
      <c r="AE206" s="348"/>
      <c r="AG206" s="348"/>
      <c r="AH206" s="348"/>
      <c r="AI206" s="348"/>
      <c r="AJ206" s="348"/>
      <c r="AK206" s="348"/>
      <c r="AL206" s="348"/>
      <c r="AM206" s="348"/>
      <c r="AN206" s="348"/>
      <c r="AO206" s="348"/>
      <c r="AP206" s="348"/>
      <c r="AQ206" s="348"/>
      <c r="AR206" s="348"/>
      <c r="AS206" s="348"/>
      <c r="AT206" s="348"/>
      <c r="AV206" s="526"/>
      <c r="AW206" s="534"/>
      <c r="AX206" s="534"/>
      <c r="AY206" s="9"/>
      <c r="AZ206" s="48"/>
      <c r="BA206" s="348"/>
      <c r="BB206" s="348"/>
      <c r="BC206" s="348"/>
      <c r="BD206" s="348"/>
      <c r="BE206" s="348"/>
    </row>
    <row r="207" spans="8:57" x14ac:dyDescent="0.2">
      <c r="H207" s="531"/>
      <c r="I207" s="4"/>
      <c r="J207" s="4"/>
      <c r="L207" s="4"/>
      <c r="R207" s="348"/>
      <c r="S207" s="348"/>
      <c r="T207" s="348"/>
      <c r="U207" s="348"/>
      <c r="W207" s="348"/>
      <c r="X207" s="348"/>
      <c r="Y207" s="348"/>
      <c r="Z207" s="348"/>
      <c r="AA207" s="525"/>
      <c r="AB207" s="348"/>
      <c r="AC207" s="348"/>
      <c r="AD207" s="348"/>
      <c r="AE207" s="348"/>
      <c r="AG207" s="348"/>
      <c r="AH207" s="348"/>
      <c r="AI207" s="348"/>
      <c r="AJ207" s="348"/>
      <c r="AK207" s="348"/>
      <c r="AL207" s="348"/>
      <c r="AM207" s="348"/>
      <c r="AN207" s="348"/>
      <c r="AO207" s="348"/>
      <c r="AP207" s="348"/>
      <c r="AQ207" s="348"/>
      <c r="AR207" s="348"/>
      <c r="AS207" s="348"/>
      <c r="AT207" s="348"/>
      <c r="AV207" s="526"/>
      <c r="AW207" s="534"/>
      <c r="AX207" s="534"/>
      <c r="AY207" s="9"/>
      <c r="AZ207" s="48"/>
      <c r="BA207" s="348"/>
      <c r="BB207" s="348"/>
      <c r="BC207" s="348"/>
      <c r="BD207" s="348"/>
      <c r="BE207" s="348"/>
    </row>
    <row r="208" spans="8:57" x14ac:dyDescent="0.2">
      <c r="H208" s="531"/>
      <c r="I208" s="4"/>
      <c r="J208" s="4"/>
      <c r="L208" s="4"/>
      <c r="R208" s="348"/>
      <c r="S208" s="348"/>
      <c r="T208" s="348"/>
      <c r="U208" s="348"/>
      <c r="W208" s="348"/>
      <c r="X208" s="348"/>
      <c r="Y208" s="348"/>
      <c r="Z208" s="348"/>
      <c r="AA208" s="525"/>
      <c r="AB208" s="348"/>
      <c r="AC208" s="348"/>
      <c r="AD208" s="348"/>
      <c r="AE208" s="348"/>
      <c r="AG208" s="348"/>
      <c r="AH208" s="348"/>
      <c r="AI208" s="348"/>
      <c r="AJ208" s="348"/>
      <c r="AK208" s="348"/>
      <c r="AL208" s="348"/>
      <c r="AM208" s="348"/>
      <c r="AN208" s="348"/>
      <c r="AO208" s="348"/>
      <c r="AP208" s="348"/>
      <c r="AQ208" s="348"/>
      <c r="AR208" s="348"/>
      <c r="AS208" s="348"/>
      <c r="AT208" s="348"/>
      <c r="AV208" s="526"/>
      <c r="AW208" s="534"/>
      <c r="AX208" s="534"/>
      <c r="AY208" s="9"/>
      <c r="AZ208" s="48"/>
      <c r="BA208" s="348"/>
      <c r="BB208" s="348"/>
      <c r="BC208" s="348"/>
      <c r="BD208" s="348"/>
      <c r="BE208" s="348"/>
    </row>
    <row r="209" spans="8:57" x14ac:dyDescent="0.2">
      <c r="H209" s="531"/>
      <c r="I209" s="4"/>
      <c r="J209" s="4"/>
      <c r="L209" s="4"/>
      <c r="R209" s="348"/>
      <c r="S209" s="348"/>
      <c r="T209" s="348"/>
      <c r="U209" s="348"/>
      <c r="W209" s="348"/>
      <c r="X209" s="348"/>
      <c r="Y209" s="348"/>
      <c r="Z209" s="348"/>
      <c r="AA209" s="525"/>
      <c r="AB209" s="348"/>
      <c r="AC209" s="348"/>
      <c r="AD209" s="348"/>
      <c r="AE209" s="348"/>
      <c r="AG209" s="348"/>
      <c r="AH209" s="348"/>
      <c r="AI209" s="348"/>
      <c r="AJ209" s="348"/>
      <c r="AK209" s="348"/>
      <c r="AL209" s="348"/>
      <c r="AM209" s="348"/>
      <c r="AN209" s="348"/>
      <c r="AO209" s="348"/>
      <c r="AP209" s="348"/>
      <c r="AQ209" s="348"/>
      <c r="AR209" s="348"/>
      <c r="AS209" s="348"/>
      <c r="AT209" s="348"/>
      <c r="AV209" s="526"/>
      <c r="AW209" s="534"/>
      <c r="AX209" s="534"/>
      <c r="AY209" s="9"/>
      <c r="AZ209" s="48"/>
      <c r="BA209" s="348"/>
      <c r="BB209" s="348"/>
      <c r="BC209" s="348"/>
      <c r="BD209" s="348"/>
      <c r="BE209" s="348"/>
    </row>
  </sheetData>
  <sheetProtection selectLockedCells="1"/>
  <mergeCells count="11">
    <mergeCell ref="Y7:AA7"/>
    <mergeCell ref="A1:D4"/>
    <mergeCell ref="A6:D7"/>
    <mergeCell ref="G7:N7"/>
    <mergeCell ref="R7:U7"/>
    <mergeCell ref="V7:X7"/>
    <mergeCell ref="AZ7:BE7"/>
    <mergeCell ref="AB7:AG7"/>
    <mergeCell ref="AH7:AK7"/>
    <mergeCell ref="AO7:AS7"/>
    <mergeCell ref="AT7:AX7"/>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2:B7"/>
  <sheetViews>
    <sheetView zoomScaleNormal="100" workbookViewId="0">
      <selection activeCell="B2" sqref="B2"/>
    </sheetView>
  </sheetViews>
  <sheetFormatPr defaultRowHeight="12.75" x14ac:dyDescent="0.2"/>
  <cols>
    <col min="1" max="1" width="10.5703125" customWidth="1"/>
    <col min="2" max="2" width="126" customWidth="1"/>
  </cols>
  <sheetData>
    <row r="2" spans="1:2" x14ac:dyDescent="0.2">
      <c r="A2" t="str">
        <f>IF(PLOT_TYPE=1, "EFF_Ch1", "EFF_Ch2")</f>
        <v>EFF_Ch1</v>
      </c>
    </row>
    <row r="5" spans="1:2" ht="409.5" customHeight="1" x14ac:dyDescent="0.2">
      <c r="B5" s="521"/>
    </row>
    <row r="7" spans="1:2" ht="409.5" customHeight="1" x14ac:dyDescent="0.2">
      <c r="B7" s="52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2:AN113"/>
  <sheetViews>
    <sheetView topLeftCell="K1" zoomScaleNormal="100" workbookViewId="0">
      <selection activeCell="AR24" sqref="AR24"/>
    </sheetView>
  </sheetViews>
  <sheetFormatPr defaultRowHeight="12.75" x14ac:dyDescent="0.2"/>
  <cols>
    <col min="1" max="1" width="16.140625" style="307" customWidth="1"/>
    <col min="2" max="2" width="15.7109375" style="307" customWidth="1"/>
    <col min="3" max="3" width="16.5703125" customWidth="1"/>
    <col min="4" max="4" width="14.28515625" style="30" customWidth="1"/>
    <col min="5" max="6" width="9.7109375" style="30" customWidth="1"/>
    <col min="7" max="7" width="18.7109375" style="30" customWidth="1"/>
    <col min="8" max="8" width="5.7109375" style="30" customWidth="1"/>
    <col min="9" max="9" width="18.7109375" style="30" bestFit="1" customWidth="1"/>
    <col min="10" max="10" width="17" customWidth="1"/>
    <col min="11" max="11" width="7.7109375" customWidth="1"/>
    <col min="12" max="12" width="12.7109375" customWidth="1"/>
    <col min="13" max="13" width="8.42578125" customWidth="1"/>
    <col min="15" max="16" width="9.5703125" style="299" customWidth="1"/>
    <col min="17" max="18" width="12.140625" style="650" customWidth="1"/>
    <col min="19" max="19" width="11.140625" style="650" customWidth="1"/>
    <col min="20" max="20" width="12.140625" style="650" customWidth="1"/>
    <col min="23" max="23" width="12.140625" bestFit="1" customWidth="1"/>
    <col min="24" max="24" width="12.7109375" bestFit="1" customWidth="1"/>
    <col min="27" max="27" width="12.42578125" bestFit="1" customWidth="1"/>
    <col min="28" max="28" width="13.140625" bestFit="1" customWidth="1"/>
    <col min="31" max="31" width="11" bestFit="1" customWidth="1"/>
    <col min="39" max="39" width="12.42578125" bestFit="1" customWidth="1"/>
    <col min="40" max="40" width="13.140625" bestFit="1" customWidth="1"/>
  </cols>
  <sheetData>
    <row r="2" spans="1:40" x14ac:dyDescent="0.2">
      <c r="A2"/>
      <c r="B2"/>
      <c r="AD2" s="113" t="s">
        <v>884</v>
      </c>
    </row>
    <row r="3" spans="1:40" x14ac:dyDescent="0.2">
      <c r="B3" s="308"/>
      <c r="D3" s="30">
        <f>L_infilter*0.000001</f>
        <v>6.8000000000000005E-7</v>
      </c>
      <c r="L3" s="358" t="s">
        <v>878</v>
      </c>
      <c r="M3" s="30">
        <f>'Input Filters'!O9*0.000001</f>
        <v>6.8000000000000005E-7</v>
      </c>
      <c r="AD3" t="s">
        <v>775</v>
      </c>
      <c r="AE3">
        <f>'Input Filters'!G9*0.000001</f>
        <v>9.9999999999999995E-7</v>
      </c>
    </row>
    <row r="4" spans="1:40" x14ac:dyDescent="0.2">
      <c r="B4" s="308"/>
      <c r="L4" s="358" t="s">
        <v>879</v>
      </c>
      <c r="M4" s="30">
        <f>'Input Filters'!O10*0.000001</f>
        <v>4.6999999999999995E-7</v>
      </c>
      <c r="AD4" t="s">
        <v>827</v>
      </c>
      <c r="AE4">
        <f>'Input Filters'!G10*0.000001</f>
        <v>9.9999999999999995E-7</v>
      </c>
    </row>
    <row r="5" spans="1:40" x14ac:dyDescent="0.2">
      <c r="B5" s="308"/>
      <c r="L5" s="113" t="s">
        <v>880</v>
      </c>
      <c r="M5">
        <f>'Input Filters'!O11*0.000001</f>
        <v>9.9999999999999995E-7</v>
      </c>
      <c r="AD5" t="s">
        <v>815</v>
      </c>
      <c r="AE5">
        <f>'Input Filters'!G11*0.000001</f>
        <v>9.9999999999999995E-7</v>
      </c>
    </row>
    <row r="6" spans="1:40" x14ac:dyDescent="0.2">
      <c r="B6" s="308"/>
      <c r="L6" s="113" t="s">
        <v>881</v>
      </c>
      <c r="M6">
        <f>'Input Filters'!O12</f>
        <v>0.35</v>
      </c>
      <c r="AD6" t="s">
        <v>816</v>
      </c>
      <c r="AE6">
        <f>'Input Filters'!G12</f>
        <v>10</v>
      </c>
    </row>
    <row r="7" spans="1:40" ht="13.5" thickBot="1" x14ac:dyDescent="0.25">
      <c r="B7" s="383"/>
    </row>
    <row r="8" spans="1:40" x14ac:dyDescent="0.2">
      <c r="B8" s="392"/>
    </row>
    <row r="9" spans="1:40" ht="13.5" thickBot="1" x14ac:dyDescent="0.25"/>
    <row r="10" spans="1:40" ht="15" x14ac:dyDescent="0.2">
      <c r="A10" s="864" t="s">
        <v>437</v>
      </c>
      <c r="B10" s="858" t="s">
        <v>817</v>
      </c>
      <c r="C10" s="663"/>
      <c r="D10" s="664"/>
      <c r="E10" s="664"/>
      <c r="F10" s="664"/>
      <c r="G10" s="664"/>
      <c r="H10" s="664"/>
      <c r="I10" s="663"/>
      <c r="J10" s="663"/>
      <c r="K10" s="663"/>
      <c r="L10" s="663"/>
      <c r="M10" s="663"/>
      <c r="N10" s="663"/>
      <c r="O10" s="665"/>
      <c r="W10" s="113" t="s">
        <v>877</v>
      </c>
      <c r="AA10" s="113" t="s">
        <v>779</v>
      </c>
      <c r="AD10" s="113" t="s">
        <v>883</v>
      </c>
    </row>
    <row r="11" spans="1:40" ht="15" x14ac:dyDescent="0.2">
      <c r="A11" s="865"/>
      <c r="B11" s="859"/>
      <c r="C11" s="663"/>
      <c r="D11" s="664"/>
      <c r="E11" s="664"/>
      <c r="F11" s="664"/>
      <c r="G11" s="664"/>
      <c r="H11" s="664"/>
      <c r="I11" s="889" t="s">
        <v>796</v>
      </c>
      <c r="J11" s="889"/>
      <c r="K11" s="666"/>
      <c r="L11" s="889" t="s">
        <v>797</v>
      </c>
      <c r="M11" s="889"/>
      <c r="N11" s="889"/>
      <c r="O11" s="889"/>
      <c r="P11" s="649"/>
      <c r="Q11" s="890" t="s">
        <v>779</v>
      </c>
      <c r="R11" s="890"/>
      <c r="S11" s="890"/>
      <c r="T11" s="890"/>
      <c r="W11" s="113" t="s">
        <v>791</v>
      </c>
      <c r="X11" s="113" t="s">
        <v>792</v>
      </c>
      <c r="AA11" s="113" t="s">
        <v>791</v>
      </c>
      <c r="AB11" s="113" t="s">
        <v>792</v>
      </c>
      <c r="AD11" s="889" t="s">
        <v>796</v>
      </c>
      <c r="AE11" s="889"/>
      <c r="AF11" s="889" t="s">
        <v>797</v>
      </c>
      <c r="AG11" s="889"/>
      <c r="AH11" s="889"/>
      <c r="AI11" s="889"/>
    </row>
    <row r="12" spans="1:40" ht="19.5" thickBot="1" x14ac:dyDescent="0.35">
      <c r="A12" s="866"/>
      <c r="B12" s="351"/>
      <c r="C12" s="668" t="s">
        <v>788</v>
      </c>
      <c r="D12" s="669" t="s">
        <v>794</v>
      </c>
      <c r="E12" s="669" t="s">
        <v>793</v>
      </c>
      <c r="F12" s="669"/>
      <c r="G12" s="669" t="s">
        <v>795</v>
      </c>
      <c r="H12" s="667"/>
      <c r="I12" s="664"/>
      <c r="J12" s="663"/>
      <c r="K12" s="663"/>
      <c r="L12" s="663"/>
      <c r="M12" s="663"/>
      <c r="N12" s="663"/>
      <c r="O12" s="665"/>
      <c r="Q12" s="397" t="s">
        <v>789</v>
      </c>
      <c r="R12" s="891" t="s">
        <v>790</v>
      </c>
      <c r="S12" s="891"/>
      <c r="T12" s="891"/>
      <c r="AD12" s="664"/>
      <c r="AE12" s="663"/>
      <c r="AF12" s="663"/>
      <c r="AG12" s="663"/>
      <c r="AH12" s="663"/>
      <c r="AI12" s="665"/>
      <c r="AM12" s="113" t="s">
        <v>791</v>
      </c>
      <c r="AN12" s="113" t="s">
        <v>792</v>
      </c>
    </row>
    <row r="13" spans="1:40" x14ac:dyDescent="0.2">
      <c r="A13" s="324">
        <v>1</v>
      </c>
      <c r="B13" s="352">
        <f>A13/1000</f>
        <v>1E-3</v>
      </c>
      <c r="C13" t="str">
        <f t="shared" ref="C13:C44" si="0">COMPLEX(0,2*Pi*A13)</f>
        <v>6.2831853i</v>
      </c>
      <c r="D13" s="30" t="str">
        <f t="shared" ref="D13:D44" si="1">COMPLEX(-POWER(2*Pi*A13,2),0)</f>
        <v>-39.4784175141361</v>
      </c>
      <c r="E13" s="30" t="str">
        <f t="shared" ref="E13:E44" si="2">COMPLEX(0,-POWER(2*Pi*A13,3))</f>
        <v>-248.050212592082i</v>
      </c>
      <c r="G13" s="30" t="e">
        <f t="shared" ref="G13:G44" si="3">IMSUM(IMPRODUCT(C13,Rcomp_AEF*Csen_AEF),Csen_AEF/Ccomp_AEF)</f>
        <v>#VALUE!</v>
      </c>
      <c r="I13" s="30" t="e">
        <f t="shared" ref="I13:I44" si="4">IMPRODUCT((RdampSel*CdampSel+RdampSel*CinjSel),C13)</f>
        <v>#REF!</v>
      </c>
      <c r="J13" t="e">
        <f>IMSUM(1,I13)</f>
        <v>#REF!</v>
      </c>
      <c r="L13" s="30" t="e">
        <f t="shared" ref="L13:L44" si="5">IMPRODUCT(G13,L_infilterStd*RdampSel*CinjSel*CdampSel,E13)</f>
        <v>#VALUE!</v>
      </c>
      <c r="M13" t="e">
        <f t="shared" ref="M13:M44" si="6">IMPRODUCT(G13,L_infilterStd*CinjSel,D13)</f>
        <v>#VALUE!</v>
      </c>
      <c r="N13" t="e">
        <f>J13</f>
        <v>#REF!</v>
      </c>
      <c r="O13" s="299" t="e">
        <f>IMSUM(L13:N13)</f>
        <v>#VALUE!</v>
      </c>
      <c r="P13" s="651">
        <v>0</v>
      </c>
      <c r="Q13" s="397" t="str">
        <f t="shared" ref="Q13:Q44" si="7">IMSUM(IMPRODUCT(C13,RdampPssv*CdampPssv),1)</f>
        <v>1+0.000002199114855i</v>
      </c>
      <c r="R13" s="397" t="str">
        <f t="shared" ref="R13:R44" si="8">IMPRODUCT(RdampPssv*CdampPssv*CfilterPssv*LinfilterPssv,E13)</f>
        <v>-2.77468967805503E-17i</v>
      </c>
      <c r="S13" s="397" t="str">
        <f t="shared" ref="S13:S44" si="9">IMPRODUCT(D13,LinfilterPssv*(CfilterPssv+CdampPssv))</f>
        <v>-3.94626261471304E-11</v>
      </c>
      <c r="T13" s="397" t="str">
        <f>IMSUM(S13,R13,Q13)</f>
        <v>0.999999999960537+2.19911485497225E-06i</v>
      </c>
      <c r="U13" s="652">
        <v>1</v>
      </c>
      <c r="V13">
        <f>CHOOSE(INFILTER_TYPE,U13,IMDIV(J13,O13))</f>
        <v>1</v>
      </c>
      <c r="W13">
        <f>20*LOG10(IMABS(V13))</f>
        <v>0</v>
      </c>
      <c r="X13">
        <f t="shared" ref="X13:X44" si="10">IMARGUMENT(V13)*180/Pi</f>
        <v>0</v>
      </c>
      <c r="Z13" t="str">
        <f t="shared" ref="Z13:Z44" si="11">IMDIV(Q13,T13)</f>
        <v>1.00000000003946-5.9033537744459E-17i</v>
      </c>
      <c r="AA13">
        <f>20*LOG10(IMABS(Z13))</f>
        <v>3.4274512546547312E-10</v>
      </c>
      <c r="AB13">
        <f t="shared" ref="AB13:AB44" si="12">IMARGUMENT(Z13)*180/Pi</f>
        <v>-3.3823725662152017E-15</v>
      </c>
      <c r="AD13" s="30" t="str">
        <f t="shared" ref="AD13:AD44" si="13">IMPRODUCT((RdampCom*CdampCom+RdampCom*CinjCom),C13)</f>
        <v>0.000125663706i</v>
      </c>
      <c r="AE13" s="30" t="str">
        <f>IMSUM(1,AD13)</f>
        <v>1+0.000125663706i</v>
      </c>
      <c r="AF13" s="30" t="e">
        <f t="shared" ref="AF13:AF44" si="14">IMPRODUCT(G13,L_infilterStd*RdampSel*CinjSel*CdampSel,E13)</f>
        <v>#VALUE!</v>
      </c>
      <c r="AG13" t="e">
        <f t="shared" ref="AG13:AG44" si="15">IMPRODUCT(G13,LAEFCom*CinjCom,D13)</f>
        <v>#VALUE!</v>
      </c>
      <c r="AH13" t="str">
        <f>AE13</f>
        <v>1+0.000125663706i</v>
      </c>
      <c r="AI13" s="766" t="e">
        <f>IMSUM(AF13:AH13)</f>
        <v>#VALUE!</v>
      </c>
      <c r="AK13" t="e">
        <f>IMDIV(AE13,AI13)</f>
        <v>#VALUE!</v>
      </c>
      <c r="AM13" t="e">
        <f>20*LOG10(IMABS(AK13))</f>
        <v>#VALUE!</v>
      </c>
      <c r="AN13" t="e">
        <f t="shared" ref="AN13:AN44" si="16">IMARGUMENT(AK13)*180/Pi</f>
        <v>#VALUE!</v>
      </c>
    </row>
    <row r="14" spans="1:40" x14ac:dyDescent="0.2">
      <c r="A14" s="335">
        <v>2</v>
      </c>
      <c r="B14" s="352">
        <f t="shared" ref="B14:B96" si="17">A14/1000</f>
        <v>2E-3</v>
      </c>
      <c r="C14" t="str">
        <f t="shared" si="0"/>
        <v>12.5663706i</v>
      </c>
      <c r="D14" s="30" t="str">
        <f t="shared" si="1"/>
        <v>-157.913670056544</v>
      </c>
      <c r="E14" s="30" t="str">
        <f t="shared" si="2"/>
        <v>-1984.40170073666i</v>
      </c>
      <c r="G14" s="30" t="e">
        <f t="shared" si="3"/>
        <v>#VALUE!</v>
      </c>
      <c r="I14" s="30" t="e">
        <f t="shared" si="4"/>
        <v>#REF!</v>
      </c>
      <c r="J14" t="e">
        <f t="shared" ref="J14:J96" si="18">IMSUM(1,I14)</f>
        <v>#REF!</v>
      </c>
      <c r="L14" s="30" t="e">
        <f t="shared" si="5"/>
        <v>#VALUE!</v>
      </c>
      <c r="M14" t="e">
        <f t="shared" si="6"/>
        <v>#VALUE!</v>
      </c>
      <c r="N14" t="e">
        <f t="shared" ref="N14:N96" si="19">J14</f>
        <v>#REF!</v>
      </c>
      <c r="O14" s="299" t="e">
        <f t="shared" ref="O14:O96" si="20">IMSUM(L14:N14)</f>
        <v>#VALUE!</v>
      </c>
      <c r="P14" s="651">
        <v>0</v>
      </c>
      <c r="Q14" s="397" t="str">
        <f t="shared" si="7"/>
        <v>1+0.00000439822971i</v>
      </c>
      <c r="R14" s="397" t="str">
        <f t="shared" si="8"/>
        <v>-2.21975174244403E-16i</v>
      </c>
      <c r="S14" s="397" t="str">
        <f t="shared" si="9"/>
        <v>-1.57850504588521E-10</v>
      </c>
      <c r="T14" s="397" t="str">
        <f t="shared" ref="T14:T96" si="21">IMSUM(S14,R14,Q14)</f>
        <v>0.999999999842149+4.39822970977802E-06i</v>
      </c>
      <c r="U14" s="652">
        <v>1</v>
      </c>
      <c r="V14">
        <f t="shared" ref="V14:V44" si="22">CHOOSE(INFILTER_TYPE,U14,IMDIV(J14,O14),IMDIV(Q14,T14))</f>
        <v>1</v>
      </c>
      <c r="W14">
        <f t="shared" ref="W14:W96" si="23">20*LOG10(IMABS(V14))</f>
        <v>0</v>
      </c>
      <c r="X14">
        <f t="shared" si="10"/>
        <v>0</v>
      </c>
      <c r="Z14" t="str">
        <f t="shared" si="11"/>
        <v>1.00000000015785-4.72284395630731E-16i</v>
      </c>
      <c r="AA14">
        <f t="shared" ref="AA14:AA77" si="24">20*LOG10(IMABS(Z14))</f>
        <v>1.3710672912527204E-9</v>
      </c>
      <c r="AB14">
        <f t="shared" si="12"/>
        <v>-2.7059902626176745E-14</v>
      </c>
      <c r="AD14" s="30" t="str">
        <f t="shared" si="13"/>
        <v>0.000251327412i</v>
      </c>
      <c r="AE14" s="30" t="str">
        <f t="shared" ref="AE14:AE77" si="25">IMSUM(1,AD14)</f>
        <v>1+0.000251327412i</v>
      </c>
      <c r="AF14" s="30" t="e">
        <f t="shared" si="14"/>
        <v>#VALUE!</v>
      </c>
      <c r="AG14" t="e">
        <f t="shared" si="15"/>
        <v>#VALUE!</v>
      </c>
      <c r="AH14" t="str">
        <f t="shared" ref="AH14:AH77" si="26">AE14</f>
        <v>1+0.000251327412i</v>
      </c>
      <c r="AI14" s="299" t="e">
        <f t="shared" ref="AI14:AI77" si="27">IMSUM(AF14:AH14)</f>
        <v>#VALUE!</v>
      </c>
      <c r="AK14" t="e">
        <f t="shared" ref="AK14:AK77" si="28">IMDIV(AE14,AI14)</f>
        <v>#VALUE!</v>
      </c>
      <c r="AM14" t="e">
        <f t="shared" ref="AM14:AM77" si="29">20*LOG10(IMABS(AK14))</f>
        <v>#VALUE!</v>
      </c>
      <c r="AN14" t="e">
        <f t="shared" si="16"/>
        <v>#VALUE!</v>
      </c>
    </row>
    <row r="15" spans="1:40" x14ac:dyDescent="0.2">
      <c r="A15" s="335">
        <v>3</v>
      </c>
      <c r="B15" s="352">
        <f t="shared" si="17"/>
        <v>3.0000000000000001E-3</v>
      </c>
      <c r="C15" t="str">
        <f t="shared" si="0"/>
        <v>18.8495559i</v>
      </c>
      <c r="D15" s="30" t="str">
        <f t="shared" si="1"/>
        <v>-355.305757627225</v>
      </c>
      <c r="E15" s="30" t="str">
        <f t="shared" si="2"/>
        <v>-6697.35573998623i</v>
      </c>
      <c r="G15" s="30" t="e">
        <f t="shared" si="3"/>
        <v>#VALUE!</v>
      </c>
      <c r="I15" s="30" t="e">
        <f t="shared" si="4"/>
        <v>#REF!</v>
      </c>
      <c r="J15" t="e">
        <f t="shared" si="18"/>
        <v>#REF!</v>
      </c>
      <c r="L15" s="30" t="e">
        <f t="shared" si="5"/>
        <v>#VALUE!</v>
      </c>
      <c r="M15" t="e">
        <f t="shared" si="6"/>
        <v>#VALUE!</v>
      </c>
      <c r="N15" t="e">
        <f t="shared" si="19"/>
        <v>#REF!</v>
      </c>
      <c r="O15" s="299" t="e">
        <f t="shared" si="20"/>
        <v>#VALUE!</v>
      </c>
      <c r="P15" s="651">
        <v>0</v>
      </c>
      <c r="Q15" s="397" t="str">
        <f t="shared" si="7"/>
        <v>1+0.000006597344565i</v>
      </c>
      <c r="R15" s="397" t="str">
        <f t="shared" si="8"/>
        <v>-7.4916621307486E-16i</v>
      </c>
      <c r="S15" s="397" t="str">
        <f t="shared" si="9"/>
        <v>-3.55163635324174E-10</v>
      </c>
      <c r="T15" s="397" t="str">
        <f t="shared" si="21"/>
        <v>0.999999999644836+6.59734456425083E-06i</v>
      </c>
      <c r="U15" s="652">
        <v>1</v>
      </c>
      <c r="V15">
        <f t="shared" si="22"/>
        <v>1</v>
      </c>
      <c r="W15">
        <f t="shared" si="23"/>
        <v>0</v>
      </c>
      <c r="X15">
        <f t="shared" si="10"/>
        <v>0</v>
      </c>
      <c r="Z15" t="str">
        <f t="shared" si="11"/>
        <v>1.00000000035516-1.59396947052946E-15i</v>
      </c>
      <c r="AA15">
        <f t="shared" si="24"/>
        <v>3.0848797076462865E-9</v>
      </c>
      <c r="AB15">
        <f t="shared" si="12"/>
        <v>-9.1327723405961694E-14</v>
      </c>
      <c r="AD15" s="30" t="str">
        <f t="shared" si="13"/>
        <v>0.000376991118i</v>
      </c>
      <c r="AE15" s="30" t="str">
        <f t="shared" si="25"/>
        <v>1+0.000376991118i</v>
      </c>
      <c r="AF15" s="30" t="e">
        <f t="shared" si="14"/>
        <v>#VALUE!</v>
      </c>
      <c r="AG15" t="e">
        <f t="shared" si="15"/>
        <v>#VALUE!</v>
      </c>
      <c r="AH15" t="str">
        <f t="shared" si="26"/>
        <v>1+0.000376991118i</v>
      </c>
      <c r="AI15" s="299" t="e">
        <f t="shared" si="27"/>
        <v>#VALUE!</v>
      </c>
      <c r="AK15" t="e">
        <f t="shared" si="28"/>
        <v>#VALUE!</v>
      </c>
      <c r="AM15" t="e">
        <f t="shared" si="29"/>
        <v>#VALUE!</v>
      </c>
      <c r="AN15" t="e">
        <f t="shared" si="16"/>
        <v>#VALUE!</v>
      </c>
    </row>
    <row r="16" spans="1:40" x14ac:dyDescent="0.2">
      <c r="A16" s="324">
        <v>4</v>
      </c>
      <c r="B16" s="352">
        <f t="shared" si="17"/>
        <v>4.0000000000000001E-3</v>
      </c>
      <c r="C16" t="str">
        <f t="shared" si="0"/>
        <v>25.1327412i</v>
      </c>
      <c r="D16" s="30" t="str">
        <f t="shared" si="1"/>
        <v>-631.654680226178</v>
      </c>
      <c r="E16" s="30" t="str">
        <f t="shared" si="2"/>
        <v>-15875.2136058933i</v>
      </c>
      <c r="G16" s="30" t="e">
        <f t="shared" si="3"/>
        <v>#VALUE!</v>
      </c>
      <c r="I16" s="30" t="e">
        <f t="shared" si="4"/>
        <v>#REF!</v>
      </c>
      <c r="J16" t="e">
        <f t="shared" si="18"/>
        <v>#REF!</v>
      </c>
      <c r="L16" s="30" t="e">
        <f t="shared" si="5"/>
        <v>#VALUE!</v>
      </c>
      <c r="M16" t="e">
        <f t="shared" si="6"/>
        <v>#VALUE!</v>
      </c>
      <c r="N16" t="e">
        <f t="shared" si="19"/>
        <v>#REF!</v>
      </c>
      <c r="O16" s="299" t="e">
        <f t="shared" si="20"/>
        <v>#VALUE!</v>
      </c>
      <c r="P16" s="651">
        <v>0</v>
      </c>
      <c r="Q16" s="397" t="str">
        <f t="shared" si="7"/>
        <v>1+0.00000879645942i</v>
      </c>
      <c r="R16" s="397" t="str">
        <f t="shared" si="8"/>
        <v>-1.77580139395522E-15i</v>
      </c>
      <c r="S16" s="397" t="str">
        <f t="shared" si="9"/>
        <v>-6.31402018354088E-10</v>
      </c>
      <c r="T16" s="397" t="str">
        <f t="shared" si="21"/>
        <v>0.999999999368598+0.0000087964594182242i</v>
      </c>
      <c r="U16" s="652">
        <v>1</v>
      </c>
      <c r="V16">
        <f t="shared" si="22"/>
        <v>1</v>
      </c>
      <c r="W16">
        <f t="shared" si="23"/>
        <v>0</v>
      </c>
      <c r="X16">
        <f t="shared" si="10"/>
        <v>0</v>
      </c>
      <c r="Z16" t="str">
        <f t="shared" si="11"/>
        <v>1.0000000006314-3.77830227167012E-15i</v>
      </c>
      <c r="AA16">
        <f t="shared" si="24"/>
        <v>5.484271092367277E-9</v>
      </c>
      <c r="AB16">
        <f t="shared" si="12"/>
        <v>-2.1648077400206861E-13</v>
      </c>
      <c r="AD16" s="30" t="str">
        <f t="shared" si="13"/>
        <v>0.000502654824i</v>
      </c>
      <c r="AE16" s="30" t="str">
        <f t="shared" si="25"/>
        <v>1+0.000502654824i</v>
      </c>
      <c r="AF16" s="30" t="e">
        <f t="shared" si="14"/>
        <v>#VALUE!</v>
      </c>
      <c r="AG16" t="e">
        <f t="shared" si="15"/>
        <v>#VALUE!</v>
      </c>
      <c r="AH16" t="str">
        <f t="shared" si="26"/>
        <v>1+0.000502654824i</v>
      </c>
      <c r="AI16" s="299" t="e">
        <f t="shared" si="27"/>
        <v>#VALUE!</v>
      </c>
      <c r="AK16" t="e">
        <f t="shared" si="28"/>
        <v>#VALUE!</v>
      </c>
      <c r="AM16" t="e">
        <f t="shared" si="29"/>
        <v>#VALUE!</v>
      </c>
      <c r="AN16" t="e">
        <f t="shared" si="16"/>
        <v>#VALUE!</v>
      </c>
    </row>
    <row r="17" spans="1:40" x14ac:dyDescent="0.2">
      <c r="A17" s="335">
        <v>5</v>
      </c>
      <c r="B17" s="352">
        <f t="shared" si="17"/>
        <v>5.0000000000000001E-3</v>
      </c>
      <c r="C17" t="str">
        <f t="shared" si="0"/>
        <v>31.4159265i</v>
      </c>
      <c r="D17" s="30" t="str">
        <f t="shared" si="1"/>
        <v>-986.960437853402</v>
      </c>
      <c r="E17" s="30" t="str">
        <f t="shared" si="2"/>
        <v>-31006.2765740103i</v>
      </c>
      <c r="G17" s="30" t="e">
        <f t="shared" si="3"/>
        <v>#VALUE!</v>
      </c>
      <c r="I17" s="30" t="e">
        <f t="shared" si="4"/>
        <v>#REF!</v>
      </c>
      <c r="J17" t="e">
        <f t="shared" si="18"/>
        <v>#REF!</v>
      </c>
      <c r="L17" s="30" t="e">
        <f t="shared" si="5"/>
        <v>#VALUE!</v>
      </c>
      <c r="M17" t="e">
        <f t="shared" si="6"/>
        <v>#VALUE!</v>
      </c>
      <c r="N17" t="e">
        <f t="shared" si="19"/>
        <v>#REF!</v>
      </c>
      <c r="O17" s="299" t="e">
        <f t="shared" si="20"/>
        <v>#VALUE!</v>
      </c>
      <c r="P17" s="651">
        <v>0</v>
      </c>
      <c r="Q17" s="397" t="str">
        <f t="shared" si="7"/>
        <v>1+0.000010995574275i</v>
      </c>
      <c r="R17" s="397" t="str">
        <f t="shared" si="8"/>
        <v>-3.46836209756879E-15i</v>
      </c>
      <c r="S17" s="397" t="str">
        <f t="shared" si="9"/>
        <v>-9.86565653678261E-10</v>
      </c>
      <c r="T17" s="397" t="str">
        <f t="shared" si="21"/>
        <v>0.999999999013434+0.0000109955742715316i</v>
      </c>
      <c r="U17" s="652">
        <v>1</v>
      </c>
      <c r="V17">
        <f t="shared" si="22"/>
        <v>1</v>
      </c>
      <c r="W17">
        <f t="shared" si="23"/>
        <v>0</v>
      </c>
      <c r="X17">
        <f t="shared" si="10"/>
        <v>0</v>
      </c>
      <c r="Z17" t="str">
        <f t="shared" si="11"/>
        <v>1.00000000098657-7.37945946308484E-15i</v>
      </c>
      <c r="AA17">
        <f t="shared" si="24"/>
        <v>8.5692375875376739E-9</v>
      </c>
      <c r="AB17">
        <f t="shared" si="12"/>
        <v>-4.2281188238863731E-13</v>
      </c>
      <c r="AD17" s="30" t="str">
        <f t="shared" si="13"/>
        <v>0.00062831853i</v>
      </c>
      <c r="AE17" s="30" t="str">
        <f t="shared" si="25"/>
        <v>1+0.00062831853i</v>
      </c>
      <c r="AF17" s="30" t="e">
        <f t="shared" si="14"/>
        <v>#VALUE!</v>
      </c>
      <c r="AG17" t="e">
        <f t="shared" si="15"/>
        <v>#VALUE!</v>
      </c>
      <c r="AH17" t="str">
        <f t="shared" si="26"/>
        <v>1+0.00062831853i</v>
      </c>
      <c r="AI17" s="299" t="e">
        <f t="shared" si="27"/>
        <v>#VALUE!</v>
      </c>
      <c r="AK17" t="e">
        <f t="shared" si="28"/>
        <v>#VALUE!</v>
      </c>
      <c r="AM17" t="e">
        <f t="shared" si="29"/>
        <v>#VALUE!</v>
      </c>
      <c r="AN17" t="e">
        <f t="shared" si="16"/>
        <v>#VALUE!</v>
      </c>
    </row>
    <row r="18" spans="1:40" x14ac:dyDescent="0.2">
      <c r="A18" s="335">
        <v>6</v>
      </c>
      <c r="B18" s="352">
        <f t="shared" si="17"/>
        <v>6.0000000000000001E-3</v>
      </c>
      <c r="C18" t="str">
        <f t="shared" si="0"/>
        <v>37.6991118i</v>
      </c>
      <c r="D18" s="30" t="str">
        <f t="shared" si="1"/>
        <v>-1421.2230305089</v>
      </c>
      <c r="E18" s="30" t="str">
        <f t="shared" si="2"/>
        <v>-53578.8459198898i</v>
      </c>
      <c r="G18" s="30" t="e">
        <f t="shared" si="3"/>
        <v>#VALUE!</v>
      </c>
      <c r="I18" s="30" t="e">
        <f t="shared" si="4"/>
        <v>#REF!</v>
      </c>
      <c r="J18" t="e">
        <f t="shared" si="18"/>
        <v>#REF!</v>
      </c>
      <c r="L18" s="30" t="e">
        <f t="shared" si="5"/>
        <v>#VALUE!</v>
      </c>
      <c r="M18" t="e">
        <f t="shared" si="6"/>
        <v>#VALUE!</v>
      </c>
      <c r="N18" t="e">
        <f t="shared" si="19"/>
        <v>#REF!</v>
      </c>
      <c r="O18" s="299" t="e">
        <f t="shared" si="20"/>
        <v>#VALUE!</v>
      </c>
      <c r="P18" s="651">
        <v>0</v>
      </c>
      <c r="Q18" s="397" t="str">
        <f t="shared" si="7"/>
        <v>1+0.00001319468913i</v>
      </c>
      <c r="R18" s="397" t="str">
        <f t="shared" si="8"/>
        <v>-5.99332970459887E-15i</v>
      </c>
      <c r="S18" s="397" t="str">
        <f t="shared" si="9"/>
        <v>-1.4206545412967E-09</v>
      </c>
      <c r="T18" s="397" t="str">
        <f t="shared" si="21"/>
        <v>0.999999998579345+0.0000131946891240067i</v>
      </c>
      <c r="U18" s="652">
        <v>1</v>
      </c>
      <c r="V18">
        <f t="shared" si="22"/>
        <v>1</v>
      </c>
      <c r="W18">
        <f t="shared" si="23"/>
        <v>0</v>
      </c>
      <c r="X18">
        <f t="shared" si="10"/>
        <v>0</v>
      </c>
      <c r="Z18" t="str">
        <f t="shared" si="11"/>
        <v>1.00000000142066-1.27518015159367E-14i</v>
      </c>
      <c r="AA18">
        <f t="shared" si="24"/>
        <v>1.2339696260264985E-8</v>
      </c>
      <c r="AB18">
        <f t="shared" si="12"/>
        <v>-7.3062440784858933E-13</v>
      </c>
      <c r="AD18" s="30" t="str">
        <f t="shared" si="13"/>
        <v>0.000753982236i</v>
      </c>
      <c r="AE18" s="30" t="str">
        <f t="shared" si="25"/>
        <v>1+0.000753982236i</v>
      </c>
      <c r="AF18" s="30" t="e">
        <f t="shared" si="14"/>
        <v>#VALUE!</v>
      </c>
      <c r="AG18" t="e">
        <f t="shared" si="15"/>
        <v>#VALUE!</v>
      </c>
      <c r="AH18" t="str">
        <f t="shared" si="26"/>
        <v>1+0.000753982236i</v>
      </c>
      <c r="AI18" s="299" t="e">
        <f t="shared" si="27"/>
        <v>#VALUE!</v>
      </c>
      <c r="AK18" t="e">
        <f t="shared" si="28"/>
        <v>#VALUE!</v>
      </c>
      <c r="AM18" t="e">
        <f t="shared" si="29"/>
        <v>#VALUE!</v>
      </c>
      <c r="AN18" t="e">
        <f t="shared" si="16"/>
        <v>#VALUE!</v>
      </c>
    </row>
    <row r="19" spans="1:40" x14ac:dyDescent="0.2">
      <c r="A19" s="324">
        <v>7</v>
      </c>
      <c r="B19" s="352">
        <f t="shared" si="17"/>
        <v>7.0000000000000001E-3</v>
      </c>
      <c r="C19" t="str">
        <f t="shared" si="0"/>
        <v>43.9822971i</v>
      </c>
      <c r="D19" s="30" t="str">
        <f t="shared" si="1"/>
        <v>-1934.44245819267</v>
      </c>
      <c r="E19" s="30" t="str">
        <f t="shared" si="2"/>
        <v>-85081.2229190843i</v>
      </c>
      <c r="G19" s="30" t="e">
        <f t="shared" si="3"/>
        <v>#VALUE!</v>
      </c>
      <c r="I19" s="30" t="e">
        <f t="shared" si="4"/>
        <v>#REF!</v>
      </c>
      <c r="J19" t="e">
        <f t="shared" si="18"/>
        <v>#REF!</v>
      </c>
      <c r="L19" s="30" t="e">
        <f t="shared" si="5"/>
        <v>#VALUE!</v>
      </c>
      <c r="M19" t="e">
        <f t="shared" si="6"/>
        <v>#VALUE!</v>
      </c>
      <c r="N19" t="e">
        <f t="shared" si="19"/>
        <v>#REF!</v>
      </c>
      <c r="O19" s="299" t="e">
        <f t="shared" si="20"/>
        <v>#VALUE!</v>
      </c>
      <c r="P19" s="651">
        <v>0</v>
      </c>
      <c r="Q19" s="397" t="str">
        <f t="shared" si="7"/>
        <v>1+0.000015393803985i</v>
      </c>
      <c r="R19" s="397" t="str">
        <f t="shared" si="8"/>
        <v>-9.51718559572877E-15i</v>
      </c>
      <c r="S19" s="397" t="str">
        <f t="shared" si="9"/>
        <v>-1.93366868120939E-09</v>
      </c>
      <c r="T19" s="397" t="str">
        <f t="shared" si="21"/>
        <v>0.999999998066331+0.0000153938039754828i</v>
      </c>
      <c r="U19" s="652">
        <v>1</v>
      </c>
      <c r="V19">
        <f t="shared" si="22"/>
        <v>1</v>
      </c>
      <c r="W19">
        <f t="shared" si="23"/>
        <v>0</v>
      </c>
      <c r="X19">
        <f t="shared" si="10"/>
        <v>0</v>
      </c>
      <c r="Z19" t="str">
        <f t="shared" si="11"/>
        <v>1.00000000193367-2.02493221373488E-14i</v>
      </c>
      <c r="AA19">
        <f t="shared" si="24"/>
        <v>1.6795643252346658E-8</v>
      </c>
      <c r="AB19">
        <f t="shared" si="12"/>
        <v>-1.1602006955531912E-12</v>
      </c>
      <c r="AD19" s="30" t="str">
        <f t="shared" si="13"/>
        <v>0.000879645942i</v>
      </c>
      <c r="AE19" s="30" t="str">
        <f t="shared" si="25"/>
        <v>1+0.000879645942i</v>
      </c>
      <c r="AF19" s="30" t="e">
        <f t="shared" si="14"/>
        <v>#VALUE!</v>
      </c>
      <c r="AG19" t="e">
        <f t="shared" si="15"/>
        <v>#VALUE!</v>
      </c>
      <c r="AH19" t="str">
        <f t="shared" si="26"/>
        <v>1+0.000879645942i</v>
      </c>
      <c r="AI19" s="299" t="e">
        <f t="shared" si="27"/>
        <v>#VALUE!</v>
      </c>
      <c r="AK19" t="e">
        <f t="shared" si="28"/>
        <v>#VALUE!</v>
      </c>
      <c r="AM19" t="e">
        <f t="shared" si="29"/>
        <v>#VALUE!</v>
      </c>
      <c r="AN19" t="e">
        <f t="shared" si="16"/>
        <v>#VALUE!</v>
      </c>
    </row>
    <row r="20" spans="1:40" x14ac:dyDescent="0.2">
      <c r="A20" s="335">
        <v>8</v>
      </c>
      <c r="B20" s="352">
        <f t="shared" si="17"/>
        <v>8.0000000000000002E-3</v>
      </c>
      <c r="C20" t="str">
        <f t="shared" si="0"/>
        <v>50.2654824i</v>
      </c>
      <c r="D20" s="30" t="str">
        <f t="shared" si="1"/>
        <v>-2526.61872090471</v>
      </c>
      <c r="E20" s="30" t="str">
        <f t="shared" si="2"/>
        <v>-127001.708847146i</v>
      </c>
      <c r="G20" s="30" t="e">
        <f t="shared" si="3"/>
        <v>#VALUE!</v>
      </c>
      <c r="I20" s="30" t="e">
        <f t="shared" si="4"/>
        <v>#REF!</v>
      </c>
      <c r="J20" t="e">
        <f t="shared" si="18"/>
        <v>#REF!</v>
      </c>
      <c r="L20" s="30" t="e">
        <f t="shared" si="5"/>
        <v>#VALUE!</v>
      </c>
      <c r="M20" t="e">
        <f t="shared" si="6"/>
        <v>#VALUE!</v>
      </c>
      <c r="N20" t="e">
        <f t="shared" si="19"/>
        <v>#REF!</v>
      </c>
      <c r="O20" s="299" t="e">
        <f t="shared" si="20"/>
        <v>#VALUE!</v>
      </c>
      <c r="P20" s="651">
        <v>0</v>
      </c>
      <c r="Q20" s="397" t="str">
        <f t="shared" si="7"/>
        <v>1+0.00001759291884i</v>
      </c>
      <c r="R20" s="397" t="str">
        <f t="shared" si="8"/>
        <v>-1.42064111516417E-14i</v>
      </c>
      <c r="S20" s="397" t="str">
        <f t="shared" si="9"/>
        <v>-2.52560807341635E-09</v>
      </c>
      <c r="T20" s="397" t="str">
        <f t="shared" si="21"/>
        <v>0.999999997474392+0.0000175929188257936i</v>
      </c>
      <c r="U20" s="652">
        <v>1</v>
      </c>
      <c r="V20">
        <f t="shared" si="22"/>
        <v>1</v>
      </c>
      <c r="W20">
        <f t="shared" si="23"/>
        <v>0</v>
      </c>
      <c r="X20">
        <f t="shared" si="10"/>
        <v>0</v>
      </c>
      <c r="Z20" t="str">
        <f t="shared" si="11"/>
        <v>1.00000000252561-3.02264148354676E-14i</v>
      </c>
      <c r="AA20">
        <f t="shared" si="24"/>
        <v>2.1937169209509332E-8</v>
      </c>
      <c r="AB20">
        <f t="shared" si="12"/>
        <v>-1.7318459974888673E-12</v>
      </c>
      <c r="AD20" s="30" t="str">
        <f t="shared" si="13"/>
        <v>0.001005309648i</v>
      </c>
      <c r="AE20" s="30" t="str">
        <f t="shared" si="25"/>
        <v>1+0.001005309648i</v>
      </c>
      <c r="AF20" s="30" t="e">
        <f t="shared" si="14"/>
        <v>#VALUE!</v>
      </c>
      <c r="AG20" t="e">
        <f t="shared" si="15"/>
        <v>#VALUE!</v>
      </c>
      <c r="AH20" t="str">
        <f t="shared" si="26"/>
        <v>1+0.001005309648i</v>
      </c>
      <c r="AI20" s="299" t="e">
        <f t="shared" si="27"/>
        <v>#VALUE!</v>
      </c>
      <c r="AK20" t="e">
        <f t="shared" si="28"/>
        <v>#VALUE!</v>
      </c>
      <c r="AM20" t="e">
        <f t="shared" si="29"/>
        <v>#VALUE!</v>
      </c>
      <c r="AN20" t="e">
        <f t="shared" si="16"/>
        <v>#VALUE!</v>
      </c>
    </row>
    <row r="21" spans="1:40" x14ac:dyDescent="0.2">
      <c r="A21" s="335">
        <v>9</v>
      </c>
      <c r="B21" s="352">
        <f t="shared" si="17"/>
        <v>8.9999999999999993E-3</v>
      </c>
      <c r="C21" t="str">
        <f t="shared" si="0"/>
        <v>56.5486677i</v>
      </c>
      <c r="D21" s="30" t="str">
        <f t="shared" si="1"/>
        <v>-3197.75181864502</v>
      </c>
      <c r="E21" s="30" t="str">
        <f t="shared" si="2"/>
        <v>-180828.604979628i</v>
      </c>
      <c r="G21" s="30" t="e">
        <f t="shared" si="3"/>
        <v>#VALUE!</v>
      </c>
      <c r="I21" s="30" t="e">
        <f t="shared" si="4"/>
        <v>#REF!</v>
      </c>
      <c r="J21" t="e">
        <f t="shared" si="18"/>
        <v>#REF!</v>
      </c>
      <c r="L21" s="30" t="e">
        <f t="shared" si="5"/>
        <v>#VALUE!</v>
      </c>
      <c r="M21" t="e">
        <f t="shared" si="6"/>
        <v>#VALUE!</v>
      </c>
      <c r="N21" t="e">
        <f t="shared" si="19"/>
        <v>#REF!</v>
      </c>
      <c r="O21" s="299" t="e">
        <f t="shared" si="20"/>
        <v>#VALUE!</v>
      </c>
      <c r="P21" s="651">
        <v>0</v>
      </c>
      <c r="Q21" s="397" t="str">
        <f t="shared" si="7"/>
        <v>1+0.000019792033695i</v>
      </c>
      <c r="R21" s="397" t="str">
        <f t="shared" si="8"/>
        <v>-2.02274877530212E-14i</v>
      </c>
      <c r="S21" s="397" t="str">
        <f t="shared" si="9"/>
        <v>-3.19647271791756E-09</v>
      </c>
      <c r="T21" s="397" t="str">
        <f t="shared" si="21"/>
        <v>0.999999996803527+0.0000197920336747725i</v>
      </c>
      <c r="U21" s="652">
        <v>1</v>
      </c>
      <c r="V21">
        <f t="shared" si="22"/>
        <v>1</v>
      </c>
      <c r="W21">
        <f t="shared" si="23"/>
        <v>0</v>
      </c>
      <c r="X21">
        <f t="shared" si="10"/>
        <v>0</v>
      </c>
      <c r="Z21" t="str">
        <f t="shared" si="11"/>
        <v>1.00000000319647-4.30372020696133E-14i</v>
      </c>
      <c r="AA21">
        <f t="shared" si="24"/>
        <v>2.7764185412408903E-8</v>
      </c>
      <c r="AB21">
        <f t="shared" si="12"/>
        <v>-2.4658500355761629E-12</v>
      </c>
      <c r="AD21" s="30" t="str">
        <f t="shared" si="13"/>
        <v>0.001130973354i</v>
      </c>
      <c r="AE21" s="30" t="str">
        <f t="shared" si="25"/>
        <v>1+0.001130973354i</v>
      </c>
      <c r="AF21" s="30" t="e">
        <f t="shared" si="14"/>
        <v>#VALUE!</v>
      </c>
      <c r="AG21" t="e">
        <f t="shared" si="15"/>
        <v>#VALUE!</v>
      </c>
      <c r="AH21" t="str">
        <f t="shared" si="26"/>
        <v>1+0.001130973354i</v>
      </c>
      <c r="AI21" s="299" t="e">
        <f t="shared" si="27"/>
        <v>#VALUE!</v>
      </c>
      <c r="AK21" t="e">
        <f t="shared" si="28"/>
        <v>#VALUE!</v>
      </c>
      <c r="AM21" t="e">
        <f t="shared" si="29"/>
        <v>#VALUE!</v>
      </c>
      <c r="AN21" t="e">
        <f t="shared" si="16"/>
        <v>#VALUE!</v>
      </c>
    </row>
    <row r="22" spans="1:40" x14ac:dyDescent="0.2">
      <c r="A22" s="324">
        <v>10</v>
      </c>
      <c r="B22" s="352">
        <f t="shared" si="17"/>
        <v>0.01</v>
      </c>
      <c r="C22" t="str">
        <f t="shared" si="0"/>
        <v>62.831853i</v>
      </c>
      <c r="D22" s="30" t="str">
        <f t="shared" si="1"/>
        <v>-3947.84175141361</v>
      </c>
      <c r="E22" s="30" t="str">
        <f t="shared" si="2"/>
        <v>-248050.212592082i</v>
      </c>
      <c r="G22" s="30" t="e">
        <f t="shared" si="3"/>
        <v>#VALUE!</v>
      </c>
      <c r="I22" s="30" t="e">
        <f t="shared" si="4"/>
        <v>#REF!</v>
      </c>
      <c r="J22" t="e">
        <f t="shared" si="18"/>
        <v>#REF!</v>
      </c>
      <c r="L22" s="30" t="e">
        <f t="shared" si="5"/>
        <v>#VALUE!</v>
      </c>
      <c r="M22" t="e">
        <f t="shared" si="6"/>
        <v>#VALUE!</v>
      </c>
      <c r="N22" t="e">
        <f t="shared" si="19"/>
        <v>#REF!</v>
      </c>
      <c r="O22" s="299" t="e">
        <f t="shared" si="20"/>
        <v>#VALUE!</v>
      </c>
      <c r="P22" s="651">
        <v>0</v>
      </c>
      <c r="Q22" s="397" t="str">
        <f t="shared" si="7"/>
        <v>1+0.00002199114855i</v>
      </c>
      <c r="R22" s="397" t="str">
        <f t="shared" si="8"/>
        <v>-2.77468967805503E-14i</v>
      </c>
      <c r="S22" s="397" t="str">
        <f t="shared" si="9"/>
        <v>-3.94626261471304E-09</v>
      </c>
      <c r="T22" s="397" t="str">
        <f t="shared" si="21"/>
        <v>0.999999996053737+0.0000219911485222531i</v>
      </c>
      <c r="U22" s="652">
        <v>1</v>
      </c>
      <c r="V22">
        <f t="shared" si="22"/>
        <v>1</v>
      </c>
      <c r="W22">
        <f t="shared" si="23"/>
        <v>0</v>
      </c>
      <c r="X22">
        <f t="shared" si="10"/>
        <v>0</v>
      </c>
      <c r="Z22" t="str">
        <f t="shared" si="11"/>
        <v>1.00000000394626-5.90359570729332E-14i</v>
      </c>
      <c r="AA22">
        <f t="shared" si="24"/>
        <v>3.4276778649137416E-8</v>
      </c>
      <c r="AB22">
        <f t="shared" si="12"/>
        <v>-3.3825111703113878E-12</v>
      </c>
      <c r="AD22" s="30" t="str">
        <f t="shared" si="13"/>
        <v>0.00125663706i</v>
      </c>
      <c r="AE22" s="30" t="str">
        <f t="shared" si="25"/>
        <v>1+0.00125663706i</v>
      </c>
      <c r="AF22" s="30" t="e">
        <f t="shared" si="14"/>
        <v>#VALUE!</v>
      </c>
      <c r="AG22" t="e">
        <f t="shared" si="15"/>
        <v>#VALUE!</v>
      </c>
      <c r="AH22" t="str">
        <f t="shared" si="26"/>
        <v>1+0.00125663706i</v>
      </c>
      <c r="AI22" s="299" t="e">
        <f t="shared" si="27"/>
        <v>#VALUE!</v>
      </c>
      <c r="AK22" t="e">
        <f t="shared" si="28"/>
        <v>#VALUE!</v>
      </c>
      <c r="AM22" t="e">
        <f t="shared" si="29"/>
        <v>#VALUE!</v>
      </c>
      <c r="AN22" t="e">
        <f t="shared" si="16"/>
        <v>#VALUE!</v>
      </c>
    </row>
    <row r="23" spans="1:40" x14ac:dyDescent="0.2">
      <c r="A23" s="335">
        <v>20</v>
      </c>
      <c r="B23" s="352">
        <f t="shared" si="17"/>
        <v>0.02</v>
      </c>
      <c r="C23" t="str">
        <f t="shared" si="0"/>
        <v>125.663706i</v>
      </c>
      <c r="D23" s="30" t="str">
        <f t="shared" si="1"/>
        <v>-15791.3670056544</v>
      </c>
      <c r="E23" s="30" t="str">
        <f t="shared" si="2"/>
        <v>-1984401.70073666i</v>
      </c>
      <c r="G23" s="30" t="e">
        <f t="shared" si="3"/>
        <v>#VALUE!</v>
      </c>
      <c r="I23" s="30" t="e">
        <f t="shared" si="4"/>
        <v>#REF!</v>
      </c>
      <c r="J23" t="e">
        <f t="shared" si="18"/>
        <v>#REF!</v>
      </c>
      <c r="L23" s="30" t="e">
        <f t="shared" si="5"/>
        <v>#VALUE!</v>
      </c>
      <c r="M23" t="e">
        <f t="shared" si="6"/>
        <v>#VALUE!</v>
      </c>
      <c r="N23" t="e">
        <f t="shared" si="19"/>
        <v>#REF!</v>
      </c>
      <c r="O23" s="299" t="e">
        <f t="shared" si="20"/>
        <v>#VALUE!</v>
      </c>
      <c r="P23" s="651">
        <v>0</v>
      </c>
      <c r="Q23" s="397" t="str">
        <f t="shared" si="7"/>
        <v>1+0.0000439822971i</v>
      </c>
      <c r="R23" s="397" t="str">
        <f t="shared" si="8"/>
        <v>-2.21975174244403E-13i</v>
      </c>
      <c r="S23" s="397" t="str">
        <f t="shared" si="9"/>
        <v>-1.57850504588521E-08</v>
      </c>
      <c r="T23" s="397" t="str">
        <f t="shared" si="21"/>
        <v>0.99999998421495+0.0000439822968780248i</v>
      </c>
      <c r="U23" s="652">
        <v>1</v>
      </c>
      <c r="V23">
        <f t="shared" si="22"/>
        <v>1</v>
      </c>
      <c r="W23">
        <f t="shared" si="23"/>
        <v>0</v>
      </c>
      <c r="X23">
        <f t="shared" si="10"/>
        <v>0</v>
      </c>
      <c r="Z23" t="str">
        <f t="shared" si="11"/>
        <v>1.00000001578505-4.72287580174405E-13i</v>
      </c>
      <c r="AA23">
        <f t="shared" si="24"/>
        <v>1.3710720057442979E-7</v>
      </c>
      <c r="AB23">
        <f t="shared" si="12"/>
        <v>-2.7060084664215768E-11</v>
      </c>
      <c r="AD23" s="30" t="str">
        <f t="shared" si="13"/>
        <v>0.00251327412i</v>
      </c>
      <c r="AE23" s="30" t="str">
        <f t="shared" si="25"/>
        <v>1+0.00251327412i</v>
      </c>
      <c r="AF23" s="30" t="e">
        <f t="shared" si="14"/>
        <v>#VALUE!</v>
      </c>
      <c r="AG23" t="e">
        <f t="shared" si="15"/>
        <v>#VALUE!</v>
      </c>
      <c r="AH23" t="str">
        <f t="shared" si="26"/>
        <v>1+0.00251327412i</v>
      </c>
      <c r="AI23" s="299" t="e">
        <f t="shared" si="27"/>
        <v>#VALUE!</v>
      </c>
      <c r="AK23" t="e">
        <f t="shared" si="28"/>
        <v>#VALUE!</v>
      </c>
      <c r="AM23" t="e">
        <f t="shared" si="29"/>
        <v>#VALUE!</v>
      </c>
      <c r="AN23" t="e">
        <f t="shared" si="16"/>
        <v>#VALUE!</v>
      </c>
    </row>
    <row r="24" spans="1:40" x14ac:dyDescent="0.2">
      <c r="A24" s="324">
        <v>30</v>
      </c>
      <c r="B24" s="352">
        <f t="shared" si="17"/>
        <v>0.03</v>
      </c>
      <c r="C24" t="str">
        <f t="shared" si="0"/>
        <v>188.495559i</v>
      </c>
      <c r="D24" s="30" t="str">
        <f t="shared" si="1"/>
        <v>-35530.5757627225</v>
      </c>
      <c r="E24" s="30" t="str">
        <f t="shared" si="2"/>
        <v>-6697355.73998623i</v>
      </c>
      <c r="G24" s="30" t="e">
        <f t="shared" si="3"/>
        <v>#VALUE!</v>
      </c>
      <c r="I24" s="30" t="e">
        <f t="shared" si="4"/>
        <v>#REF!</v>
      </c>
      <c r="J24" t="e">
        <f t="shared" si="18"/>
        <v>#REF!</v>
      </c>
      <c r="L24" s="30" t="e">
        <f t="shared" si="5"/>
        <v>#VALUE!</v>
      </c>
      <c r="M24" t="e">
        <f t="shared" si="6"/>
        <v>#VALUE!</v>
      </c>
      <c r="N24" t="e">
        <f t="shared" si="19"/>
        <v>#REF!</v>
      </c>
      <c r="O24" s="299" t="e">
        <f t="shared" si="20"/>
        <v>#VALUE!</v>
      </c>
      <c r="P24" s="651">
        <v>0</v>
      </c>
      <c r="Q24" s="397" t="str">
        <f t="shared" si="7"/>
        <v>1+0.00006597344565i</v>
      </c>
      <c r="R24" s="397" t="str">
        <f t="shared" si="8"/>
        <v>-7.4916621307486E-13i</v>
      </c>
      <c r="S24" s="397" t="str">
        <f t="shared" si="9"/>
        <v>-3.55163635324174E-08</v>
      </c>
      <c r="T24" s="397" t="str">
        <f t="shared" si="21"/>
        <v>0.999999964483636+0.0000659734449008338i</v>
      </c>
      <c r="U24" s="652">
        <v>1</v>
      </c>
      <c r="V24">
        <f t="shared" si="22"/>
        <v>1</v>
      </c>
      <c r="W24">
        <f t="shared" si="23"/>
        <v>0</v>
      </c>
      <c r="X24">
        <f t="shared" si="10"/>
        <v>0</v>
      </c>
      <c r="Z24" t="str">
        <f t="shared" si="11"/>
        <v>1.00000003551637-1.59397081397336E-12i</v>
      </c>
      <c r="AA24">
        <f t="shared" si="24"/>
        <v>3.0849126526975555E-7</v>
      </c>
      <c r="AB24">
        <f t="shared" si="12"/>
        <v>-9.1327797168431367E-11</v>
      </c>
      <c r="AD24" s="30" t="str">
        <f t="shared" si="13"/>
        <v>0.00376991118i</v>
      </c>
      <c r="AE24" s="30" t="str">
        <f t="shared" si="25"/>
        <v>1+0.00376991118i</v>
      </c>
      <c r="AF24" s="30" t="e">
        <f t="shared" si="14"/>
        <v>#VALUE!</v>
      </c>
      <c r="AG24" t="e">
        <f t="shared" si="15"/>
        <v>#VALUE!</v>
      </c>
      <c r="AH24" t="str">
        <f t="shared" si="26"/>
        <v>1+0.00376991118i</v>
      </c>
      <c r="AI24" s="299" t="e">
        <f t="shared" si="27"/>
        <v>#VALUE!</v>
      </c>
      <c r="AK24" t="e">
        <f t="shared" si="28"/>
        <v>#VALUE!</v>
      </c>
      <c r="AM24" t="e">
        <f t="shared" si="29"/>
        <v>#VALUE!</v>
      </c>
      <c r="AN24" t="e">
        <f t="shared" si="16"/>
        <v>#VALUE!</v>
      </c>
    </row>
    <row r="25" spans="1:40" x14ac:dyDescent="0.2">
      <c r="A25" s="335">
        <v>40</v>
      </c>
      <c r="B25" s="352">
        <f t="shared" si="17"/>
        <v>0.04</v>
      </c>
      <c r="C25" t="str">
        <f t="shared" si="0"/>
        <v>251.327412i</v>
      </c>
      <c r="D25" s="30" t="str">
        <f t="shared" si="1"/>
        <v>-63165.4680226178</v>
      </c>
      <c r="E25" s="30" t="str">
        <f t="shared" si="2"/>
        <v>-15875213.6058933i</v>
      </c>
      <c r="G25" s="30" t="e">
        <f t="shared" si="3"/>
        <v>#VALUE!</v>
      </c>
      <c r="I25" s="30" t="e">
        <f t="shared" si="4"/>
        <v>#REF!</v>
      </c>
      <c r="J25" t="e">
        <f t="shared" si="18"/>
        <v>#REF!</v>
      </c>
      <c r="L25" s="30" t="e">
        <f t="shared" si="5"/>
        <v>#VALUE!</v>
      </c>
      <c r="M25" t="e">
        <f t="shared" si="6"/>
        <v>#VALUE!</v>
      </c>
      <c r="N25" t="e">
        <f t="shared" si="19"/>
        <v>#REF!</v>
      </c>
      <c r="O25" s="299" t="e">
        <f t="shared" si="20"/>
        <v>#VALUE!</v>
      </c>
      <c r="P25" s="651">
        <v>0</v>
      </c>
      <c r="Q25" s="397" t="str">
        <f t="shared" si="7"/>
        <v>1+0.0000879645942i</v>
      </c>
      <c r="R25" s="397" t="str">
        <f t="shared" si="8"/>
        <v>-1.77580139395522E-12i</v>
      </c>
      <c r="S25" s="397" t="str">
        <f t="shared" si="9"/>
        <v>-6.31402018354088E-08</v>
      </c>
      <c r="T25" s="397" t="str">
        <f t="shared" si="21"/>
        <v>0.999999936859798+0.0000879645924241986i</v>
      </c>
      <c r="U25" s="652">
        <v>1</v>
      </c>
      <c r="V25">
        <f t="shared" si="22"/>
        <v>1</v>
      </c>
      <c r="W25">
        <f t="shared" si="23"/>
        <v>0</v>
      </c>
      <c r="X25">
        <f t="shared" si="10"/>
        <v>0</v>
      </c>
      <c r="Z25" t="str">
        <f t="shared" si="11"/>
        <v>1.00000006314021-3.77830129983406E-12i</v>
      </c>
      <c r="AA25">
        <f t="shared" si="24"/>
        <v>5.4842887803037698E-7</v>
      </c>
      <c r="AB25">
        <f t="shared" si="12"/>
        <v>-2.1648070478801279E-10</v>
      </c>
      <c r="AD25" s="30" t="str">
        <f t="shared" si="13"/>
        <v>0.00502654824i</v>
      </c>
      <c r="AE25" s="30" t="str">
        <f t="shared" si="25"/>
        <v>1+0.00502654824i</v>
      </c>
      <c r="AF25" s="30" t="e">
        <f t="shared" si="14"/>
        <v>#VALUE!</v>
      </c>
      <c r="AG25" t="e">
        <f t="shared" si="15"/>
        <v>#VALUE!</v>
      </c>
      <c r="AH25" t="str">
        <f t="shared" si="26"/>
        <v>1+0.00502654824i</v>
      </c>
      <c r="AI25" s="299" t="e">
        <f t="shared" si="27"/>
        <v>#VALUE!</v>
      </c>
      <c r="AK25" t="e">
        <f t="shared" si="28"/>
        <v>#VALUE!</v>
      </c>
      <c r="AM25" t="e">
        <f t="shared" si="29"/>
        <v>#VALUE!</v>
      </c>
      <c r="AN25" t="e">
        <f t="shared" si="16"/>
        <v>#VALUE!</v>
      </c>
    </row>
    <row r="26" spans="1:40" x14ac:dyDescent="0.2">
      <c r="A26" s="324">
        <v>50</v>
      </c>
      <c r="B26" s="352">
        <f t="shared" si="17"/>
        <v>0.05</v>
      </c>
      <c r="C26" t="str">
        <f t="shared" si="0"/>
        <v>314.159265i</v>
      </c>
      <c r="D26" s="30" t="str">
        <f t="shared" si="1"/>
        <v>-98696.0437853402</v>
      </c>
      <c r="E26" s="30" t="str">
        <f t="shared" si="2"/>
        <v>-31006276.5740103i</v>
      </c>
      <c r="G26" s="30" t="e">
        <f t="shared" si="3"/>
        <v>#VALUE!</v>
      </c>
      <c r="I26" s="30" t="e">
        <f t="shared" si="4"/>
        <v>#REF!</v>
      </c>
      <c r="J26" t="e">
        <f t="shared" si="18"/>
        <v>#REF!</v>
      </c>
      <c r="L26" s="30" t="e">
        <f t="shared" si="5"/>
        <v>#VALUE!</v>
      </c>
      <c r="M26" t="e">
        <f t="shared" si="6"/>
        <v>#VALUE!</v>
      </c>
      <c r="N26" t="e">
        <f t="shared" si="19"/>
        <v>#REF!</v>
      </c>
      <c r="O26" s="299" t="e">
        <f t="shared" si="20"/>
        <v>#VALUE!</v>
      </c>
      <c r="P26" s="651">
        <v>0</v>
      </c>
      <c r="Q26" s="397" t="str">
        <f t="shared" si="7"/>
        <v>1+0.00010995574275i</v>
      </c>
      <c r="R26" s="397" t="str">
        <f t="shared" si="8"/>
        <v>-3.46836209756879E-12i</v>
      </c>
      <c r="S26" s="397" t="str">
        <f t="shared" si="9"/>
        <v>-9.86565653678261E-08</v>
      </c>
      <c r="T26" s="397" t="str">
        <f t="shared" si="21"/>
        <v>0.999999901343435+0.000109955739281638i</v>
      </c>
      <c r="U26" s="652">
        <v>1</v>
      </c>
      <c r="V26">
        <f t="shared" si="22"/>
        <v>1</v>
      </c>
      <c r="W26">
        <f t="shared" si="23"/>
        <v>0</v>
      </c>
      <c r="X26">
        <f t="shared" si="10"/>
        <v>0</v>
      </c>
      <c r="Z26" t="str">
        <f t="shared" si="11"/>
        <v>1.00000009865657-7.37949525076775E-12i</v>
      </c>
      <c r="AA26">
        <f t="shared" si="24"/>
        <v>8.5692003703246746E-7</v>
      </c>
      <c r="AB26">
        <f t="shared" si="12"/>
        <v>-4.2281389157559421E-10</v>
      </c>
      <c r="AD26" s="30" t="str">
        <f t="shared" si="13"/>
        <v>0.0062831853i</v>
      </c>
      <c r="AE26" s="30" t="str">
        <f t="shared" si="25"/>
        <v>1+0.0062831853i</v>
      </c>
      <c r="AF26" s="30" t="e">
        <f t="shared" si="14"/>
        <v>#VALUE!</v>
      </c>
      <c r="AG26" t="e">
        <f t="shared" si="15"/>
        <v>#VALUE!</v>
      </c>
      <c r="AH26" t="str">
        <f t="shared" si="26"/>
        <v>1+0.0062831853i</v>
      </c>
      <c r="AI26" s="299" t="e">
        <f t="shared" si="27"/>
        <v>#VALUE!</v>
      </c>
      <c r="AK26" t="e">
        <f t="shared" si="28"/>
        <v>#VALUE!</v>
      </c>
      <c r="AM26" t="e">
        <f t="shared" si="29"/>
        <v>#VALUE!</v>
      </c>
      <c r="AN26" t="e">
        <f t="shared" si="16"/>
        <v>#VALUE!</v>
      </c>
    </row>
    <row r="27" spans="1:40" x14ac:dyDescent="0.2">
      <c r="A27" s="335">
        <v>60</v>
      </c>
      <c r="B27" s="352">
        <f t="shared" si="17"/>
        <v>0.06</v>
      </c>
      <c r="C27" t="str">
        <f t="shared" si="0"/>
        <v>376.991118i</v>
      </c>
      <c r="D27" s="30" t="str">
        <f t="shared" si="1"/>
        <v>-142122.30305089</v>
      </c>
      <c r="E27" s="30" t="str">
        <f t="shared" si="2"/>
        <v>-53578845.9198898i</v>
      </c>
      <c r="G27" s="30" t="e">
        <f t="shared" si="3"/>
        <v>#VALUE!</v>
      </c>
      <c r="I27" s="30" t="e">
        <f t="shared" si="4"/>
        <v>#REF!</v>
      </c>
      <c r="J27" t="e">
        <f t="shared" si="18"/>
        <v>#REF!</v>
      </c>
      <c r="L27" s="30" t="e">
        <f t="shared" si="5"/>
        <v>#VALUE!</v>
      </c>
      <c r="M27" t="e">
        <f t="shared" si="6"/>
        <v>#VALUE!</v>
      </c>
      <c r="N27" t="e">
        <f t="shared" si="19"/>
        <v>#REF!</v>
      </c>
      <c r="O27" s="299" t="e">
        <f t="shared" si="20"/>
        <v>#VALUE!</v>
      </c>
      <c r="P27" s="651">
        <v>0</v>
      </c>
      <c r="Q27" s="397" t="str">
        <f t="shared" si="7"/>
        <v>1+0.0001319468913i</v>
      </c>
      <c r="R27" s="397" t="str">
        <f t="shared" si="8"/>
        <v>-5.99332970459887E-12i</v>
      </c>
      <c r="S27" s="397" t="str">
        <f t="shared" si="9"/>
        <v>-1.4206545412967E-07</v>
      </c>
      <c r="T27" s="397" t="str">
        <f t="shared" si="21"/>
        <v>0.999999857934546+0.00013194688530667i</v>
      </c>
      <c r="U27" s="652">
        <v>1</v>
      </c>
      <c r="V27">
        <f t="shared" si="22"/>
        <v>1</v>
      </c>
      <c r="W27">
        <f t="shared" si="23"/>
        <v>0</v>
      </c>
      <c r="X27">
        <f t="shared" si="10"/>
        <v>0</v>
      </c>
      <c r="Z27" t="str">
        <f t="shared" si="11"/>
        <v>1.00000014206547-1.27517683815965E-11i</v>
      </c>
      <c r="AA27">
        <f t="shared" si="24"/>
        <v>1.2339649066219747E-6</v>
      </c>
      <c r="AB27">
        <f t="shared" si="12"/>
        <v>-7.3062240663248992E-10</v>
      </c>
      <c r="AD27" s="30" t="str">
        <f t="shared" si="13"/>
        <v>0.00753982236i</v>
      </c>
      <c r="AE27" s="30" t="str">
        <f t="shared" si="25"/>
        <v>1+0.00753982236i</v>
      </c>
      <c r="AF27" s="30" t="e">
        <f t="shared" si="14"/>
        <v>#VALUE!</v>
      </c>
      <c r="AG27" t="e">
        <f t="shared" si="15"/>
        <v>#VALUE!</v>
      </c>
      <c r="AH27" t="str">
        <f t="shared" si="26"/>
        <v>1+0.00753982236i</v>
      </c>
      <c r="AI27" s="299" t="e">
        <f t="shared" si="27"/>
        <v>#VALUE!</v>
      </c>
      <c r="AK27" t="e">
        <f t="shared" si="28"/>
        <v>#VALUE!</v>
      </c>
      <c r="AM27" t="e">
        <f t="shared" si="29"/>
        <v>#VALUE!</v>
      </c>
      <c r="AN27" t="e">
        <f t="shared" si="16"/>
        <v>#VALUE!</v>
      </c>
    </row>
    <row r="28" spans="1:40" x14ac:dyDescent="0.2">
      <c r="A28" s="324">
        <v>70</v>
      </c>
      <c r="B28" s="352">
        <f t="shared" si="17"/>
        <v>7.0000000000000007E-2</v>
      </c>
      <c r="C28" t="str">
        <f t="shared" si="0"/>
        <v>439.822971i</v>
      </c>
      <c r="D28" s="30" t="str">
        <f t="shared" si="1"/>
        <v>-193444.245819267</v>
      </c>
      <c r="E28" s="30" t="str">
        <f t="shared" si="2"/>
        <v>-85081222.9190843i</v>
      </c>
      <c r="G28" s="30" t="e">
        <f t="shared" si="3"/>
        <v>#VALUE!</v>
      </c>
      <c r="I28" s="30" t="e">
        <f t="shared" si="4"/>
        <v>#REF!</v>
      </c>
      <c r="J28" t="e">
        <f t="shared" si="18"/>
        <v>#REF!</v>
      </c>
      <c r="L28" s="30" t="e">
        <f t="shared" si="5"/>
        <v>#VALUE!</v>
      </c>
      <c r="M28" t="e">
        <f t="shared" si="6"/>
        <v>#VALUE!</v>
      </c>
      <c r="N28" t="e">
        <f t="shared" si="19"/>
        <v>#REF!</v>
      </c>
      <c r="O28" s="299" t="e">
        <f t="shared" si="20"/>
        <v>#VALUE!</v>
      </c>
      <c r="P28" s="651">
        <v>0</v>
      </c>
      <c r="Q28" s="397" t="str">
        <f t="shared" si="7"/>
        <v>1+0.00015393803985i</v>
      </c>
      <c r="R28" s="397" t="str">
        <f t="shared" si="8"/>
        <v>-9.51718559572877E-12i</v>
      </c>
      <c r="S28" s="397" t="str">
        <f t="shared" si="9"/>
        <v>-1.93366868120939E-07</v>
      </c>
      <c r="T28" s="397" t="str">
        <f t="shared" si="21"/>
        <v>0.999999806633132+0.000153938030332814i</v>
      </c>
      <c r="U28" s="652">
        <v>1</v>
      </c>
      <c r="V28">
        <f t="shared" si="22"/>
        <v>1</v>
      </c>
      <c r="W28">
        <f t="shared" si="23"/>
        <v>0</v>
      </c>
      <c r="X28">
        <f t="shared" si="10"/>
        <v>0</v>
      </c>
      <c r="Z28" t="str">
        <f t="shared" si="11"/>
        <v>1.0000001933669-2.02493379799158E-11i</v>
      </c>
      <c r="AA28">
        <f t="shared" si="24"/>
        <v>1.6795633910819215E-6</v>
      </c>
      <c r="AB28">
        <f t="shared" si="12"/>
        <v>-1.1602013811643187E-9</v>
      </c>
      <c r="AD28" s="30" t="str">
        <f t="shared" si="13"/>
        <v>0.00879645942i</v>
      </c>
      <c r="AE28" s="30" t="str">
        <f t="shared" si="25"/>
        <v>1+0.00879645942i</v>
      </c>
      <c r="AF28" s="30" t="e">
        <f t="shared" si="14"/>
        <v>#VALUE!</v>
      </c>
      <c r="AG28" t="e">
        <f t="shared" si="15"/>
        <v>#VALUE!</v>
      </c>
      <c r="AH28" t="str">
        <f t="shared" si="26"/>
        <v>1+0.00879645942i</v>
      </c>
      <c r="AI28" s="299" t="e">
        <f t="shared" si="27"/>
        <v>#VALUE!</v>
      </c>
      <c r="AK28" t="e">
        <f t="shared" si="28"/>
        <v>#VALUE!</v>
      </c>
      <c r="AM28" t="e">
        <f t="shared" si="29"/>
        <v>#VALUE!</v>
      </c>
      <c r="AN28" t="e">
        <f t="shared" si="16"/>
        <v>#VALUE!</v>
      </c>
    </row>
    <row r="29" spans="1:40" x14ac:dyDescent="0.2">
      <c r="A29" s="335">
        <v>80</v>
      </c>
      <c r="B29" s="352">
        <f t="shared" si="17"/>
        <v>0.08</v>
      </c>
      <c r="C29" t="str">
        <f t="shared" si="0"/>
        <v>502.654824i</v>
      </c>
      <c r="D29" s="30" t="str">
        <f t="shared" si="1"/>
        <v>-252661.872090471</v>
      </c>
      <c r="E29" s="30" t="str">
        <f t="shared" si="2"/>
        <v>-127001708.847146i</v>
      </c>
      <c r="G29" s="30" t="e">
        <f t="shared" si="3"/>
        <v>#VALUE!</v>
      </c>
      <c r="I29" s="30" t="e">
        <f t="shared" si="4"/>
        <v>#REF!</v>
      </c>
      <c r="J29" t="e">
        <f t="shared" si="18"/>
        <v>#REF!</v>
      </c>
      <c r="L29" s="30" t="e">
        <f t="shared" si="5"/>
        <v>#VALUE!</v>
      </c>
      <c r="M29" t="e">
        <f t="shared" si="6"/>
        <v>#VALUE!</v>
      </c>
      <c r="N29" t="e">
        <f t="shared" si="19"/>
        <v>#REF!</v>
      </c>
      <c r="O29" s="299" t="e">
        <f t="shared" si="20"/>
        <v>#VALUE!</v>
      </c>
      <c r="P29" s="651">
        <v>0</v>
      </c>
      <c r="Q29" s="397" t="str">
        <f t="shared" si="7"/>
        <v>1+0.0001759291884i</v>
      </c>
      <c r="R29" s="397" t="str">
        <f t="shared" si="8"/>
        <v>-1.42064111516417E-11i</v>
      </c>
      <c r="S29" s="397" t="str">
        <f t="shared" si="9"/>
        <v>-2.52560807341635E-07</v>
      </c>
      <c r="T29" s="397" t="str">
        <f t="shared" si="21"/>
        <v>0.999999747439193+0.000175929174193589i</v>
      </c>
      <c r="U29" s="652">
        <v>1</v>
      </c>
      <c r="V29">
        <f t="shared" si="22"/>
        <v>1</v>
      </c>
      <c r="W29">
        <f t="shared" si="23"/>
        <v>0</v>
      </c>
      <c r="X29">
        <f t="shared" si="10"/>
        <v>0</v>
      </c>
      <c r="Z29" t="str">
        <f t="shared" si="11"/>
        <v>1.00000025256087-3.02264211687963E-11i</v>
      </c>
      <c r="AA29">
        <f t="shared" si="24"/>
        <v>2.1937155666510632E-6</v>
      </c>
      <c r="AB29">
        <f t="shared" si="12"/>
        <v>-1.731845927339326E-9</v>
      </c>
      <c r="AD29" s="30" t="str">
        <f t="shared" si="13"/>
        <v>0.01005309648i</v>
      </c>
      <c r="AE29" s="30" t="str">
        <f t="shared" si="25"/>
        <v>1+0.01005309648i</v>
      </c>
      <c r="AF29" s="30" t="e">
        <f t="shared" si="14"/>
        <v>#VALUE!</v>
      </c>
      <c r="AG29" t="e">
        <f t="shared" si="15"/>
        <v>#VALUE!</v>
      </c>
      <c r="AH29" t="str">
        <f t="shared" si="26"/>
        <v>1+0.01005309648i</v>
      </c>
      <c r="AI29" s="299" t="e">
        <f t="shared" si="27"/>
        <v>#VALUE!</v>
      </c>
      <c r="AK29" t="e">
        <f t="shared" si="28"/>
        <v>#VALUE!</v>
      </c>
      <c r="AM29" t="e">
        <f t="shared" si="29"/>
        <v>#VALUE!</v>
      </c>
      <c r="AN29" t="e">
        <f t="shared" si="16"/>
        <v>#VALUE!</v>
      </c>
    </row>
    <row r="30" spans="1:40" x14ac:dyDescent="0.2">
      <c r="A30" s="324">
        <v>90</v>
      </c>
      <c r="B30" s="352">
        <f t="shared" si="17"/>
        <v>0.09</v>
      </c>
      <c r="C30" t="str">
        <f t="shared" si="0"/>
        <v>565.486677i</v>
      </c>
      <c r="D30" s="30" t="str">
        <f t="shared" si="1"/>
        <v>-319775.181864502</v>
      </c>
      <c r="E30" s="30" t="str">
        <f t="shared" si="2"/>
        <v>-180828604.979628i</v>
      </c>
      <c r="G30" s="30" t="e">
        <f t="shared" si="3"/>
        <v>#VALUE!</v>
      </c>
      <c r="I30" s="30" t="e">
        <f t="shared" si="4"/>
        <v>#REF!</v>
      </c>
      <c r="J30" t="e">
        <f t="shared" si="18"/>
        <v>#REF!</v>
      </c>
      <c r="L30" s="30" t="e">
        <f t="shared" si="5"/>
        <v>#VALUE!</v>
      </c>
      <c r="M30" t="e">
        <f t="shared" si="6"/>
        <v>#VALUE!</v>
      </c>
      <c r="N30" t="e">
        <f t="shared" si="19"/>
        <v>#REF!</v>
      </c>
      <c r="O30" s="299" t="e">
        <f t="shared" si="20"/>
        <v>#VALUE!</v>
      </c>
      <c r="P30" s="651">
        <v>0</v>
      </c>
      <c r="Q30" s="397" t="str">
        <f t="shared" si="7"/>
        <v>1+0.00019792033695i</v>
      </c>
      <c r="R30" s="397" t="str">
        <f t="shared" si="8"/>
        <v>-2.02274877530212E-11i</v>
      </c>
      <c r="S30" s="397" t="str">
        <f t="shared" si="9"/>
        <v>-3.19647271791756E-07</v>
      </c>
      <c r="T30" s="397" t="str">
        <f t="shared" si="21"/>
        <v>0.999999680352728+0.000197920316722512i</v>
      </c>
      <c r="U30" s="652">
        <v>1</v>
      </c>
      <c r="V30">
        <f t="shared" si="22"/>
        <v>1</v>
      </c>
      <c r="W30">
        <f t="shared" si="23"/>
        <v>0</v>
      </c>
      <c r="X30">
        <f t="shared" si="10"/>
        <v>0</v>
      </c>
      <c r="Z30" t="str">
        <f t="shared" si="11"/>
        <v>1.00000031964737-4.30372335896138E-11i</v>
      </c>
      <c r="AA30">
        <f t="shared" si="24"/>
        <v>2.7764213343660625E-6</v>
      </c>
      <c r="AB30">
        <f t="shared" si="12"/>
        <v>-2.4658510612183728E-9</v>
      </c>
      <c r="AD30" s="30" t="str">
        <f t="shared" si="13"/>
        <v>0.01130973354i</v>
      </c>
      <c r="AE30" s="30" t="str">
        <f t="shared" si="25"/>
        <v>1+0.01130973354i</v>
      </c>
      <c r="AF30" s="30" t="e">
        <f t="shared" si="14"/>
        <v>#VALUE!</v>
      </c>
      <c r="AG30" t="e">
        <f t="shared" si="15"/>
        <v>#VALUE!</v>
      </c>
      <c r="AH30" t="str">
        <f t="shared" si="26"/>
        <v>1+0.01130973354i</v>
      </c>
      <c r="AI30" s="299" t="e">
        <f t="shared" si="27"/>
        <v>#VALUE!</v>
      </c>
      <c r="AK30" t="e">
        <f t="shared" si="28"/>
        <v>#VALUE!</v>
      </c>
      <c r="AM30" t="e">
        <f t="shared" si="29"/>
        <v>#VALUE!</v>
      </c>
      <c r="AN30" t="e">
        <f t="shared" si="16"/>
        <v>#VALUE!</v>
      </c>
    </row>
    <row r="31" spans="1:40" x14ac:dyDescent="0.2">
      <c r="A31" s="335">
        <v>100</v>
      </c>
      <c r="B31" s="352">
        <f t="shared" si="17"/>
        <v>0.1</v>
      </c>
      <c r="C31" t="str">
        <f t="shared" si="0"/>
        <v>628.31853i</v>
      </c>
      <c r="D31" s="30" t="str">
        <f t="shared" si="1"/>
        <v>-394784.175141361</v>
      </c>
      <c r="E31" s="30" t="str">
        <f t="shared" si="2"/>
        <v>-248050212.592082i</v>
      </c>
      <c r="G31" s="30" t="e">
        <f t="shared" si="3"/>
        <v>#VALUE!</v>
      </c>
      <c r="I31" s="30" t="e">
        <f t="shared" si="4"/>
        <v>#REF!</v>
      </c>
      <c r="J31" t="e">
        <f t="shared" si="18"/>
        <v>#REF!</v>
      </c>
      <c r="L31" s="30" t="e">
        <f t="shared" si="5"/>
        <v>#VALUE!</v>
      </c>
      <c r="M31" t="e">
        <f t="shared" si="6"/>
        <v>#VALUE!</v>
      </c>
      <c r="N31" t="e">
        <f t="shared" si="19"/>
        <v>#REF!</v>
      </c>
      <c r="O31" s="299" t="e">
        <f t="shared" si="20"/>
        <v>#VALUE!</v>
      </c>
      <c r="P31" s="651">
        <v>0</v>
      </c>
      <c r="Q31" s="397" t="str">
        <f t="shared" si="7"/>
        <v>1+0.0002199114855i</v>
      </c>
      <c r="R31" s="397" t="str">
        <f t="shared" si="8"/>
        <v>-2.77468967805503E-11i</v>
      </c>
      <c r="S31" s="397" t="str">
        <f t="shared" si="9"/>
        <v>-3.94626261471305E-07</v>
      </c>
      <c r="T31" s="397" t="str">
        <f t="shared" si="21"/>
        <v>0.999999605373739+0.000219911457753103i</v>
      </c>
      <c r="U31" s="652">
        <v>1</v>
      </c>
      <c r="V31">
        <f t="shared" si="22"/>
        <v>1</v>
      </c>
      <c r="W31">
        <f t="shared" si="23"/>
        <v>0</v>
      </c>
      <c r="X31">
        <f t="shared" si="10"/>
        <v>0</v>
      </c>
      <c r="Z31" t="str">
        <f t="shared" si="11"/>
        <v>1.0000003946264-5.90359940073355E-11i</v>
      </c>
      <c r="AA31">
        <f t="shared" si="24"/>
        <v>3.4276806823585146E-6</v>
      </c>
      <c r="AB31">
        <f t="shared" si="12"/>
        <v>-3.382511965016509E-9</v>
      </c>
      <c r="AD31" s="30" t="str">
        <f t="shared" si="13"/>
        <v>0.0125663706i</v>
      </c>
      <c r="AE31" s="30" t="str">
        <f t="shared" si="25"/>
        <v>1+0.0125663706i</v>
      </c>
      <c r="AF31" s="30" t="e">
        <f t="shared" si="14"/>
        <v>#VALUE!</v>
      </c>
      <c r="AG31" t="e">
        <f t="shared" si="15"/>
        <v>#VALUE!</v>
      </c>
      <c r="AH31" t="str">
        <f t="shared" si="26"/>
        <v>1+0.0125663706i</v>
      </c>
      <c r="AI31" s="299" t="e">
        <f t="shared" si="27"/>
        <v>#VALUE!</v>
      </c>
      <c r="AK31" t="e">
        <f t="shared" si="28"/>
        <v>#VALUE!</v>
      </c>
      <c r="AM31" t="e">
        <f t="shared" si="29"/>
        <v>#VALUE!</v>
      </c>
      <c r="AN31" t="e">
        <f t="shared" si="16"/>
        <v>#VALUE!</v>
      </c>
    </row>
    <row r="32" spans="1:40" x14ac:dyDescent="0.2">
      <c r="A32" s="335">
        <v>200</v>
      </c>
      <c r="B32" s="352">
        <f t="shared" si="17"/>
        <v>0.2</v>
      </c>
      <c r="C32" t="str">
        <f t="shared" si="0"/>
        <v>1256.63706i</v>
      </c>
      <c r="D32" s="30" t="str">
        <f t="shared" si="1"/>
        <v>-1579136.70056544</v>
      </c>
      <c r="E32" s="30" t="str">
        <f t="shared" si="2"/>
        <v>-1984401700.73666i</v>
      </c>
      <c r="G32" s="30" t="e">
        <f t="shared" si="3"/>
        <v>#VALUE!</v>
      </c>
      <c r="I32" s="30" t="e">
        <f t="shared" si="4"/>
        <v>#REF!</v>
      </c>
      <c r="J32" t="e">
        <f t="shared" si="18"/>
        <v>#REF!</v>
      </c>
      <c r="L32" s="30" t="e">
        <f t="shared" si="5"/>
        <v>#VALUE!</v>
      </c>
      <c r="M32" t="e">
        <f t="shared" si="6"/>
        <v>#VALUE!</v>
      </c>
      <c r="N32" t="e">
        <f t="shared" si="19"/>
        <v>#REF!</v>
      </c>
      <c r="O32" s="299" t="e">
        <f t="shared" si="20"/>
        <v>#VALUE!</v>
      </c>
      <c r="P32" s="651">
        <v>0</v>
      </c>
      <c r="Q32" s="397" t="str">
        <f t="shared" si="7"/>
        <v>1+0.000439822971i</v>
      </c>
      <c r="R32" s="397" t="str">
        <f t="shared" si="8"/>
        <v>-2.21975174244403E-10i</v>
      </c>
      <c r="S32" s="397" t="str">
        <f t="shared" si="9"/>
        <v>-1.57850504588521E-06</v>
      </c>
      <c r="T32" s="397" t="str">
        <f t="shared" si="21"/>
        <v>0.999998421494954+0.000439822749024826i</v>
      </c>
      <c r="U32" s="652">
        <v>1</v>
      </c>
      <c r="V32">
        <f t="shared" si="22"/>
        <v>1</v>
      </c>
      <c r="W32">
        <f t="shared" si="23"/>
        <v>0</v>
      </c>
      <c r="X32">
        <f t="shared" si="10"/>
        <v>0</v>
      </c>
      <c r="Z32" t="str">
        <f t="shared" si="11"/>
        <v>1.00000157850733-4.72289004721146E-10i</v>
      </c>
      <c r="AA32">
        <f t="shared" si="24"/>
        <v>1.3710729639650269E-5</v>
      </c>
      <c r="AB32">
        <f t="shared" si="12"/>
        <v>-2.7060123997272546E-8</v>
      </c>
      <c r="AD32" s="30" t="str">
        <f t="shared" si="13"/>
        <v>0.0251327412i</v>
      </c>
      <c r="AE32" s="30" t="str">
        <f t="shared" si="25"/>
        <v>1+0.0251327412i</v>
      </c>
      <c r="AF32" s="30" t="e">
        <f t="shared" si="14"/>
        <v>#VALUE!</v>
      </c>
      <c r="AG32" t="e">
        <f t="shared" si="15"/>
        <v>#VALUE!</v>
      </c>
      <c r="AH32" t="str">
        <f t="shared" si="26"/>
        <v>1+0.0251327412i</v>
      </c>
      <c r="AI32" s="299" t="e">
        <f t="shared" si="27"/>
        <v>#VALUE!</v>
      </c>
      <c r="AK32" t="e">
        <f t="shared" si="28"/>
        <v>#VALUE!</v>
      </c>
      <c r="AM32" t="e">
        <f t="shared" si="29"/>
        <v>#VALUE!</v>
      </c>
      <c r="AN32" t="e">
        <f t="shared" si="16"/>
        <v>#VALUE!</v>
      </c>
    </row>
    <row r="33" spans="1:40" x14ac:dyDescent="0.2">
      <c r="A33" s="335">
        <v>300</v>
      </c>
      <c r="B33" s="352">
        <f t="shared" si="17"/>
        <v>0.3</v>
      </c>
      <c r="C33" t="str">
        <f t="shared" si="0"/>
        <v>1884.95559i</v>
      </c>
      <c r="D33" s="30" t="str">
        <f t="shared" si="1"/>
        <v>-3553057.57627225</v>
      </c>
      <c r="E33" s="30" t="str">
        <f t="shared" si="2"/>
        <v>-6697355739.98623i</v>
      </c>
      <c r="G33" s="30" t="e">
        <f t="shared" si="3"/>
        <v>#VALUE!</v>
      </c>
      <c r="I33" s="30" t="e">
        <f t="shared" si="4"/>
        <v>#REF!</v>
      </c>
      <c r="J33" t="e">
        <f t="shared" si="18"/>
        <v>#REF!</v>
      </c>
      <c r="L33" s="30" t="e">
        <f t="shared" si="5"/>
        <v>#VALUE!</v>
      </c>
      <c r="M33" t="e">
        <f t="shared" si="6"/>
        <v>#VALUE!</v>
      </c>
      <c r="N33" t="e">
        <f t="shared" si="19"/>
        <v>#REF!</v>
      </c>
      <c r="O33" s="299" t="e">
        <f t="shared" si="20"/>
        <v>#VALUE!</v>
      </c>
      <c r="P33" s="651">
        <v>0</v>
      </c>
      <c r="Q33" s="397" t="str">
        <f t="shared" si="7"/>
        <v>1+0.0006597344565i</v>
      </c>
      <c r="R33" s="397" t="str">
        <f t="shared" si="8"/>
        <v>-7.4916621307486E-10i</v>
      </c>
      <c r="S33" s="397" t="str">
        <f t="shared" si="9"/>
        <v>-3.55163635324174E-06</v>
      </c>
      <c r="T33" s="397" t="str">
        <f t="shared" si="21"/>
        <v>0.999996448363647+0.000659733707333787i</v>
      </c>
      <c r="U33" s="652">
        <v>1</v>
      </c>
      <c r="V33">
        <f t="shared" si="22"/>
        <v>1</v>
      </c>
      <c r="W33">
        <f t="shared" si="23"/>
        <v>0</v>
      </c>
      <c r="X33">
        <f t="shared" si="10"/>
        <v>0</v>
      </c>
      <c r="Z33" t="str">
        <f t="shared" si="11"/>
        <v>1.00000355164792-1.59398129480179E-09i</v>
      </c>
      <c r="AA33">
        <f t="shared" si="24"/>
        <v>3.084916708360373E-5</v>
      </c>
      <c r="AB33">
        <f t="shared" si="12"/>
        <v>-9.1328076554125626E-8</v>
      </c>
      <c r="AD33" s="30" t="str">
        <f t="shared" si="13"/>
        <v>0.0376991118i</v>
      </c>
      <c r="AE33" s="30" t="str">
        <f t="shared" si="25"/>
        <v>1+0.0376991118i</v>
      </c>
      <c r="AF33" s="30" t="e">
        <f t="shared" si="14"/>
        <v>#VALUE!</v>
      </c>
      <c r="AG33" t="e">
        <f t="shared" si="15"/>
        <v>#VALUE!</v>
      </c>
      <c r="AH33" t="str">
        <f t="shared" si="26"/>
        <v>1+0.0376991118i</v>
      </c>
      <c r="AI33" s="299" t="e">
        <f t="shared" si="27"/>
        <v>#VALUE!</v>
      </c>
      <c r="AK33" t="e">
        <f t="shared" si="28"/>
        <v>#VALUE!</v>
      </c>
      <c r="AM33" t="e">
        <f t="shared" si="29"/>
        <v>#VALUE!</v>
      </c>
      <c r="AN33" t="e">
        <f t="shared" si="16"/>
        <v>#VALUE!</v>
      </c>
    </row>
    <row r="34" spans="1:40" x14ac:dyDescent="0.2">
      <c r="A34" s="335">
        <v>400</v>
      </c>
      <c r="B34" s="352">
        <f t="shared" si="17"/>
        <v>0.4</v>
      </c>
      <c r="C34" t="str">
        <f t="shared" si="0"/>
        <v>2513.27412i</v>
      </c>
      <c r="D34" s="30" t="str">
        <f t="shared" si="1"/>
        <v>-6316546.80226177</v>
      </c>
      <c r="E34" s="30" t="str">
        <f t="shared" si="2"/>
        <v>-15875213605.8933i</v>
      </c>
      <c r="G34" s="30" t="e">
        <f t="shared" si="3"/>
        <v>#VALUE!</v>
      </c>
      <c r="I34" s="30" t="e">
        <f t="shared" si="4"/>
        <v>#REF!</v>
      </c>
      <c r="J34" t="e">
        <f t="shared" si="18"/>
        <v>#REF!</v>
      </c>
      <c r="L34" s="30" t="e">
        <f t="shared" si="5"/>
        <v>#VALUE!</v>
      </c>
      <c r="M34" t="e">
        <f t="shared" si="6"/>
        <v>#VALUE!</v>
      </c>
      <c r="N34" t="e">
        <f t="shared" si="19"/>
        <v>#REF!</v>
      </c>
      <c r="O34" s="299" t="e">
        <f t="shared" si="20"/>
        <v>#VALUE!</v>
      </c>
      <c r="P34" s="651">
        <v>0</v>
      </c>
      <c r="Q34" s="397" t="str">
        <f t="shared" si="7"/>
        <v>1+0.000879645942i</v>
      </c>
      <c r="R34" s="397" t="str">
        <f t="shared" si="8"/>
        <v>-1.77580139395522E-09i</v>
      </c>
      <c r="S34" s="397" t="str">
        <f t="shared" si="9"/>
        <v>-6.31402018354087E-06</v>
      </c>
      <c r="T34" s="397" t="str">
        <f t="shared" si="21"/>
        <v>0.999993685979816+0.000879644166198606i</v>
      </c>
      <c r="U34" s="652">
        <v>1</v>
      </c>
      <c r="V34">
        <f t="shared" si="22"/>
        <v>1</v>
      </c>
      <c r="W34">
        <f t="shared" si="23"/>
        <v>0</v>
      </c>
      <c r="X34">
        <f t="shared" si="10"/>
        <v>0</v>
      </c>
      <c r="Z34" t="str">
        <f t="shared" si="11"/>
        <v>1.00000631405673-3.77834562794476E-09i</v>
      </c>
      <c r="AA34">
        <f t="shared" si="24"/>
        <v>5.4843026783634755E-5</v>
      </c>
      <c r="AB34">
        <f t="shared" si="12"/>
        <v>-2.1648189139136651E-7</v>
      </c>
      <c r="AD34" s="30" t="str">
        <f t="shared" si="13"/>
        <v>0.0502654824i</v>
      </c>
      <c r="AE34" s="30" t="str">
        <f t="shared" si="25"/>
        <v>1+0.0502654824i</v>
      </c>
      <c r="AF34" s="30" t="e">
        <f t="shared" si="14"/>
        <v>#VALUE!</v>
      </c>
      <c r="AG34" t="e">
        <f t="shared" si="15"/>
        <v>#VALUE!</v>
      </c>
      <c r="AH34" t="str">
        <f t="shared" si="26"/>
        <v>1+0.0502654824i</v>
      </c>
      <c r="AI34" s="299" t="e">
        <f t="shared" si="27"/>
        <v>#VALUE!</v>
      </c>
      <c r="AK34" t="e">
        <f t="shared" si="28"/>
        <v>#VALUE!</v>
      </c>
      <c r="AM34" t="e">
        <f t="shared" si="29"/>
        <v>#VALUE!</v>
      </c>
      <c r="AN34" t="e">
        <f t="shared" si="16"/>
        <v>#VALUE!</v>
      </c>
    </row>
    <row r="35" spans="1:40" x14ac:dyDescent="0.2">
      <c r="A35" s="335">
        <v>500</v>
      </c>
      <c r="B35" s="352">
        <f t="shared" si="17"/>
        <v>0.5</v>
      </c>
      <c r="C35" t="str">
        <f t="shared" si="0"/>
        <v>3141.59265i</v>
      </c>
      <c r="D35" s="30" t="str">
        <f t="shared" si="1"/>
        <v>-9869604.37853402</v>
      </c>
      <c r="E35" s="30" t="str">
        <f t="shared" si="2"/>
        <v>-31006276574.0103i</v>
      </c>
      <c r="G35" s="30" t="e">
        <f t="shared" si="3"/>
        <v>#VALUE!</v>
      </c>
      <c r="I35" s="30" t="e">
        <f t="shared" si="4"/>
        <v>#REF!</v>
      </c>
      <c r="J35" t="e">
        <f t="shared" si="18"/>
        <v>#REF!</v>
      </c>
      <c r="L35" s="30" t="e">
        <f t="shared" si="5"/>
        <v>#VALUE!</v>
      </c>
      <c r="M35" t="e">
        <f t="shared" si="6"/>
        <v>#VALUE!</v>
      </c>
      <c r="N35" t="e">
        <f t="shared" si="19"/>
        <v>#REF!</v>
      </c>
      <c r="O35" s="299" t="e">
        <f t="shared" si="20"/>
        <v>#VALUE!</v>
      </c>
      <c r="P35" s="651">
        <v>0</v>
      </c>
      <c r="Q35" s="397" t="str">
        <f t="shared" si="7"/>
        <v>1+0.0010995574275i</v>
      </c>
      <c r="R35" s="397" t="str">
        <f t="shared" si="8"/>
        <v>-3.46836209756879E-09i</v>
      </c>
      <c r="S35" s="397" t="str">
        <f t="shared" si="9"/>
        <v>-9.86565653678261E-06</v>
      </c>
      <c r="T35" s="397" t="str">
        <f t="shared" si="21"/>
        <v>0.999990134343463+0.0010995539591379i</v>
      </c>
      <c r="U35" s="652">
        <v>1</v>
      </c>
      <c r="V35">
        <f t="shared" si="22"/>
        <v>1</v>
      </c>
      <c r="W35">
        <f t="shared" si="23"/>
        <v>0</v>
      </c>
      <c r="X35">
        <f t="shared" si="10"/>
        <v>0</v>
      </c>
      <c r="Z35" t="str">
        <f t="shared" si="11"/>
        <v>1.00000986574575-7.37963050952798E-09i</v>
      </c>
      <c r="AA35">
        <f t="shared" si="24"/>
        <v>8.5692356072072088E-5</v>
      </c>
      <c r="AB35">
        <f t="shared" si="12"/>
        <v>-4.228175116350063E-7</v>
      </c>
      <c r="AD35" s="30" t="str">
        <f t="shared" si="13"/>
        <v>0.062831853i</v>
      </c>
      <c r="AE35" s="30" t="str">
        <f t="shared" si="25"/>
        <v>1+0.062831853i</v>
      </c>
      <c r="AF35" s="30" t="e">
        <f t="shared" si="14"/>
        <v>#VALUE!</v>
      </c>
      <c r="AG35" t="e">
        <f t="shared" si="15"/>
        <v>#VALUE!</v>
      </c>
      <c r="AH35" t="str">
        <f t="shared" si="26"/>
        <v>1+0.062831853i</v>
      </c>
      <c r="AI35" s="299" t="e">
        <f t="shared" si="27"/>
        <v>#VALUE!</v>
      </c>
      <c r="AK35" t="e">
        <f t="shared" si="28"/>
        <v>#VALUE!</v>
      </c>
      <c r="AM35" t="e">
        <f t="shared" si="29"/>
        <v>#VALUE!</v>
      </c>
      <c r="AN35" t="e">
        <f t="shared" si="16"/>
        <v>#VALUE!</v>
      </c>
    </row>
    <row r="36" spans="1:40" x14ac:dyDescent="0.2">
      <c r="A36" s="335">
        <v>600</v>
      </c>
      <c r="B36" s="352">
        <f t="shared" si="17"/>
        <v>0.6</v>
      </c>
      <c r="C36" t="str">
        <f t="shared" si="0"/>
        <v>3769.91118i</v>
      </c>
      <c r="D36" s="30" t="str">
        <f t="shared" si="1"/>
        <v>-14212230.305089</v>
      </c>
      <c r="E36" s="30" t="str">
        <f t="shared" si="2"/>
        <v>-53578845919.8898i</v>
      </c>
      <c r="G36" s="30" t="e">
        <f t="shared" si="3"/>
        <v>#VALUE!</v>
      </c>
      <c r="I36" s="30" t="e">
        <f t="shared" si="4"/>
        <v>#REF!</v>
      </c>
      <c r="J36" t="e">
        <f t="shared" si="18"/>
        <v>#REF!</v>
      </c>
      <c r="L36" s="30" t="e">
        <f t="shared" si="5"/>
        <v>#VALUE!</v>
      </c>
      <c r="M36" t="e">
        <f t="shared" si="6"/>
        <v>#VALUE!</v>
      </c>
      <c r="N36" t="e">
        <f t="shared" si="19"/>
        <v>#REF!</v>
      </c>
      <c r="O36" s="299" t="e">
        <f t="shared" si="20"/>
        <v>#VALUE!</v>
      </c>
      <c r="P36" s="651">
        <v>0</v>
      </c>
      <c r="Q36" s="397" t="str">
        <f t="shared" si="7"/>
        <v>1+0.001319468913i</v>
      </c>
      <c r="R36" s="397" t="str">
        <f t="shared" si="8"/>
        <v>-5.99332970459887E-09i</v>
      </c>
      <c r="S36" s="397" t="str">
        <f t="shared" si="9"/>
        <v>-0.000014206545412967</v>
      </c>
      <c r="T36" s="397" t="str">
        <f t="shared" si="21"/>
        <v>0.999985793454587+0.0013194629196703i</v>
      </c>
      <c r="U36" s="652">
        <v>1</v>
      </c>
      <c r="V36">
        <f t="shared" si="22"/>
        <v>1</v>
      </c>
      <c r="W36">
        <f t="shared" si="23"/>
        <v>0</v>
      </c>
      <c r="X36">
        <f t="shared" si="10"/>
        <v>0</v>
      </c>
      <c r="Z36" t="str">
        <f t="shared" si="11"/>
        <v>1.00001420673042-1.27521054564846E-08i</v>
      </c>
      <c r="AA36">
        <f t="shared" si="24"/>
        <v>1.2339721601309145E-4</v>
      </c>
      <c r="AB36">
        <f t="shared" si="12"/>
        <v>-7.3063144351324126E-7</v>
      </c>
      <c r="AD36" s="30" t="str">
        <f t="shared" si="13"/>
        <v>0.0753982236i</v>
      </c>
      <c r="AE36" s="30" t="str">
        <f t="shared" si="25"/>
        <v>1+0.0753982236i</v>
      </c>
      <c r="AF36" s="30" t="e">
        <f t="shared" si="14"/>
        <v>#VALUE!</v>
      </c>
      <c r="AG36" t="e">
        <f t="shared" si="15"/>
        <v>#VALUE!</v>
      </c>
      <c r="AH36" t="str">
        <f t="shared" si="26"/>
        <v>1+0.0753982236i</v>
      </c>
      <c r="AI36" s="299" t="e">
        <f t="shared" si="27"/>
        <v>#VALUE!</v>
      </c>
      <c r="AK36" t="e">
        <f t="shared" si="28"/>
        <v>#VALUE!</v>
      </c>
      <c r="AM36" t="e">
        <f t="shared" si="29"/>
        <v>#VALUE!</v>
      </c>
      <c r="AN36" t="e">
        <f t="shared" si="16"/>
        <v>#VALUE!</v>
      </c>
    </row>
    <row r="37" spans="1:40" x14ac:dyDescent="0.2">
      <c r="A37" s="335">
        <v>700</v>
      </c>
      <c r="B37" s="352">
        <f t="shared" si="17"/>
        <v>0.7</v>
      </c>
      <c r="C37" t="str">
        <f t="shared" si="0"/>
        <v>4398.22971i</v>
      </c>
      <c r="D37" s="30" t="str">
        <f t="shared" si="1"/>
        <v>-19344424.5819267</v>
      </c>
      <c r="E37" s="30" t="str">
        <f t="shared" si="2"/>
        <v>-85081222919.0843i</v>
      </c>
      <c r="G37" s="30" t="e">
        <f t="shared" si="3"/>
        <v>#VALUE!</v>
      </c>
      <c r="I37" s="30" t="e">
        <f t="shared" si="4"/>
        <v>#REF!</v>
      </c>
      <c r="J37" t="e">
        <f t="shared" si="18"/>
        <v>#REF!</v>
      </c>
      <c r="L37" s="30" t="e">
        <f t="shared" si="5"/>
        <v>#VALUE!</v>
      </c>
      <c r="M37" t="e">
        <f t="shared" si="6"/>
        <v>#VALUE!</v>
      </c>
      <c r="N37" t="e">
        <f t="shared" si="19"/>
        <v>#REF!</v>
      </c>
      <c r="O37" s="299" t="e">
        <f t="shared" si="20"/>
        <v>#VALUE!</v>
      </c>
      <c r="P37" s="651">
        <v>0</v>
      </c>
      <c r="Q37" s="397" t="str">
        <f t="shared" si="7"/>
        <v>1+0.0015393803985i</v>
      </c>
      <c r="R37" s="397" t="str">
        <f t="shared" si="8"/>
        <v>-9.51718559572877E-09i</v>
      </c>
      <c r="S37" s="397" t="str">
        <f t="shared" si="9"/>
        <v>-0.0000193366868120939</v>
      </c>
      <c r="T37" s="397" t="str">
        <f t="shared" si="21"/>
        <v>0.999980663313188+0.0015393708813144i</v>
      </c>
      <c r="U37" s="652">
        <v>1</v>
      </c>
      <c r="V37">
        <f t="shared" si="22"/>
        <v>1</v>
      </c>
      <c r="W37">
        <f t="shared" si="23"/>
        <v>0</v>
      </c>
      <c r="X37">
        <f t="shared" si="10"/>
        <v>0</v>
      </c>
      <c r="Z37" t="str">
        <f t="shared" si="11"/>
        <v>1.00001933702955-2.02500661951286E-08i</v>
      </c>
      <c r="AA37">
        <f t="shared" si="24"/>
        <v>1.6795768070547058E-4</v>
      </c>
      <c r="AB37">
        <f t="shared" si="12"/>
        <v>-1.1602208939414706E-6</v>
      </c>
      <c r="AD37" s="30" t="str">
        <f t="shared" si="13"/>
        <v>0.0879645942i</v>
      </c>
      <c r="AE37" s="30" t="str">
        <f t="shared" si="25"/>
        <v>1+0.0879645942i</v>
      </c>
      <c r="AF37" s="30" t="e">
        <f t="shared" si="14"/>
        <v>#VALUE!</v>
      </c>
      <c r="AG37" t="e">
        <f t="shared" si="15"/>
        <v>#VALUE!</v>
      </c>
      <c r="AH37" t="str">
        <f t="shared" si="26"/>
        <v>1+0.0879645942i</v>
      </c>
      <c r="AI37" s="299" t="e">
        <f t="shared" si="27"/>
        <v>#VALUE!</v>
      </c>
      <c r="AK37" t="e">
        <f t="shared" si="28"/>
        <v>#VALUE!</v>
      </c>
      <c r="AM37" t="e">
        <f t="shared" si="29"/>
        <v>#VALUE!</v>
      </c>
      <c r="AN37" t="e">
        <f t="shared" si="16"/>
        <v>#VALUE!</v>
      </c>
    </row>
    <row r="38" spans="1:40" x14ac:dyDescent="0.2">
      <c r="A38" s="335">
        <v>800</v>
      </c>
      <c r="B38" s="352">
        <f t="shared" si="17"/>
        <v>0.8</v>
      </c>
      <c r="C38" t="str">
        <f t="shared" si="0"/>
        <v>5026.54824i</v>
      </c>
      <c r="D38" s="30" t="str">
        <f t="shared" si="1"/>
        <v>-25266187.2090471</v>
      </c>
      <c r="E38" s="30" t="str">
        <f t="shared" si="2"/>
        <v>-127001708847.146i</v>
      </c>
      <c r="G38" s="30" t="e">
        <f t="shared" si="3"/>
        <v>#VALUE!</v>
      </c>
      <c r="I38" s="30" t="e">
        <f t="shared" si="4"/>
        <v>#REF!</v>
      </c>
      <c r="J38" t="e">
        <f t="shared" si="18"/>
        <v>#REF!</v>
      </c>
      <c r="L38" s="30" t="e">
        <f t="shared" si="5"/>
        <v>#VALUE!</v>
      </c>
      <c r="M38" t="e">
        <f t="shared" si="6"/>
        <v>#VALUE!</v>
      </c>
      <c r="N38" t="e">
        <f t="shared" si="19"/>
        <v>#REF!</v>
      </c>
      <c r="O38" s="299" t="e">
        <f t="shared" si="20"/>
        <v>#VALUE!</v>
      </c>
      <c r="P38" s="651">
        <v>0</v>
      </c>
      <c r="Q38" s="397" t="str">
        <f t="shared" si="7"/>
        <v>1+0.001759291884i</v>
      </c>
      <c r="R38" s="397" t="str">
        <f t="shared" si="8"/>
        <v>-1.42064111516417E-08i</v>
      </c>
      <c r="S38" s="397" t="str">
        <f t="shared" si="9"/>
        <v>-0.0000252560807341635</v>
      </c>
      <c r="T38" s="397" t="str">
        <f t="shared" si="21"/>
        <v>0.999974743919266+0.00175927767758885i</v>
      </c>
      <c r="U38" s="652">
        <v>1</v>
      </c>
      <c r="V38">
        <f t="shared" si="22"/>
        <v>1</v>
      </c>
      <c r="W38">
        <f t="shared" si="23"/>
        <v>0</v>
      </c>
      <c r="X38">
        <f t="shared" si="10"/>
        <v>0</v>
      </c>
      <c r="Z38" t="str">
        <f t="shared" si="11"/>
        <v>1.00002525666544-3.02278400042037E-08i</v>
      </c>
      <c r="AA38">
        <f t="shared" si="24"/>
        <v>2.1937383832667357E-4</v>
      </c>
      <c r="AB38">
        <f t="shared" si="12"/>
        <v>-1.7318839164039424E-6</v>
      </c>
      <c r="AD38" s="30" t="str">
        <f t="shared" si="13"/>
        <v>0.1005309648i</v>
      </c>
      <c r="AE38" s="30" t="str">
        <f t="shared" si="25"/>
        <v>1+0.1005309648i</v>
      </c>
      <c r="AF38" s="30" t="e">
        <f t="shared" si="14"/>
        <v>#VALUE!</v>
      </c>
      <c r="AG38" t="e">
        <f t="shared" si="15"/>
        <v>#VALUE!</v>
      </c>
      <c r="AH38" t="str">
        <f t="shared" si="26"/>
        <v>1+0.1005309648i</v>
      </c>
      <c r="AI38" s="299" t="e">
        <f t="shared" si="27"/>
        <v>#VALUE!</v>
      </c>
      <c r="AK38" t="e">
        <f t="shared" si="28"/>
        <v>#VALUE!</v>
      </c>
      <c r="AM38" t="e">
        <f t="shared" si="29"/>
        <v>#VALUE!</v>
      </c>
      <c r="AN38" t="e">
        <f t="shared" si="16"/>
        <v>#VALUE!</v>
      </c>
    </row>
    <row r="39" spans="1:40" x14ac:dyDescent="0.2">
      <c r="A39" s="335">
        <v>900</v>
      </c>
      <c r="B39" s="352">
        <f t="shared" si="17"/>
        <v>0.9</v>
      </c>
      <c r="C39" t="str">
        <f t="shared" si="0"/>
        <v>5654.86677i</v>
      </c>
      <c r="D39" s="30" t="str">
        <f t="shared" si="1"/>
        <v>-31977518.1864502</v>
      </c>
      <c r="E39" s="30" t="str">
        <f t="shared" si="2"/>
        <v>-180828604979.628i</v>
      </c>
      <c r="G39" s="30" t="e">
        <f t="shared" si="3"/>
        <v>#VALUE!</v>
      </c>
      <c r="I39" s="30" t="e">
        <f t="shared" si="4"/>
        <v>#REF!</v>
      </c>
      <c r="J39" t="e">
        <f t="shared" si="18"/>
        <v>#REF!</v>
      </c>
      <c r="L39" s="30" t="e">
        <f t="shared" si="5"/>
        <v>#VALUE!</v>
      </c>
      <c r="M39" t="e">
        <f t="shared" si="6"/>
        <v>#VALUE!</v>
      </c>
      <c r="N39" t="e">
        <f t="shared" si="19"/>
        <v>#REF!</v>
      </c>
      <c r="O39" s="299" t="e">
        <f t="shared" si="20"/>
        <v>#VALUE!</v>
      </c>
      <c r="P39" s="651">
        <v>0</v>
      </c>
      <c r="Q39" s="397" t="str">
        <f t="shared" si="7"/>
        <v>1+0.0019792033695i</v>
      </c>
      <c r="R39" s="397" t="str">
        <f t="shared" si="8"/>
        <v>-2.02274877530212E-08i</v>
      </c>
      <c r="S39" s="397" t="str">
        <f t="shared" si="9"/>
        <v>-0.0000319647271791756</v>
      </c>
      <c r="T39" s="397" t="str">
        <f t="shared" si="21"/>
        <v>0.999968035272821+0.00197918314201225i</v>
      </c>
      <c r="U39" s="652">
        <v>1</v>
      </c>
      <c r="V39">
        <f t="shared" si="22"/>
        <v>1</v>
      </c>
      <c r="W39">
        <f t="shared" si="23"/>
        <v>0</v>
      </c>
      <c r="X39">
        <f t="shared" si="10"/>
        <v>0</v>
      </c>
      <c r="Z39" t="str">
        <f t="shared" si="11"/>
        <v>1.00003196566377-4.30397908600739E-08i</v>
      </c>
      <c r="AA39">
        <f t="shared" si="24"/>
        <v>2.7764579017865241E-4</v>
      </c>
      <c r="AB39">
        <f t="shared" si="12"/>
        <v>-2.4659195454707077E-6</v>
      </c>
      <c r="AD39" s="30" t="str">
        <f t="shared" si="13"/>
        <v>0.1130973354i</v>
      </c>
      <c r="AE39" s="30" t="str">
        <f t="shared" si="25"/>
        <v>1+0.1130973354i</v>
      </c>
      <c r="AF39" s="30" t="e">
        <f t="shared" si="14"/>
        <v>#VALUE!</v>
      </c>
      <c r="AG39" t="e">
        <f t="shared" si="15"/>
        <v>#VALUE!</v>
      </c>
      <c r="AH39" t="str">
        <f t="shared" si="26"/>
        <v>1+0.1130973354i</v>
      </c>
      <c r="AI39" s="299" t="e">
        <f t="shared" si="27"/>
        <v>#VALUE!</v>
      </c>
      <c r="AK39" t="e">
        <f t="shared" si="28"/>
        <v>#VALUE!</v>
      </c>
      <c r="AM39" t="e">
        <f t="shared" si="29"/>
        <v>#VALUE!</v>
      </c>
      <c r="AN39" t="e">
        <f t="shared" si="16"/>
        <v>#VALUE!</v>
      </c>
    </row>
    <row r="40" spans="1:40" x14ac:dyDescent="0.2">
      <c r="A40" s="335">
        <v>1000</v>
      </c>
      <c r="B40" s="352">
        <f t="shared" si="17"/>
        <v>1</v>
      </c>
      <c r="C40" t="str">
        <f t="shared" si="0"/>
        <v>6283.1853i</v>
      </c>
      <c r="D40" s="30" t="str">
        <f t="shared" si="1"/>
        <v>-39478417.5141361</v>
      </c>
      <c r="E40" s="30" t="str">
        <f t="shared" si="2"/>
        <v>-248050212592.082i</v>
      </c>
      <c r="G40" s="30" t="e">
        <f t="shared" si="3"/>
        <v>#VALUE!</v>
      </c>
      <c r="I40" s="30" t="e">
        <f t="shared" si="4"/>
        <v>#REF!</v>
      </c>
      <c r="J40" t="e">
        <f t="shared" si="18"/>
        <v>#REF!</v>
      </c>
      <c r="L40" s="30" t="e">
        <f t="shared" si="5"/>
        <v>#VALUE!</v>
      </c>
      <c r="M40" t="e">
        <f t="shared" si="6"/>
        <v>#VALUE!</v>
      </c>
      <c r="N40" t="e">
        <f t="shared" si="19"/>
        <v>#REF!</v>
      </c>
      <c r="O40" s="299" t="e">
        <f t="shared" si="20"/>
        <v>#VALUE!</v>
      </c>
      <c r="P40" s="651">
        <v>0</v>
      </c>
      <c r="Q40" s="397" t="str">
        <f t="shared" si="7"/>
        <v>1+0.002199114855i</v>
      </c>
      <c r="R40" s="397" t="str">
        <f t="shared" si="8"/>
        <v>-2.77468967805503E-08i</v>
      </c>
      <c r="S40" s="397" t="str">
        <f t="shared" si="9"/>
        <v>-0.0000394626261471304</v>
      </c>
      <c r="T40" s="397" t="str">
        <f t="shared" si="21"/>
        <v>0.999960537373853+0.00219908710810322i</v>
      </c>
      <c r="U40" s="652">
        <v>1</v>
      </c>
      <c r="V40">
        <f t="shared" si="22"/>
        <v>1</v>
      </c>
      <c r="W40">
        <f t="shared" si="23"/>
        <v>0</v>
      </c>
      <c r="X40">
        <f t="shared" si="10"/>
        <v>0</v>
      </c>
      <c r="Z40" t="str">
        <f t="shared" si="11"/>
        <v>1.00003946405367-5.90403247598128E-08i</v>
      </c>
      <c r="AA40">
        <f t="shared" si="24"/>
        <v>3.4277365128982361E-4</v>
      </c>
      <c r="AB40">
        <f t="shared" si="12"/>
        <v>-3.3826279414737456E-6</v>
      </c>
      <c r="AD40" s="30" t="str">
        <f t="shared" si="13"/>
        <v>0.125663706i</v>
      </c>
      <c r="AE40" s="30" t="str">
        <f t="shared" si="25"/>
        <v>1+0.125663706i</v>
      </c>
      <c r="AF40" s="30" t="e">
        <f t="shared" si="14"/>
        <v>#VALUE!</v>
      </c>
      <c r="AG40" t="e">
        <f t="shared" si="15"/>
        <v>#VALUE!</v>
      </c>
      <c r="AH40" t="str">
        <f t="shared" si="26"/>
        <v>1+0.125663706i</v>
      </c>
      <c r="AI40" s="299" t="e">
        <f t="shared" si="27"/>
        <v>#VALUE!</v>
      </c>
      <c r="AK40" t="e">
        <f t="shared" si="28"/>
        <v>#VALUE!</v>
      </c>
      <c r="AM40" t="e">
        <f t="shared" si="29"/>
        <v>#VALUE!</v>
      </c>
      <c r="AN40" t="e">
        <f t="shared" si="16"/>
        <v>#VALUE!</v>
      </c>
    </row>
    <row r="41" spans="1:40" x14ac:dyDescent="0.2">
      <c r="A41" s="335">
        <v>2000</v>
      </c>
      <c r="B41" s="352">
        <f t="shared" si="17"/>
        <v>2</v>
      </c>
      <c r="C41" t="str">
        <f t="shared" si="0"/>
        <v>12566.3706i</v>
      </c>
      <c r="D41" s="30" t="str">
        <f t="shared" si="1"/>
        <v>-157913670.056544</v>
      </c>
      <c r="E41" s="30" t="str">
        <f t="shared" si="2"/>
        <v>-1984401700736.66i</v>
      </c>
      <c r="G41" s="30" t="e">
        <f t="shared" si="3"/>
        <v>#VALUE!</v>
      </c>
      <c r="I41" s="30" t="e">
        <f t="shared" si="4"/>
        <v>#REF!</v>
      </c>
      <c r="J41" t="e">
        <f t="shared" si="18"/>
        <v>#REF!</v>
      </c>
      <c r="L41" s="30" t="e">
        <f t="shared" si="5"/>
        <v>#VALUE!</v>
      </c>
      <c r="M41" t="e">
        <f t="shared" si="6"/>
        <v>#VALUE!</v>
      </c>
      <c r="N41" t="e">
        <f t="shared" si="19"/>
        <v>#REF!</v>
      </c>
      <c r="O41" s="299" t="e">
        <f t="shared" si="20"/>
        <v>#VALUE!</v>
      </c>
      <c r="P41" s="651">
        <v>0</v>
      </c>
      <c r="Q41" s="397" t="str">
        <f t="shared" si="7"/>
        <v>1+0.00439822971i</v>
      </c>
      <c r="R41" s="397" t="str">
        <f t="shared" si="8"/>
        <v>-2.21975174244403E-07i</v>
      </c>
      <c r="S41" s="397" t="str">
        <f t="shared" si="9"/>
        <v>-0.000157850504588521</v>
      </c>
      <c r="T41" s="397" t="str">
        <f t="shared" si="21"/>
        <v>0.999842149495412+0.00439800773482576i</v>
      </c>
      <c r="U41" s="652">
        <v>1</v>
      </c>
      <c r="V41">
        <f t="shared" si="22"/>
        <v>1</v>
      </c>
      <c r="W41">
        <f t="shared" si="23"/>
        <v>0</v>
      </c>
      <c r="X41">
        <f t="shared" si="10"/>
        <v>0</v>
      </c>
      <c r="Z41" t="str">
        <f t="shared" si="11"/>
        <v>1.00015787334724-4.72427600959129E-07i</v>
      </c>
      <c r="AA41">
        <f t="shared" si="24"/>
        <v>1.3711622397485389E-3</v>
      </c>
      <c r="AB41">
        <f t="shared" si="12"/>
        <v>-2.7063835033150666E-5</v>
      </c>
      <c r="AD41" s="30" t="str">
        <f t="shared" si="13"/>
        <v>0.251327412i</v>
      </c>
      <c r="AE41" s="30" t="str">
        <f t="shared" si="25"/>
        <v>1+0.251327412i</v>
      </c>
      <c r="AF41" s="30" t="e">
        <f t="shared" si="14"/>
        <v>#VALUE!</v>
      </c>
      <c r="AG41" t="e">
        <f t="shared" si="15"/>
        <v>#VALUE!</v>
      </c>
      <c r="AH41" t="str">
        <f t="shared" si="26"/>
        <v>1+0.251327412i</v>
      </c>
      <c r="AI41" s="299" t="e">
        <f t="shared" si="27"/>
        <v>#VALUE!</v>
      </c>
      <c r="AK41" t="e">
        <f t="shared" si="28"/>
        <v>#VALUE!</v>
      </c>
      <c r="AM41" t="e">
        <f t="shared" si="29"/>
        <v>#VALUE!</v>
      </c>
      <c r="AN41" t="e">
        <f t="shared" si="16"/>
        <v>#VALUE!</v>
      </c>
    </row>
    <row r="42" spans="1:40" x14ac:dyDescent="0.2">
      <c r="A42" s="335">
        <v>3000</v>
      </c>
      <c r="B42" s="352">
        <f t="shared" si="17"/>
        <v>3</v>
      </c>
      <c r="C42" t="str">
        <f t="shared" si="0"/>
        <v>18849.5559i</v>
      </c>
      <c r="D42" s="30" t="str">
        <f t="shared" si="1"/>
        <v>-355305757.627225</v>
      </c>
      <c r="E42" s="30" t="str">
        <f t="shared" si="2"/>
        <v>-6697355739986.23i</v>
      </c>
      <c r="G42" s="30" t="e">
        <f t="shared" si="3"/>
        <v>#VALUE!</v>
      </c>
      <c r="I42" s="30" t="e">
        <f t="shared" si="4"/>
        <v>#REF!</v>
      </c>
      <c r="J42" t="e">
        <f t="shared" si="18"/>
        <v>#REF!</v>
      </c>
      <c r="L42" s="30" t="e">
        <f t="shared" si="5"/>
        <v>#VALUE!</v>
      </c>
      <c r="M42" t="e">
        <f t="shared" si="6"/>
        <v>#VALUE!</v>
      </c>
      <c r="N42" t="e">
        <f t="shared" si="19"/>
        <v>#REF!</v>
      </c>
      <c r="O42" s="299" t="e">
        <f t="shared" si="20"/>
        <v>#VALUE!</v>
      </c>
      <c r="P42" s="651">
        <v>0</v>
      </c>
      <c r="Q42" s="397" t="str">
        <f t="shared" si="7"/>
        <v>1+0.006597344565i</v>
      </c>
      <c r="R42" s="397" t="str">
        <f t="shared" si="8"/>
        <v>-7.4916621307486E-07i</v>
      </c>
      <c r="S42" s="397" t="str">
        <f t="shared" si="9"/>
        <v>-0.000355163635324174</v>
      </c>
      <c r="T42" s="397" t="str">
        <f t="shared" si="21"/>
        <v>0.999644836364676+0.00659659539878692i</v>
      </c>
      <c r="U42" s="652">
        <v>1</v>
      </c>
      <c r="V42">
        <f t="shared" si="22"/>
        <v>1</v>
      </c>
      <c r="W42">
        <f t="shared" si="23"/>
        <v>0</v>
      </c>
      <c r="X42">
        <f t="shared" si="10"/>
        <v>0</v>
      </c>
      <c r="Z42" t="str">
        <f t="shared" si="11"/>
        <v>1.00035527929582-1.59503405307709E-06i</v>
      </c>
      <c r="AA42">
        <f t="shared" si="24"/>
        <v>3.0853687138606856E-3</v>
      </c>
      <c r="AB42">
        <f t="shared" si="12"/>
        <v>-9.135626253668961E-5</v>
      </c>
      <c r="AD42" s="30" t="str">
        <f t="shared" si="13"/>
        <v>0.376991118i</v>
      </c>
      <c r="AE42" s="30" t="str">
        <f t="shared" si="25"/>
        <v>1+0.376991118i</v>
      </c>
      <c r="AF42" s="30" t="e">
        <f t="shared" si="14"/>
        <v>#VALUE!</v>
      </c>
      <c r="AG42" t="e">
        <f t="shared" si="15"/>
        <v>#VALUE!</v>
      </c>
      <c r="AH42" t="str">
        <f t="shared" si="26"/>
        <v>1+0.376991118i</v>
      </c>
      <c r="AI42" s="299" t="e">
        <f t="shared" si="27"/>
        <v>#VALUE!</v>
      </c>
      <c r="AK42" t="e">
        <f t="shared" si="28"/>
        <v>#VALUE!</v>
      </c>
      <c r="AM42" t="e">
        <f t="shared" si="29"/>
        <v>#VALUE!</v>
      </c>
      <c r="AN42" t="e">
        <f t="shared" si="16"/>
        <v>#VALUE!</v>
      </c>
    </row>
    <row r="43" spans="1:40" x14ac:dyDescent="0.2">
      <c r="A43" s="335">
        <v>4000</v>
      </c>
      <c r="B43" s="352">
        <f t="shared" si="17"/>
        <v>4</v>
      </c>
      <c r="C43" t="str">
        <f t="shared" si="0"/>
        <v>25132.7412i</v>
      </c>
      <c r="D43" s="30" t="str">
        <f t="shared" si="1"/>
        <v>-631654680.226177</v>
      </c>
      <c r="E43" s="30" t="str">
        <f t="shared" si="2"/>
        <v>-15875213605893.3i</v>
      </c>
      <c r="G43" s="30" t="e">
        <f t="shared" si="3"/>
        <v>#VALUE!</v>
      </c>
      <c r="I43" s="30" t="e">
        <f t="shared" si="4"/>
        <v>#REF!</v>
      </c>
      <c r="J43" t="e">
        <f t="shared" si="18"/>
        <v>#REF!</v>
      </c>
      <c r="L43" s="30" t="e">
        <f t="shared" si="5"/>
        <v>#VALUE!</v>
      </c>
      <c r="M43" t="e">
        <f t="shared" si="6"/>
        <v>#VALUE!</v>
      </c>
      <c r="N43" t="e">
        <f t="shared" si="19"/>
        <v>#REF!</v>
      </c>
      <c r="O43" s="299" t="e">
        <f t="shared" si="20"/>
        <v>#VALUE!</v>
      </c>
      <c r="P43" s="651">
        <v>0</v>
      </c>
      <c r="Q43" s="397" t="str">
        <f t="shared" si="7"/>
        <v>1+0.00879645942i</v>
      </c>
      <c r="R43" s="397" t="str">
        <f t="shared" si="8"/>
        <v>-1.77580139395522E-06i</v>
      </c>
      <c r="S43" s="397" t="str">
        <f t="shared" si="9"/>
        <v>-0.000631402018354087</v>
      </c>
      <c r="T43" s="397" t="str">
        <f t="shared" si="21"/>
        <v>0.999368597981646+0.00879468361860604i</v>
      </c>
      <c r="U43" s="652">
        <v>1</v>
      </c>
      <c r="V43">
        <f t="shared" si="22"/>
        <v>1</v>
      </c>
      <c r="W43">
        <f t="shared" si="23"/>
        <v>0</v>
      </c>
      <c r="X43">
        <f t="shared" si="10"/>
        <v>0</v>
      </c>
      <c r="Z43" t="str">
        <f t="shared" si="11"/>
        <v>1.00063176764934-3.78278365967147E-06i</v>
      </c>
      <c r="AA43">
        <f t="shared" si="24"/>
        <v>5.4857314697180446E-3</v>
      </c>
      <c r="AB43">
        <f t="shared" si="12"/>
        <v>-2.1660069744338419E-4</v>
      </c>
      <c r="AD43" s="30" t="str">
        <f t="shared" si="13"/>
        <v>0.502654824i</v>
      </c>
      <c r="AE43" s="30" t="str">
        <f t="shared" si="25"/>
        <v>1+0.502654824i</v>
      </c>
      <c r="AF43" s="30" t="e">
        <f t="shared" si="14"/>
        <v>#VALUE!</v>
      </c>
      <c r="AG43" t="e">
        <f t="shared" si="15"/>
        <v>#VALUE!</v>
      </c>
      <c r="AH43" t="str">
        <f t="shared" si="26"/>
        <v>1+0.502654824i</v>
      </c>
      <c r="AI43" s="299" t="e">
        <f t="shared" si="27"/>
        <v>#VALUE!</v>
      </c>
      <c r="AK43" t="e">
        <f t="shared" si="28"/>
        <v>#VALUE!</v>
      </c>
      <c r="AM43" t="e">
        <f t="shared" si="29"/>
        <v>#VALUE!</v>
      </c>
      <c r="AN43" t="e">
        <f t="shared" si="16"/>
        <v>#VALUE!</v>
      </c>
    </row>
    <row r="44" spans="1:40" x14ac:dyDescent="0.2">
      <c r="A44" s="335">
        <v>5000</v>
      </c>
      <c r="B44" s="352">
        <f t="shared" si="17"/>
        <v>5</v>
      </c>
      <c r="C44" t="str">
        <f t="shared" si="0"/>
        <v>31415.9265i</v>
      </c>
      <c r="D44" s="30" t="str">
        <f t="shared" si="1"/>
        <v>-986960437.853402</v>
      </c>
      <c r="E44" s="30" t="str">
        <f t="shared" si="2"/>
        <v>-31006276574010.3i</v>
      </c>
      <c r="G44" s="30" t="e">
        <f t="shared" si="3"/>
        <v>#VALUE!</v>
      </c>
      <c r="I44" s="30" t="e">
        <f t="shared" si="4"/>
        <v>#REF!</v>
      </c>
      <c r="J44" t="e">
        <f t="shared" si="18"/>
        <v>#REF!</v>
      </c>
      <c r="L44" s="30" t="e">
        <f t="shared" si="5"/>
        <v>#VALUE!</v>
      </c>
      <c r="M44" t="e">
        <f t="shared" si="6"/>
        <v>#VALUE!</v>
      </c>
      <c r="N44" t="e">
        <f t="shared" si="19"/>
        <v>#REF!</v>
      </c>
      <c r="O44" s="299" t="e">
        <f t="shared" si="20"/>
        <v>#VALUE!</v>
      </c>
      <c r="P44" s="651">
        <v>0</v>
      </c>
      <c r="Q44" s="397" t="str">
        <f t="shared" si="7"/>
        <v>1+0.010995574275i</v>
      </c>
      <c r="R44" s="397" t="str">
        <f t="shared" si="8"/>
        <v>-3.46836209756879E-06i</v>
      </c>
      <c r="S44" s="397" t="str">
        <f t="shared" si="9"/>
        <v>-0.000986565653678261</v>
      </c>
      <c r="T44" s="397" t="str">
        <f t="shared" si="21"/>
        <v>0.999013434346322+0.0109921059129024i</v>
      </c>
      <c r="U44" s="652">
        <v>1</v>
      </c>
      <c r="V44">
        <f t="shared" si="22"/>
        <v>1</v>
      </c>
      <c r="W44">
        <f t="shared" si="23"/>
        <v>0</v>
      </c>
      <c r="X44">
        <f t="shared" si="10"/>
        <v>0</v>
      </c>
      <c r="Z44" t="str">
        <f t="shared" si="11"/>
        <v>1.00098745857977-7.39318105431537E-06i</v>
      </c>
      <c r="AA44">
        <f t="shared" si="24"/>
        <v>8.5727245740982051E-3</v>
      </c>
      <c r="AB44">
        <f t="shared" si="12"/>
        <v>-4.2318019914624398E-4</v>
      </c>
      <c r="AD44" s="30" t="str">
        <f t="shared" si="13"/>
        <v>0.62831853i</v>
      </c>
      <c r="AE44" s="30" t="str">
        <f t="shared" si="25"/>
        <v>1+0.62831853i</v>
      </c>
      <c r="AF44" s="30" t="e">
        <f t="shared" si="14"/>
        <v>#VALUE!</v>
      </c>
      <c r="AG44" t="e">
        <f t="shared" si="15"/>
        <v>#VALUE!</v>
      </c>
      <c r="AH44" t="str">
        <f t="shared" si="26"/>
        <v>1+0.62831853i</v>
      </c>
      <c r="AI44" s="299" t="e">
        <f t="shared" si="27"/>
        <v>#VALUE!</v>
      </c>
      <c r="AK44" t="e">
        <f t="shared" si="28"/>
        <v>#VALUE!</v>
      </c>
      <c r="AM44" t="e">
        <f t="shared" si="29"/>
        <v>#VALUE!</v>
      </c>
      <c r="AN44" t="e">
        <f t="shared" si="16"/>
        <v>#VALUE!</v>
      </c>
    </row>
    <row r="45" spans="1:40" x14ac:dyDescent="0.2">
      <c r="A45" s="335">
        <v>6000</v>
      </c>
      <c r="B45" s="352">
        <f t="shared" si="17"/>
        <v>6</v>
      </c>
      <c r="C45" t="str">
        <f t="shared" ref="C45:C76" si="30">COMPLEX(0,2*Pi*A45)</f>
        <v>37699.1118i</v>
      </c>
      <c r="D45" s="30" t="str">
        <f t="shared" ref="D45:D76" si="31">COMPLEX(-POWER(2*Pi*A45,2),0)</f>
        <v>-1421223030.5089</v>
      </c>
      <c r="E45" s="30" t="str">
        <f t="shared" ref="E45:E76" si="32">COMPLEX(0,-POWER(2*Pi*A45,3))</f>
        <v>-53578845919889.8i</v>
      </c>
      <c r="G45" s="30" t="e">
        <f t="shared" ref="G45:G82" si="33">IMSUM(IMPRODUCT(C45,Rcomp_AEF*Csen_AEF),Csen_AEF/Ccomp_AEF)</f>
        <v>#VALUE!</v>
      </c>
      <c r="I45" s="30" t="e">
        <f t="shared" ref="I45:I76" si="34">IMPRODUCT((RdampSel*CdampSel+RdampSel*CinjSel),C45)</f>
        <v>#REF!</v>
      </c>
      <c r="J45" t="e">
        <f t="shared" si="18"/>
        <v>#REF!</v>
      </c>
      <c r="L45" s="30" t="e">
        <f t="shared" ref="L45:L76" si="35">IMPRODUCT(G45,L_infilterStd*RdampSel*CinjSel*CdampSel,E45)</f>
        <v>#VALUE!</v>
      </c>
      <c r="M45" t="e">
        <f t="shared" ref="M45:M76" si="36">IMPRODUCT(G45,L_infilterStd*CinjSel,D45)</f>
        <v>#VALUE!</v>
      </c>
      <c r="N45" t="e">
        <f t="shared" si="19"/>
        <v>#REF!</v>
      </c>
      <c r="O45" s="299" t="e">
        <f t="shared" si="20"/>
        <v>#VALUE!</v>
      </c>
      <c r="P45" s="651">
        <v>0</v>
      </c>
      <c r="Q45" s="397" t="str">
        <f t="shared" ref="Q45:Q76" si="37">IMSUM(IMPRODUCT(C45,RdampPssv*CdampPssv),1)</f>
        <v>1+0.01319468913i</v>
      </c>
      <c r="R45" s="397" t="str">
        <f t="shared" ref="R45:R76" si="38">IMPRODUCT(RdampPssv*CdampPssv*CfilterPssv*LinfilterPssv,E45)</f>
        <v>-5.99332970459887E-06i</v>
      </c>
      <c r="S45" s="397" t="str">
        <f t="shared" ref="S45:S76" si="39">IMPRODUCT(D45,LinfilterPssv*(CfilterPssv+CdampPssv))</f>
        <v>-0.0014206545412967</v>
      </c>
      <c r="T45" s="397" t="str">
        <f t="shared" si="21"/>
        <v>0.998579345458703+0.0131886958002954i</v>
      </c>
      <c r="U45" s="652">
        <v>1</v>
      </c>
      <c r="V45">
        <f t="shared" ref="V45:V82" si="40">CHOOSE(INFILTER_TYPE,U45,IMDIV(J45,O45),IMDIV(Q45,T45))</f>
        <v>1</v>
      </c>
      <c r="W45">
        <f t="shared" si="23"/>
        <v>0</v>
      </c>
      <c r="X45">
        <f t="shared" ref="X45:X82" si="41">IMARGUMENT(V45)*180/Pi</f>
        <v>0</v>
      </c>
      <c r="Z45" t="str">
        <f t="shared" ref="Z45:Z76" si="42">IMDIV(Q45,T45)</f>
        <v>1.00142250680344-0.000012785844067251i</v>
      </c>
      <c r="AA45">
        <f t="shared" si="24"/>
        <v>1.2346958077157324E-2</v>
      </c>
      <c r="AB45">
        <f t="shared" ref="AB45:AB76" si="43">IMARGUMENT(Z45)*180/Pi</f>
        <v>-7.3153429085745297E-4</v>
      </c>
      <c r="AD45" s="30" t="str">
        <f t="shared" ref="AD45:AD76" si="44">IMPRODUCT((RdampCom*CdampCom+RdampCom*CinjCom),C45)</f>
        <v>0.753982236i</v>
      </c>
      <c r="AE45" s="30" t="str">
        <f t="shared" si="25"/>
        <v>1+0.753982236i</v>
      </c>
      <c r="AF45" s="30" t="e">
        <f t="shared" ref="AF45:AF76" si="45">IMPRODUCT(G45,L_infilterStd*RdampSel*CinjSel*CdampSel,E45)</f>
        <v>#VALUE!</v>
      </c>
      <c r="AG45" t="e">
        <f t="shared" ref="AG45:AG76" si="46">IMPRODUCT(G45,LAEFCom*CinjCom,D45)</f>
        <v>#VALUE!</v>
      </c>
      <c r="AH45" t="str">
        <f t="shared" si="26"/>
        <v>1+0.753982236i</v>
      </c>
      <c r="AI45" s="299" t="e">
        <f t="shared" si="27"/>
        <v>#VALUE!</v>
      </c>
      <c r="AK45" t="e">
        <f t="shared" si="28"/>
        <v>#VALUE!</v>
      </c>
      <c r="AM45" t="e">
        <f t="shared" si="29"/>
        <v>#VALUE!</v>
      </c>
      <c r="AN45" t="e">
        <f t="shared" ref="AN45:AN76" si="47">IMARGUMENT(AK45)*180/Pi</f>
        <v>#VALUE!</v>
      </c>
    </row>
    <row r="46" spans="1:40" x14ac:dyDescent="0.2">
      <c r="A46" s="335">
        <v>7000</v>
      </c>
      <c r="B46" s="352">
        <f t="shared" si="17"/>
        <v>7</v>
      </c>
      <c r="C46" t="str">
        <f t="shared" si="30"/>
        <v>43982.2971i</v>
      </c>
      <c r="D46" s="30" t="str">
        <f t="shared" si="31"/>
        <v>-1934442458.19267</v>
      </c>
      <c r="E46" s="30" t="str">
        <f t="shared" si="32"/>
        <v>-85081222919084.3i</v>
      </c>
      <c r="G46" s="30" t="e">
        <f t="shared" si="33"/>
        <v>#VALUE!</v>
      </c>
      <c r="I46" s="30" t="e">
        <f t="shared" si="34"/>
        <v>#REF!</v>
      </c>
      <c r="J46" t="e">
        <f t="shared" si="18"/>
        <v>#REF!</v>
      </c>
      <c r="L46" s="30" t="e">
        <f t="shared" si="35"/>
        <v>#VALUE!</v>
      </c>
      <c r="M46" t="e">
        <f t="shared" si="36"/>
        <v>#VALUE!</v>
      </c>
      <c r="N46" t="e">
        <f t="shared" si="19"/>
        <v>#REF!</v>
      </c>
      <c r="O46" s="299" t="e">
        <f t="shared" si="20"/>
        <v>#VALUE!</v>
      </c>
      <c r="P46" s="651">
        <v>0</v>
      </c>
      <c r="Q46" s="397" t="str">
        <f t="shared" si="37"/>
        <v>1+0.015393803985i</v>
      </c>
      <c r="R46" s="397" t="str">
        <f t="shared" si="38"/>
        <v>-9.51718559572877E-06i</v>
      </c>
      <c r="S46" s="397" t="str">
        <f t="shared" si="39"/>
        <v>-0.00193366868120939</v>
      </c>
      <c r="T46" s="397" t="str">
        <f t="shared" si="21"/>
        <v>0.998066331318791+0.0153842867994043i</v>
      </c>
      <c r="U46" s="652">
        <v>1</v>
      </c>
      <c r="V46">
        <f t="shared" si="40"/>
        <v>1</v>
      </c>
      <c r="W46">
        <f t="shared" si="23"/>
        <v>0</v>
      </c>
      <c r="X46">
        <f t="shared" si="41"/>
        <v>0</v>
      </c>
      <c r="Z46" t="str">
        <f t="shared" si="42"/>
        <v>1.00193710173868-0.0000203230411399365i</v>
      </c>
      <c r="AA46">
        <f t="shared" si="24"/>
        <v>1.680917841515581E-2</v>
      </c>
      <c r="AB46">
        <f t="shared" si="43"/>
        <v>-1.1621732375608322E-3</v>
      </c>
      <c r="AD46" s="30" t="str">
        <f t="shared" si="44"/>
        <v>0.879645942i</v>
      </c>
      <c r="AE46" s="30" t="str">
        <f t="shared" si="25"/>
        <v>1+0.879645942i</v>
      </c>
      <c r="AF46" s="30" t="e">
        <f t="shared" si="45"/>
        <v>#VALUE!</v>
      </c>
      <c r="AG46" t="e">
        <f t="shared" si="46"/>
        <v>#VALUE!</v>
      </c>
      <c r="AH46" t="str">
        <f t="shared" si="26"/>
        <v>1+0.879645942i</v>
      </c>
      <c r="AI46" s="299" t="e">
        <f t="shared" si="27"/>
        <v>#VALUE!</v>
      </c>
      <c r="AK46" t="e">
        <f t="shared" si="28"/>
        <v>#VALUE!</v>
      </c>
      <c r="AM46" t="e">
        <f t="shared" si="29"/>
        <v>#VALUE!</v>
      </c>
      <c r="AN46" t="e">
        <f t="shared" si="47"/>
        <v>#VALUE!</v>
      </c>
    </row>
    <row r="47" spans="1:40" x14ac:dyDescent="0.2">
      <c r="A47" s="335">
        <v>8000</v>
      </c>
      <c r="B47" s="352">
        <f t="shared" si="17"/>
        <v>8</v>
      </c>
      <c r="C47" t="str">
        <f t="shared" si="30"/>
        <v>50265.4824i</v>
      </c>
      <c r="D47" s="30" t="str">
        <f t="shared" si="31"/>
        <v>-2526618720.90471</v>
      </c>
      <c r="E47" s="30" t="str">
        <f t="shared" si="32"/>
        <v>-127001708847146i</v>
      </c>
      <c r="G47" s="30" t="e">
        <f t="shared" si="33"/>
        <v>#VALUE!</v>
      </c>
      <c r="I47" s="30" t="e">
        <f t="shared" si="34"/>
        <v>#REF!</v>
      </c>
      <c r="J47" t="e">
        <f t="shared" si="18"/>
        <v>#REF!</v>
      </c>
      <c r="L47" s="30" t="e">
        <f t="shared" si="35"/>
        <v>#VALUE!</v>
      </c>
      <c r="M47" t="e">
        <f t="shared" si="36"/>
        <v>#VALUE!</v>
      </c>
      <c r="N47" t="e">
        <f t="shared" si="19"/>
        <v>#REF!</v>
      </c>
      <c r="O47" s="299" t="e">
        <f t="shared" si="20"/>
        <v>#VALUE!</v>
      </c>
      <c r="P47" s="651">
        <v>0</v>
      </c>
      <c r="Q47" s="397" t="str">
        <f t="shared" si="37"/>
        <v>1+0.01759291884i</v>
      </c>
      <c r="R47" s="397" t="str">
        <f t="shared" si="38"/>
        <v>-0.0000142064111516418i</v>
      </c>
      <c r="S47" s="397" t="str">
        <f t="shared" si="39"/>
        <v>-0.00252560807341635</v>
      </c>
      <c r="T47" s="397" t="str">
        <f t="shared" si="21"/>
        <v>0.997474391926584+0.0175787124288484i</v>
      </c>
      <c r="U47" s="652">
        <v>1</v>
      </c>
      <c r="V47">
        <f t="shared" si="40"/>
        <v>1</v>
      </c>
      <c r="W47">
        <f t="shared" si="23"/>
        <v>0</v>
      </c>
      <c r="X47">
        <f t="shared" si="41"/>
        <v>0</v>
      </c>
      <c r="Z47" t="str">
        <f t="shared" si="42"/>
        <v>1.00253146769905-0.0000303702348632679i</v>
      </c>
      <c r="AA47">
        <f t="shared" si="24"/>
        <v>2.1960268903701091E-2</v>
      </c>
      <c r="AB47">
        <f t="shared" si="43"/>
        <v>-1.7356924326137229E-3</v>
      </c>
      <c r="AD47" s="30" t="str">
        <f t="shared" si="44"/>
        <v>1.005309648i</v>
      </c>
      <c r="AE47" s="30" t="str">
        <f t="shared" si="25"/>
        <v>1+1.005309648i</v>
      </c>
      <c r="AF47" s="30" t="e">
        <f t="shared" si="45"/>
        <v>#VALUE!</v>
      </c>
      <c r="AG47" t="e">
        <f t="shared" si="46"/>
        <v>#VALUE!</v>
      </c>
      <c r="AH47" t="str">
        <f t="shared" si="26"/>
        <v>1+1.005309648i</v>
      </c>
      <c r="AI47" s="299" t="e">
        <f t="shared" si="27"/>
        <v>#VALUE!</v>
      </c>
      <c r="AK47" t="e">
        <f t="shared" si="28"/>
        <v>#VALUE!</v>
      </c>
      <c r="AM47" t="e">
        <f t="shared" si="29"/>
        <v>#VALUE!</v>
      </c>
      <c r="AN47" t="e">
        <f t="shared" si="47"/>
        <v>#VALUE!</v>
      </c>
    </row>
    <row r="48" spans="1:40" x14ac:dyDescent="0.2">
      <c r="A48" s="335">
        <v>9000</v>
      </c>
      <c r="B48" s="352">
        <f t="shared" si="17"/>
        <v>9</v>
      </c>
      <c r="C48" t="str">
        <f t="shared" si="30"/>
        <v>56548.6677i</v>
      </c>
      <c r="D48" s="30" t="str">
        <f t="shared" si="31"/>
        <v>-3197751818.64502</v>
      </c>
      <c r="E48" s="30" t="str">
        <f t="shared" si="32"/>
        <v>-180828604979628i</v>
      </c>
      <c r="G48" s="30" t="e">
        <f t="shared" si="33"/>
        <v>#VALUE!</v>
      </c>
      <c r="I48" s="30" t="e">
        <f t="shared" si="34"/>
        <v>#REF!</v>
      </c>
      <c r="J48" t="e">
        <f t="shared" si="18"/>
        <v>#REF!</v>
      </c>
      <c r="L48" s="30" t="e">
        <f t="shared" si="35"/>
        <v>#VALUE!</v>
      </c>
      <c r="M48" t="e">
        <f t="shared" si="36"/>
        <v>#VALUE!</v>
      </c>
      <c r="N48" t="e">
        <f t="shared" si="19"/>
        <v>#REF!</v>
      </c>
      <c r="O48" s="299" t="e">
        <f t="shared" si="20"/>
        <v>#VALUE!</v>
      </c>
      <c r="P48" s="651">
        <v>0</v>
      </c>
      <c r="Q48" s="397" t="str">
        <f t="shared" si="37"/>
        <v>1+0.019792033695i</v>
      </c>
      <c r="R48" s="397" t="str">
        <f t="shared" si="38"/>
        <v>-0.0000202274877530212i</v>
      </c>
      <c r="S48" s="397" t="str">
        <f t="shared" si="39"/>
        <v>-0.00319647271791756</v>
      </c>
      <c r="T48" s="397" t="str">
        <f t="shared" si="21"/>
        <v>0.996803527282082+0.019771806207247i</v>
      </c>
      <c r="U48" s="652">
        <v>1</v>
      </c>
      <c r="V48">
        <f t="shared" si="40"/>
        <v>1</v>
      </c>
      <c r="W48">
        <f t="shared" si="23"/>
        <v>0</v>
      </c>
      <c r="X48">
        <f t="shared" si="41"/>
        <v>0</v>
      </c>
      <c r="Z48" t="str">
        <f t="shared" si="42"/>
        <v>1.00320586412249-0.0000432966329094656i</v>
      </c>
      <c r="AA48">
        <f t="shared" si="24"/>
        <v>2.7801250322054171E-2</v>
      </c>
      <c r="AB48">
        <f t="shared" si="43"/>
        <v>-2.4727869152797537E-3</v>
      </c>
      <c r="AD48" s="30" t="str">
        <f t="shared" si="44"/>
        <v>1.130973354i</v>
      </c>
      <c r="AE48" s="30" t="str">
        <f t="shared" si="25"/>
        <v>1+1.130973354i</v>
      </c>
      <c r="AF48" s="30" t="e">
        <f t="shared" si="45"/>
        <v>#VALUE!</v>
      </c>
      <c r="AG48" t="e">
        <f t="shared" si="46"/>
        <v>#VALUE!</v>
      </c>
      <c r="AH48" t="str">
        <f t="shared" si="26"/>
        <v>1+1.130973354i</v>
      </c>
      <c r="AI48" s="299" t="e">
        <f t="shared" si="27"/>
        <v>#VALUE!</v>
      </c>
      <c r="AK48" t="e">
        <f t="shared" si="28"/>
        <v>#VALUE!</v>
      </c>
      <c r="AM48" t="e">
        <f t="shared" si="29"/>
        <v>#VALUE!</v>
      </c>
      <c r="AN48" t="e">
        <f t="shared" si="47"/>
        <v>#VALUE!</v>
      </c>
    </row>
    <row r="49" spans="1:40" x14ac:dyDescent="0.2">
      <c r="A49" s="335">
        <v>10000</v>
      </c>
      <c r="B49" s="352">
        <f t="shared" si="17"/>
        <v>10</v>
      </c>
      <c r="C49" t="str">
        <f t="shared" si="30"/>
        <v>62831.853i</v>
      </c>
      <c r="D49" s="30" t="str">
        <f t="shared" si="31"/>
        <v>-3947841751.41361</v>
      </c>
      <c r="E49" s="30" t="str">
        <f t="shared" si="32"/>
        <v>-248050212592082i</v>
      </c>
      <c r="G49" s="30" t="e">
        <f t="shared" si="33"/>
        <v>#VALUE!</v>
      </c>
      <c r="I49" s="30" t="e">
        <f t="shared" si="34"/>
        <v>#REF!</v>
      </c>
      <c r="J49" t="e">
        <f t="shared" si="18"/>
        <v>#REF!</v>
      </c>
      <c r="L49" s="30" t="e">
        <f t="shared" si="35"/>
        <v>#VALUE!</v>
      </c>
      <c r="M49" t="e">
        <f t="shared" si="36"/>
        <v>#VALUE!</v>
      </c>
      <c r="N49" t="e">
        <f t="shared" si="19"/>
        <v>#REF!</v>
      </c>
      <c r="O49" s="299" t="e">
        <f t="shared" si="20"/>
        <v>#VALUE!</v>
      </c>
      <c r="P49" s="651">
        <v>0</v>
      </c>
      <c r="Q49" s="397" t="str">
        <f t="shared" si="37"/>
        <v>1+0.02199114855i</v>
      </c>
      <c r="R49" s="397" t="str">
        <f t="shared" si="38"/>
        <v>-0.0000277468967805503i</v>
      </c>
      <c r="S49" s="397" t="str">
        <f t="shared" si="39"/>
        <v>-0.00394626261471305</v>
      </c>
      <c r="T49" s="397" t="str">
        <f t="shared" si="21"/>
        <v>0.996053737385287+0.0219634016532194i</v>
      </c>
      <c r="U49" s="652">
        <v>1</v>
      </c>
      <c r="V49">
        <f t="shared" si="40"/>
        <v>1</v>
      </c>
      <c r="W49">
        <f t="shared" si="23"/>
        <v>0</v>
      </c>
      <c r="X49">
        <f t="shared" si="41"/>
        <v>0</v>
      </c>
      <c r="Z49" t="str">
        <f t="shared" si="42"/>
        <v>1.0039605858368-0.0000594757476545141i</v>
      </c>
      <c r="AA49">
        <f t="shared" si="24"/>
        <v>3.4333281589256678E-2</v>
      </c>
      <c r="AB49">
        <f t="shared" si="43"/>
        <v>-3.394266041884357E-3</v>
      </c>
      <c r="AD49" s="30" t="str">
        <f t="shared" si="44"/>
        <v>1.25663706i</v>
      </c>
      <c r="AE49" s="30" t="str">
        <f t="shared" si="25"/>
        <v>1+1.25663706i</v>
      </c>
      <c r="AF49" s="30" t="e">
        <f t="shared" si="45"/>
        <v>#VALUE!</v>
      </c>
      <c r="AG49" t="e">
        <f t="shared" si="46"/>
        <v>#VALUE!</v>
      </c>
      <c r="AH49" t="str">
        <f t="shared" si="26"/>
        <v>1+1.25663706i</v>
      </c>
      <c r="AI49" s="299" t="e">
        <f t="shared" si="27"/>
        <v>#VALUE!</v>
      </c>
      <c r="AK49" t="e">
        <f t="shared" si="28"/>
        <v>#VALUE!</v>
      </c>
      <c r="AM49" t="e">
        <f t="shared" si="29"/>
        <v>#VALUE!</v>
      </c>
      <c r="AN49" t="e">
        <f t="shared" si="47"/>
        <v>#VALUE!</v>
      </c>
    </row>
    <row r="50" spans="1:40" x14ac:dyDescent="0.2">
      <c r="A50" s="335">
        <v>11000</v>
      </c>
      <c r="B50" s="352">
        <f t="shared" si="17"/>
        <v>11</v>
      </c>
      <c r="C50" t="str">
        <f t="shared" si="30"/>
        <v>69115.0383i</v>
      </c>
      <c r="D50" s="30" t="str">
        <f t="shared" si="31"/>
        <v>-4776888519.21047</v>
      </c>
      <c r="E50" s="30" t="str">
        <f t="shared" si="32"/>
        <v>-330154832960062i</v>
      </c>
      <c r="G50" s="30" t="e">
        <f t="shared" si="33"/>
        <v>#VALUE!</v>
      </c>
      <c r="I50" s="30" t="e">
        <f t="shared" si="34"/>
        <v>#REF!</v>
      </c>
      <c r="J50" t="e">
        <f t="shared" si="18"/>
        <v>#REF!</v>
      </c>
      <c r="L50" s="30" t="e">
        <f t="shared" si="35"/>
        <v>#VALUE!</v>
      </c>
      <c r="M50" t="e">
        <f t="shared" si="36"/>
        <v>#VALUE!</v>
      </c>
      <c r="N50" t="e">
        <f>J50</f>
        <v>#REF!</v>
      </c>
      <c r="O50" s="299" t="e">
        <f>IMSUM(L50:N50)</f>
        <v>#VALUE!</v>
      </c>
      <c r="P50" s="651">
        <v>0</v>
      </c>
      <c r="Q50" s="397" t="str">
        <f t="shared" si="37"/>
        <v>1+0.024190263405i</v>
      </c>
      <c r="R50" s="397" t="str">
        <f t="shared" si="38"/>
        <v>-0.0000369311196149125i</v>
      </c>
      <c r="S50" s="397" t="str">
        <f t="shared" si="39"/>
        <v>-0.00477497776380279</v>
      </c>
      <c r="T50" s="397" t="str">
        <f>IMSUM(S50,R50,Q50)</f>
        <v>0.995225022236197+0.0241533322853851i</v>
      </c>
      <c r="U50" s="652">
        <v>1</v>
      </c>
      <c r="V50">
        <f t="shared" si="40"/>
        <v>1</v>
      </c>
      <c r="W50">
        <f t="shared" si="23"/>
        <v>0</v>
      </c>
      <c r="X50">
        <f t="shared" si="41"/>
        <v>0</v>
      </c>
      <c r="Z50" t="str">
        <f t="shared" si="42"/>
        <v>1.00479596336193-0.0000792859658181959i</v>
      </c>
      <c r="AA50">
        <f t="shared" si="24"/>
        <v>4.1557660533084087E-2</v>
      </c>
      <c r="AB50">
        <f t="shared" si="43"/>
        <v>-4.5210683336785549E-3</v>
      </c>
      <c r="AD50" s="30" t="str">
        <f t="shared" si="44"/>
        <v>1.382300766i</v>
      </c>
      <c r="AE50" s="30" t="str">
        <f t="shared" si="25"/>
        <v>1+1.382300766i</v>
      </c>
      <c r="AF50" s="30" t="e">
        <f t="shared" si="45"/>
        <v>#VALUE!</v>
      </c>
      <c r="AG50" t="e">
        <f t="shared" si="46"/>
        <v>#VALUE!</v>
      </c>
      <c r="AH50" t="str">
        <f t="shared" si="26"/>
        <v>1+1.382300766i</v>
      </c>
      <c r="AI50" s="299" t="e">
        <f t="shared" si="27"/>
        <v>#VALUE!</v>
      </c>
      <c r="AK50" t="e">
        <f t="shared" si="28"/>
        <v>#VALUE!</v>
      </c>
      <c r="AM50" t="e">
        <f t="shared" si="29"/>
        <v>#VALUE!</v>
      </c>
      <c r="AN50" t="e">
        <f t="shared" si="47"/>
        <v>#VALUE!</v>
      </c>
    </row>
    <row r="51" spans="1:40" x14ac:dyDescent="0.2">
      <c r="A51" s="335">
        <v>12000</v>
      </c>
      <c r="B51" s="352">
        <f t="shared" si="17"/>
        <v>12</v>
      </c>
      <c r="C51" t="str">
        <f t="shared" si="30"/>
        <v>75398.2236i</v>
      </c>
      <c r="D51" s="30" t="str">
        <f t="shared" si="31"/>
        <v>-5684892122.0356</v>
      </c>
      <c r="E51" s="30" t="str">
        <f t="shared" si="32"/>
        <v>-428630767359119i</v>
      </c>
      <c r="G51" s="30" t="e">
        <f t="shared" si="33"/>
        <v>#VALUE!</v>
      </c>
      <c r="I51" s="30" t="e">
        <f t="shared" si="34"/>
        <v>#REF!</v>
      </c>
      <c r="J51" t="e">
        <f t="shared" si="18"/>
        <v>#REF!</v>
      </c>
      <c r="L51" s="30" t="e">
        <f t="shared" si="35"/>
        <v>#VALUE!</v>
      </c>
      <c r="M51" t="e">
        <f t="shared" si="36"/>
        <v>#VALUE!</v>
      </c>
      <c r="N51" t="e">
        <f>J51</f>
        <v>#REF!</v>
      </c>
      <c r="O51" s="299" t="e">
        <f>IMSUM(L51:N51)</f>
        <v>#VALUE!</v>
      </c>
      <c r="P51" s="651">
        <v>0</v>
      </c>
      <c r="Q51" s="397" t="str">
        <f t="shared" si="37"/>
        <v>1+0.02638937826i</v>
      </c>
      <c r="R51" s="397" t="str">
        <f t="shared" si="38"/>
        <v>-0.000047946637636791i</v>
      </c>
      <c r="S51" s="397" t="str">
        <f t="shared" si="39"/>
        <v>-0.00568261816518679</v>
      </c>
      <c r="T51" s="397" t="str">
        <f>IMSUM(S51,R51,Q51)</f>
        <v>0.994317381834813+0.0263414316223632i</v>
      </c>
      <c r="U51" s="652">
        <v>1</v>
      </c>
      <c r="V51">
        <f t="shared" si="40"/>
        <v>1</v>
      </c>
      <c r="W51">
        <f t="shared" si="23"/>
        <v>0</v>
      </c>
      <c r="X51">
        <f t="shared" si="41"/>
        <v>0</v>
      </c>
      <c r="Z51" t="str">
        <f t="shared" si="42"/>
        <v>1.00571236324959-0.000103111129481765i</v>
      </c>
      <c r="AA51">
        <f t="shared" si="24"/>
        <v>4.9475824752593413E-2</v>
      </c>
      <c r="AB51">
        <f t="shared" si="43"/>
        <v>-5.8742765248443194E-3</v>
      </c>
      <c r="AD51" s="30" t="str">
        <f t="shared" si="44"/>
        <v>1.507964472i</v>
      </c>
      <c r="AE51" s="30" t="str">
        <f t="shared" si="25"/>
        <v>1+1.507964472i</v>
      </c>
      <c r="AF51" s="30" t="e">
        <f t="shared" si="45"/>
        <v>#VALUE!</v>
      </c>
      <c r="AG51" t="e">
        <f t="shared" si="46"/>
        <v>#VALUE!</v>
      </c>
      <c r="AH51" t="str">
        <f t="shared" si="26"/>
        <v>1+1.507964472i</v>
      </c>
      <c r="AI51" s="299" t="e">
        <f t="shared" si="27"/>
        <v>#VALUE!</v>
      </c>
      <c r="AK51" t="e">
        <f t="shared" si="28"/>
        <v>#VALUE!</v>
      </c>
      <c r="AM51" t="e">
        <f t="shared" si="29"/>
        <v>#VALUE!</v>
      </c>
      <c r="AN51" t="e">
        <f t="shared" si="47"/>
        <v>#VALUE!</v>
      </c>
    </row>
    <row r="52" spans="1:40" x14ac:dyDescent="0.2">
      <c r="A52" s="335">
        <v>13000</v>
      </c>
      <c r="B52" s="352">
        <f t="shared" si="17"/>
        <v>13</v>
      </c>
      <c r="C52" t="str">
        <f t="shared" si="30"/>
        <v>81681.4089i</v>
      </c>
      <c r="D52" s="30" t="str">
        <f t="shared" si="31"/>
        <v>-6671852559.889</v>
      </c>
      <c r="E52" s="30" t="str">
        <f t="shared" si="32"/>
        <v>-544966317064805i</v>
      </c>
      <c r="G52" s="30" t="e">
        <f t="shared" si="33"/>
        <v>#VALUE!</v>
      </c>
      <c r="I52" s="30" t="e">
        <f t="shared" si="34"/>
        <v>#REF!</v>
      </c>
      <c r="J52" t="e">
        <f t="shared" si="18"/>
        <v>#REF!</v>
      </c>
      <c r="L52" s="30" t="e">
        <f t="shared" si="35"/>
        <v>#VALUE!</v>
      </c>
      <c r="M52" t="e">
        <f t="shared" si="36"/>
        <v>#VALUE!</v>
      </c>
      <c r="N52" t="e">
        <f>J52</f>
        <v>#REF!</v>
      </c>
      <c r="O52" s="299" t="e">
        <f>IMSUM(L52:N52)</f>
        <v>#VALUE!</v>
      </c>
      <c r="P52" s="651">
        <v>0</v>
      </c>
      <c r="Q52" s="397" t="str">
        <f t="shared" si="37"/>
        <v>1+0.028588493115i</v>
      </c>
      <c r="R52" s="397" t="str">
        <f t="shared" si="38"/>
        <v>-0.0000609599322268691i</v>
      </c>
      <c r="S52" s="397" t="str">
        <f t="shared" si="39"/>
        <v>-0.00666918381886504</v>
      </c>
      <c r="T52" s="397" t="str">
        <f>IMSUM(S52,R52,Q52)</f>
        <v>0.993330816181135+0.0285275331827731i</v>
      </c>
      <c r="U52" s="652">
        <v>1</v>
      </c>
      <c r="V52">
        <f t="shared" si="40"/>
        <v>1</v>
      </c>
      <c r="W52">
        <f t="shared" si="23"/>
        <v>0</v>
      </c>
      <c r="X52">
        <f t="shared" si="41"/>
        <v>0</v>
      </c>
      <c r="Z52" t="str">
        <f t="shared" si="42"/>
        <v>1.00671018846073-0.00013134112988737i</v>
      </c>
      <c r="AA52">
        <f t="shared" si="24"/>
        <v>5.808935257490936E-2</v>
      </c>
      <c r="AB52">
        <f t="shared" si="43"/>
        <v>-7.4751328348372729E-3</v>
      </c>
      <c r="AD52" s="30" t="str">
        <f t="shared" si="44"/>
        <v>1.633628178i</v>
      </c>
      <c r="AE52" s="30" t="str">
        <f t="shared" si="25"/>
        <v>1+1.633628178i</v>
      </c>
      <c r="AF52" s="30" t="e">
        <f t="shared" si="45"/>
        <v>#VALUE!</v>
      </c>
      <c r="AG52" t="e">
        <f t="shared" si="46"/>
        <v>#VALUE!</v>
      </c>
      <c r="AH52" t="str">
        <f t="shared" si="26"/>
        <v>1+1.633628178i</v>
      </c>
      <c r="AI52" s="299" t="e">
        <f t="shared" si="27"/>
        <v>#VALUE!</v>
      </c>
      <c r="AK52" t="e">
        <f t="shared" si="28"/>
        <v>#VALUE!</v>
      </c>
      <c r="AM52" t="e">
        <f t="shared" si="29"/>
        <v>#VALUE!</v>
      </c>
      <c r="AN52" t="e">
        <f t="shared" si="47"/>
        <v>#VALUE!</v>
      </c>
    </row>
    <row r="53" spans="1:40" x14ac:dyDescent="0.2">
      <c r="A53" s="335">
        <v>15000</v>
      </c>
      <c r="B53" s="352">
        <f t="shared" si="17"/>
        <v>15</v>
      </c>
      <c r="C53" t="str">
        <f t="shared" si="30"/>
        <v>94247.7795i</v>
      </c>
      <c r="D53" s="30" t="str">
        <f t="shared" si="31"/>
        <v>-8882643940.68062</v>
      </c>
      <c r="E53" s="30" t="str">
        <f t="shared" si="32"/>
        <v>-837169467498278i</v>
      </c>
      <c r="G53" s="30" t="e">
        <f t="shared" si="33"/>
        <v>#VALUE!</v>
      </c>
      <c r="I53" s="30" t="e">
        <f t="shared" si="34"/>
        <v>#REF!</v>
      </c>
      <c r="J53" t="e">
        <f t="shared" si="18"/>
        <v>#REF!</v>
      </c>
      <c r="L53" s="30" t="e">
        <f t="shared" si="35"/>
        <v>#VALUE!</v>
      </c>
      <c r="M53" t="e">
        <f t="shared" si="36"/>
        <v>#VALUE!</v>
      </c>
      <c r="N53" t="e">
        <f>J53</f>
        <v>#REF!</v>
      </c>
      <c r="O53" s="299" t="e">
        <f>IMSUM(L53:N53)</f>
        <v>#VALUE!</v>
      </c>
      <c r="P53" s="651">
        <v>0</v>
      </c>
      <c r="Q53" s="397" t="str">
        <f t="shared" si="37"/>
        <v>1+0.032986722825i</v>
      </c>
      <c r="R53" s="397" t="str">
        <f t="shared" si="38"/>
        <v>-0.0000936457766343574i</v>
      </c>
      <c r="S53" s="397" t="str">
        <f t="shared" si="39"/>
        <v>-0.00887909088310435</v>
      </c>
      <c r="T53" s="397" t="str">
        <f>IMSUM(S53,R53,Q53)</f>
        <v>0.991120909116896+0.0328930770483656i</v>
      </c>
      <c r="U53" s="652">
        <v>1</v>
      </c>
      <c r="V53">
        <f t="shared" si="40"/>
        <v>1</v>
      </c>
      <c r="W53">
        <f t="shared" si="23"/>
        <v>0</v>
      </c>
      <c r="X53">
        <f t="shared" si="41"/>
        <v>0</v>
      </c>
      <c r="Z53" t="str">
        <f t="shared" si="42"/>
        <v>1.00895191127968-0.00020260911556929i</v>
      </c>
      <c r="AA53">
        <f t="shared" si="24"/>
        <v>7.7409522394356958E-2</v>
      </c>
      <c r="AB53">
        <f t="shared" si="43"/>
        <v>-1.1505649516535831E-2</v>
      </c>
      <c r="AD53" s="30" t="str">
        <f t="shared" si="44"/>
        <v>1.88495559i</v>
      </c>
      <c r="AE53" s="30" t="str">
        <f t="shared" si="25"/>
        <v>1+1.88495559i</v>
      </c>
      <c r="AF53" s="30" t="e">
        <f t="shared" si="45"/>
        <v>#VALUE!</v>
      </c>
      <c r="AG53" t="e">
        <f t="shared" si="46"/>
        <v>#VALUE!</v>
      </c>
      <c r="AH53" t="str">
        <f t="shared" si="26"/>
        <v>1+1.88495559i</v>
      </c>
      <c r="AI53" s="299" t="e">
        <f t="shared" si="27"/>
        <v>#VALUE!</v>
      </c>
      <c r="AK53" t="e">
        <f t="shared" si="28"/>
        <v>#VALUE!</v>
      </c>
      <c r="AM53" t="e">
        <f t="shared" si="29"/>
        <v>#VALUE!</v>
      </c>
      <c r="AN53" t="e">
        <f t="shared" si="47"/>
        <v>#VALUE!</v>
      </c>
    </row>
    <row r="54" spans="1:40" x14ac:dyDescent="0.2">
      <c r="A54" s="335">
        <v>16000</v>
      </c>
      <c r="B54" s="352">
        <f t="shared" si="17"/>
        <v>16</v>
      </c>
      <c r="C54" t="str">
        <f t="shared" si="30"/>
        <v>100530.9648i</v>
      </c>
      <c r="D54" s="30" t="str">
        <f t="shared" si="31"/>
        <v>-10106474883.6188</v>
      </c>
      <c r="E54" s="30" t="str">
        <f t="shared" si="32"/>
        <v>-1016013670777170i</v>
      </c>
      <c r="G54" s="30" t="e">
        <f t="shared" si="33"/>
        <v>#VALUE!</v>
      </c>
      <c r="I54" s="30" t="e">
        <f t="shared" si="34"/>
        <v>#REF!</v>
      </c>
      <c r="J54" t="e">
        <f t="shared" si="18"/>
        <v>#REF!</v>
      </c>
      <c r="L54" s="30" t="e">
        <f t="shared" si="35"/>
        <v>#VALUE!</v>
      </c>
      <c r="M54" t="e">
        <f t="shared" si="36"/>
        <v>#VALUE!</v>
      </c>
      <c r="N54" t="e">
        <f t="shared" ref="N54:N68" si="48">J54</f>
        <v>#REF!</v>
      </c>
      <c r="O54" s="299" t="e">
        <f t="shared" ref="O54:O68" si="49">IMSUM(L54:N54)</f>
        <v>#VALUE!</v>
      </c>
      <c r="P54" s="651">
        <v>0</v>
      </c>
      <c r="Q54" s="397" t="str">
        <f t="shared" si="37"/>
        <v>1+0.03518583768i</v>
      </c>
      <c r="R54" s="397" t="str">
        <f t="shared" si="38"/>
        <v>-0.000113651289213134i</v>
      </c>
      <c r="S54" s="397" t="str">
        <f t="shared" si="39"/>
        <v>-0.0101024322936654</v>
      </c>
      <c r="T54" s="397" t="str">
        <f t="shared" ref="T54:T68" si="50">IMSUM(S54,R54,Q54)</f>
        <v>0.989897567706335+0.0350721863907869i</v>
      </c>
      <c r="U54" s="652">
        <v>1</v>
      </c>
      <c r="V54">
        <f t="shared" si="40"/>
        <v>1</v>
      </c>
      <c r="W54">
        <f t="shared" si="23"/>
        <v>0</v>
      </c>
      <c r="X54">
        <f t="shared" si="41"/>
        <v>0</v>
      </c>
      <c r="Z54" t="str">
        <f t="shared" si="42"/>
        <v>1.01019680079824-0.000246462681525396i</v>
      </c>
      <c r="AA54">
        <f t="shared" si="24"/>
        <v>8.8120034652894183E-2</v>
      </c>
      <c r="AB54">
        <f t="shared" si="43"/>
        <v>-1.3978732840646416E-2</v>
      </c>
      <c r="AD54" s="30" t="str">
        <f t="shared" si="44"/>
        <v>2.010619296i</v>
      </c>
      <c r="AE54" s="30" t="str">
        <f t="shared" si="25"/>
        <v>1+2.010619296i</v>
      </c>
      <c r="AF54" s="30" t="e">
        <f t="shared" si="45"/>
        <v>#VALUE!</v>
      </c>
      <c r="AG54" t="e">
        <f t="shared" si="46"/>
        <v>#VALUE!</v>
      </c>
      <c r="AH54" t="str">
        <f t="shared" si="26"/>
        <v>1+2.010619296i</v>
      </c>
      <c r="AI54" s="299" t="e">
        <f t="shared" si="27"/>
        <v>#VALUE!</v>
      </c>
      <c r="AK54" t="e">
        <f t="shared" si="28"/>
        <v>#VALUE!</v>
      </c>
      <c r="AM54" t="e">
        <f t="shared" si="29"/>
        <v>#VALUE!</v>
      </c>
      <c r="AN54" t="e">
        <f t="shared" si="47"/>
        <v>#VALUE!</v>
      </c>
    </row>
    <row r="55" spans="1:40" x14ac:dyDescent="0.2">
      <c r="A55" s="335">
        <v>17500</v>
      </c>
      <c r="B55" s="352">
        <f t="shared" si="17"/>
        <v>17.5</v>
      </c>
      <c r="C55" t="str">
        <f t="shared" si="30"/>
        <v>109955.74275i</v>
      </c>
      <c r="D55" s="30" t="str">
        <f t="shared" si="31"/>
        <v>-12090265363.7042</v>
      </c>
      <c r="E55" s="30" t="str">
        <f t="shared" si="32"/>
        <v>-1329394108110690i</v>
      </c>
      <c r="G55" s="30" t="e">
        <f t="shared" si="33"/>
        <v>#VALUE!</v>
      </c>
      <c r="I55" s="30" t="e">
        <f t="shared" si="34"/>
        <v>#REF!</v>
      </c>
      <c r="J55" t="e">
        <f t="shared" si="18"/>
        <v>#REF!</v>
      </c>
      <c r="L55" s="30" t="e">
        <f t="shared" si="35"/>
        <v>#VALUE!</v>
      </c>
      <c r="M55" t="e">
        <f t="shared" si="36"/>
        <v>#VALUE!</v>
      </c>
      <c r="N55" t="e">
        <f t="shared" si="48"/>
        <v>#REF!</v>
      </c>
      <c r="O55" s="299" t="e">
        <f t="shared" si="49"/>
        <v>#VALUE!</v>
      </c>
      <c r="P55" s="651">
        <v>0</v>
      </c>
      <c r="Q55" s="397" t="str">
        <f t="shared" si="37"/>
        <v>1+0.0384845099625i</v>
      </c>
      <c r="R55" s="397" t="str">
        <f t="shared" si="38"/>
        <v>-0.000148706024933262i</v>
      </c>
      <c r="S55" s="397" t="str">
        <f t="shared" si="39"/>
        <v>-0.0120854292575587</v>
      </c>
      <c r="T55" s="397" t="str">
        <f t="shared" si="50"/>
        <v>0.987914570742441+0.0383358039375667i</v>
      </c>
      <c r="U55" s="652">
        <v>1</v>
      </c>
      <c r="V55">
        <f t="shared" si="40"/>
        <v>1</v>
      </c>
      <c r="W55">
        <f t="shared" si="23"/>
        <v>0</v>
      </c>
      <c r="X55">
        <f t="shared" si="41"/>
        <v>0</v>
      </c>
      <c r="Z55" t="str">
        <f t="shared" si="42"/>
        <v>1.01222071263725-0.000323696833892721i</v>
      </c>
      <c r="AA55">
        <f t="shared" si="24"/>
        <v>0.10550484102978921</v>
      </c>
      <c r="AB55">
        <f t="shared" si="43"/>
        <v>-1.8322547228315767E-2</v>
      </c>
      <c r="AD55" s="30" t="str">
        <f t="shared" si="44"/>
        <v>2.199114855i</v>
      </c>
      <c r="AE55" s="30" t="str">
        <f t="shared" si="25"/>
        <v>1+2.199114855i</v>
      </c>
      <c r="AF55" s="30" t="e">
        <f t="shared" si="45"/>
        <v>#VALUE!</v>
      </c>
      <c r="AG55" t="e">
        <f t="shared" si="46"/>
        <v>#VALUE!</v>
      </c>
      <c r="AH55" t="str">
        <f t="shared" si="26"/>
        <v>1+2.199114855i</v>
      </c>
      <c r="AI55" s="299" t="e">
        <f t="shared" si="27"/>
        <v>#VALUE!</v>
      </c>
      <c r="AK55" t="e">
        <f t="shared" si="28"/>
        <v>#VALUE!</v>
      </c>
      <c r="AM55" t="e">
        <f t="shared" si="29"/>
        <v>#VALUE!</v>
      </c>
      <c r="AN55" t="e">
        <f t="shared" si="47"/>
        <v>#VALUE!</v>
      </c>
    </row>
    <row r="56" spans="1:40" x14ac:dyDescent="0.2">
      <c r="A56" s="335">
        <v>19000</v>
      </c>
      <c r="B56" s="352">
        <f t="shared" si="17"/>
        <v>19</v>
      </c>
      <c r="C56" t="str">
        <f t="shared" si="30"/>
        <v>119380.5207i</v>
      </c>
      <c r="D56" s="30" t="str">
        <f t="shared" si="31"/>
        <v>-14251708722.6031</v>
      </c>
      <c r="E56" s="30" t="str">
        <f t="shared" si="32"/>
        <v>-1701376408169090i</v>
      </c>
      <c r="G56" s="30" t="e">
        <f t="shared" si="33"/>
        <v>#VALUE!</v>
      </c>
      <c r="I56" s="30" t="e">
        <f t="shared" si="34"/>
        <v>#REF!</v>
      </c>
      <c r="J56" t="e">
        <f t="shared" si="18"/>
        <v>#REF!</v>
      </c>
      <c r="L56" s="30" t="e">
        <f t="shared" si="35"/>
        <v>#VALUE!</v>
      </c>
      <c r="M56" t="e">
        <f t="shared" si="36"/>
        <v>#VALUE!</v>
      </c>
      <c r="N56" t="e">
        <f t="shared" si="48"/>
        <v>#REF!</v>
      </c>
      <c r="O56" s="299" t="e">
        <f t="shared" si="49"/>
        <v>#VALUE!</v>
      </c>
      <c r="P56" s="651">
        <v>0</v>
      </c>
      <c r="Q56" s="397" t="str">
        <f t="shared" si="37"/>
        <v>1+0.041783182245i</v>
      </c>
      <c r="R56" s="397" t="str">
        <f t="shared" si="38"/>
        <v>-0.000190315965017794i</v>
      </c>
      <c r="S56" s="397" t="str">
        <f t="shared" si="39"/>
        <v>-0.0142460080391141</v>
      </c>
      <c r="T56" s="397" t="str">
        <f t="shared" si="50"/>
        <v>0.985753991960886+0.0415928662799822i</v>
      </c>
      <c r="U56" s="652">
        <v>1</v>
      </c>
      <c r="V56">
        <f t="shared" si="40"/>
        <v>1</v>
      </c>
      <c r="W56">
        <f t="shared" si="23"/>
        <v>0</v>
      </c>
      <c r="X56">
        <f t="shared" si="41"/>
        <v>0</v>
      </c>
      <c r="Z56" t="str">
        <f t="shared" si="42"/>
        <v>1.01443433812182-0.000415975520938413i</v>
      </c>
      <c r="AA56">
        <f t="shared" si="24"/>
        <v>0.12447955922984369</v>
      </c>
      <c r="AB56">
        <f t="shared" si="43"/>
        <v>-2.3494512681856306E-2</v>
      </c>
      <c r="AD56" s="30" t="str">
        <f t="shared" si="44"/>
        <v>2.387610414i</v>
      </c>
      <c r="AE56" s="30" t="str">
        <f t="shared" si="25"/>
        <v>1+2.387610414i</v>
      </c>
      <c r="AF56" s="30" t="e">
        <f t="shared" si="45"/>
        <v>#VALUE!</v>
      </c>
      <c r="AG56" t="e">
        <f t="shared" si="46"/>
        <v>#VALUE!</v>
      </c>
      <c r="AH56" t="str">
        <f t="shared" si="26"/>
        <v>1+2.387610414i</v>
      </c>
      <c r="AI56" s="299" t="e">
        <f t="shared" si="27"/>
        <v>#VALUE!</v>
      </c>
      <c r="AK56" t="e">
        <f t="shared" si="28"/>
        <v>#VALUE!</v>
      </c>
      <c r="AM56" t="e">
        <f t="shared" si="29"/>
        <v>#VALUE!</v>
      </c>
      <c r="AN56" t="e">
        <f t="shared" si="47"/>
        <v>#VALUE!</v>
      </c>
    </row>
    <row r="57" spans="1:40" x14ac:dyDescent="0.2">
      <c r="A57" s="335">
        <v>20000</v>
      </c>
      <c r="B57" s="352">
        <f t="shared" si="17"/>
        <v>20</v>
      </c>
      <c r="C57" t="str">
        <f t="shared" si="30"/>
        <v>125663.706i</v>
      </c>
      <c r="D57" s="30" t="str">
        <f t="shared" si="31"/>
        <v>-15791367005.6544</v>
      </c>
      <c r="E57" s="30" t="str">
        <f t="shared" si="32"/>
        <v>-1984401700736660i</v>
      </c>
      <c r="G57" s="30" t="e">
        <f t="shared" si="33"/>
        <v>#VALUE!</v>
      </c>
      <c r="I57" s="30" t="e">
        <f t="shared" si="34"/>
        <v>#REF!</v>
      </c>
      <c r="J57" t="e">
        <f t="shared" si="18"/>
        <v>#REF!</v>
      </c>
      <c r="L57" s="30" t="e">
        <f t="shared" si="35"/>
        <v>#VALUE!</v>
      </c>
      <c r="M57" t="e">
        <f t="shared" si="36"/>
        <v>#VALUE!</v>
      </c>
      <c r="N57" t="e">
        <f t="shared" si="48"/>
        <v>#REF!</v>
      </c>
      <c r="O57" s="299" t="e">
        <f t="shared" si="49"/>
        <v>#VALUE!</v>
      </c>
      <c r="P57" s="651">
        <v>0</v>
      </c>
      <c r="Q57" s="397" t="str">
        <f t="shared" si="37"/>
        <v>1+0.0439822971i</v>
      </c>
      <c r="R57" s="397" t="str">
        <f t="shared" si="38"/>
        <v>-0.000221975174244403i</v>
      </c>
      <c r="S57" s="397" t="str">
        <f t="shared" si="39"/>
        <v>-0.0157850504588521</v>
      </c>
      <c r="T57" s="397" t="str">
        <f t="shared" si="50"/>
        <v>0.984214949541148+0.0437603219257556i</v>
      </c>
      <c r="U57" s="652">
        <v>1</v>
      </c>
      <c r="V57">
        <f t="shared" si="40"/>
        <v>1</v>
      </c>
      <c r="W57">
        <f t="shared" si="23"/>
        <v>0</v>
      </c>
      <c r="X57">
        <f t="shared" si="41"/>
        <v>0</v>
      </c>
      <c r="Z57" t="str">
        <f t="shared" si="42"/>
        <v>1.01601657935512-0.000486596443905099i</v>
      </c>
      <c r="AA57">
        <f t="shared" si="24"/>
        <v>0.13801689257265934</v>
      </c>
      <c r="AB57">
        <f t="shared" si="43"/>
        <v>-2.744041881657654E-2</v>
      </c>
      <c r="AD57" s="30" t="str">
        <f t="shared" si="44"/>
        <v>2.51327412i</v>
      </c>
      <c r="AE57" s="30" t="str">
        <f t="shared" si="25"/>
        <v>1+2.51327412i</v>
      </c>
      <c r="AF57" s="30" t="e">
        <f t="shared" si="45"/>
        <v>#VALUE!</v>
      </c>
      <c r="AG57" t="e">
        <f t="shared" si="46"/>
        <v>#VALUE!</v>
      </c>
      <c r="AH57" t="str">
        <f t="shared" si="26"/>
        <v>1+2.51327412i</v>
      </c>
      <c r="AI57" s="299" t="e">
        <f t="shared" si="27"/>
        <v>#VALUE!</v>
      </c>
      <c r="AK57" t="e">
        <f t="shared" si="28"/>
        <v>#VALUE!</v>
      </c>
      <c r="AM57" t="e">
        <f t="shared" si="29"/>
        <v>#VALUE!</v>
      </c>
      <c r="AN57" t="e">
        <f t="shared" si="47"/>
        <v>#VALUE!</v>
      </c>
    </row>
    <row r="58" spans="1:40" x14ac:dyDescent="0.2">
      <c r="A58" s="335">
        <v>25000</v>
      </c>
      <c r="B58" s="352">
        <f t="shared" si="17"/>
        <v>25</v>
      </c>
      <c r="C58" t="str">
        <f t="shared" si="30"/>
        <v>157079.6325i</v>
      </c>
      <c r="D58" s="30" t="str">
        <f t="shared" si="31"/>
        <v>-24674010946.3351</v>
      </c>
      <c r="E58" s="30" t="str">
        <f t="shared" si="32"/>
        <v>-3875784571751290i</v>
      </c>
      <c r="G58" s="30" t="e">
        <f t="shared" si="33"/>
        <v>#VALUE!</v>
      </c>
      <c r="I58" s="30" t="e">
        <f t="shared" si="34"/>
        <v>#REF!</v>
      </c>
      <c r="J58" t="e">
        <f t="shared" si="18"/>
        <v>#REF!</v>
      </c>
      <c r="L58" s="30" t="e">
        <f t="shared" si="35"/>
        <v>#VALUE!</v>
      </c>
      <c r="M58" t="e">
        <f t="shared" si="36"/>
        <v>#VALUE!</v>
      </c>
      <c r="N58" t="e">
        <f t="shared" si="48"/>
        <v>#REF!</v>
      </c>
      <c r="O58" s="299" t="e">
        <f t="shared" si="49"/>
        <v>#VALUE!</v>
      </c>
      <c r="P58" s="651">
        <v>0</v>
      </c>
      <c r="Q58" s="397" t="str">
        <f t="shared" si="37"/>
        <v>1+0.054977871375i</v>
      </c>
      <c r="R58" s="397" t="str">
        <f t="shared" si="38"/>
        <v>-0.000433545262196099i</v>
      </c>
      <c r="S58" s="397" t="str">
        <f t="shared" si="39"/>
        <v>-0.0246641413419566</v>
      </c>
      <c r="T58" s="397" t="str">
        <f t="shared" si="50"/>
        <v>0.975335858658043+0.0545443261128039i</v>
      </c>
      <c r="U58" s="652">
        <v>1</v>
      </c>
      <c r="V58">
        <f t="shared" si="40"/>
        <v>1</v>
      </c>
      <c r="W58">
        <f t="shared" si="23"/>
        <v>0</v>
      </c>
      <c r="X58">
        <f t="shared" si="41"/>
        <v>0</v>
      </c>
      <c r="Z58" t="str">
        <f t="shared" si="42"/>
        <v>1.02523378537434-0.000966656304033977i</v>
      </c>
      <c r="AA58">
        <f t="shared" si="24"/>
        <v>0.21646204909008521</v>
      </c>
      <c r="AB58">
        <f t="shared" si="43"/>
        <v>-5.4022127344881758E-2</v>
      </c>
      <c r="AD58" s="30" t="str">
        <f t="shared" si="44"/>
        <v>3.14159265i</v>
      </c>
      <c r="AE58" s="30" t="str">
        <f t="shared" si="25"/>
        <v>1+3.14159265i</v>
      </c>
      <c r="AF58" s="30" t="e">
        <f t="shared" si="45"/>
        <v>#VALUE!</v>
      </c>
      <c r="AG58" t="e">
        <f t="shared" si="46"/>
        <v>#VALUE!</v>
      </c>
      <c r="AH58" t="str">
        <f t="shared" si="26"/>
        <v>1+3.14159265i</v>
      </c>
      <c r="AI58" s="299" t="e">
        <f t="shared" si="27"/>
        <v>#VALUE!</v>
      </c>
      <c r="AK58" t="e">
        <f t="shared" si="28"/>
        <v>#VALUE!</v>
      </c>
      <c r="AM58" t="e">
        <f t="shared" si="29"/>
        <v>#VALUE!</v>
      </c>
      <c r="AN58" t="e">
        <f t="shared" si="47"/>
        <v>#VALUE!</v>
      </c>
    </row>
    <row r="59" spans="1:40" x14ac:dyDescent="0.2">
      <c r="A59" s="335">
        <v>30000</v>
      </c>
      <c r="B59" s="352">
        <f t="shared" si="17"/>
        <v>30</v>
      </c>
      <c r="C59" t="str">
        <f t="shared" si="30"/>
        <v>188495.559i</v>
      </c>
      <c r="D59" s="30" t="str">
        <f t="shared" si="31"/>
        <v>-35530575762.7225</v>
      </c>
      <c r="E59" s="30" t="str">
        <f t="shared" si="32"/>
        <v>-6697355739986230i</v>
      </c>
      <c r="G59" s="30" t="e">
        <f t="shared" si="33"/>
        <v>#VALUE!</v>
      </c>
      <c r="I59" s="30" t="e">
        <f t="shared" si="34"/>
        <v>#REF!</v>
      </c>
      <c r="J59" t="e">
        <f t="shared" si="18"/>
        <v>#REF!</v>
      </c>
      <c r="L59" s="30" t="e">
        <f t="shared" si="35"/>
        <v>#VALUE!</v>
      </c>
      <c r="M59" t="e">
        <f t="shared" si="36"/>
        <v>#VALUE!</v>
      </c>
      <c r="N59" t="e">
        <f t="shared" si="48"/>
        <v>#REF!</v>
      </c>
      <c r="O59" s="299" t="e">
        <f t="shared" si="49"/>
        <v>#VALUE!</v>
      </c>
      <c r="P59" s="651">
        <v>0</v>
      </c>
      <c r="Q59" s="397" t="str">
        <f t="shared" si="37"/>
        <v>1+0.06597344565i</v>
      </c>
      <c r="R59" s="397" t="str">
        <f t="shared" si="38"/>
        <v>-0.00074916621307486i</v>
      </c>
      <c r="S59" s="397" t="str">
        <f t="shared" si="39"/>
        <v>-0.0355163635324174</v>
      </c>
      <c r="T59" s="397" t="str">
        <f t="shared" si="50"/>
        <v>0.964483636467583+0.0652242794369251i</v>
      </c>
      <c r="U59" s="652">
        <v>1</v>
      </c>
      <c r="V59">
        <f t="shared" si="40"/>
        <v>1</v>
      </c>
      <c r="W59">
        <f t="shared" si="23"/>
        <v>0</v>
      </c>
      <c r="X59">
        <f t="shared" si="41"/>
        <v>0</v>
      </c>
      <c r="Z59" t="str">
        <f t="shared" si="42"/>
        <v>1.03670887459481-0.00170572482425677i</v>
      </c>
      <c r="AA59">
        <f t="shared" si="24"/>
        <v>0.31314808208663503</v>
      </c>
      <c r="AB59">
        <f t="shared" si="43"/>
        <v>-9.4270192682177109E-2</v>
      </c>
      <c r="AD59" s="30" t="str">
        <f t="shared" si="44"/>
        <v>3.76991118i</v>
      </c>
      <c r="AE59" s="30" t="str">
        <f t="shared" si="25"/>
        <v>1+3.76991118i</v>
      </c>
      <c r="AF59" s="30" t="e">
        <f t="shared" si="45"/>
        <v>#VALUE!</v>
      </c>
      <c r="AG59" t="e">
        <f t="shared" si="46"/>
        <v>#VALUE!</v>
      </c>
      <c r="AH59" t="str">
        <f t="shared" si="26"/>
        <v>1+3.76991118i</v>
      </c>
      <c r="AI59" s="299" t="e">
        <f t="shared" si="27"/>
        <v>#VALUE!</v>
      </c>
      <c r="AK59" t="e">
        <f t="shared" si="28"/>
        <v>#VALUE!</v>
      </c>
      <c r="AM59" t="e">
        <f t="shared" si="29"/>
        <v>#VALUE!</v>
      </c>
      <c r="AN59" t="e">
        <f t="shared" si="47"/>
        <v>#VALUE!</v>
      </c>
    </row>
    <row r="60" spans="1:40" x14ac:dyDescent="0.2">
      <c r="A60" s="335">
        <v>35000</v>
      </c>
      <c r="B60" s="352">
        <f t="shared" si="17"/>
        <v>35</v>
      </c>
      <c r="C60" t="str">
        <f t="shared" si="30"/>
        <v>219911.4855i</v>
      </c>
      <c r="D60" s="30" t="str">
        <f t="shared" si="31"/>
        <v>-48361061454.8167</v>
      </c>
      <c r="E60" s="30" t="str">
        <f t="shared" si="32"/>
        <v>-10635152864885500i</v>
      </c>
      <c r="G60" s="30" t="e">
        <f t="shared" si="33"/>
        <v>#VALUE!</v>
      </c>
      <c r="I60" s="30" t="e">
        <f t="shared" si="34"/>
        <v>#REF!</v>
      </c>
      <c r="J60" t="e">
        <f t="shared" si="18"/>
        <v>#REF!</v>
      </c>
      <c r="L60" s="30" t="e">
        <f t="shared" si="35"/>
        <v>#VALUE!</v>
      </c>
      <c r="M60" t="e">
        <f t="shared" si="36"/>
        <v>#VALUE!</v>
      </c>
      <c r="N60" t="e">
        <f t="shared" si="48"/>
        <v>#REF!</v>
      </c>
      <c r="O60" s="299" t="e">
        <f t="shared" si="49"/>
        <v>#VALUE!</v>
      </c>
      <c r="P60" s="651">
        <v>0</v>
      </c>
      <c r="Q60" s="397" t="str">
        <f t="shared" si="37"/>
        <v>1+0.076969019925i</v>
      </c>
      <c r="R60" s="397" t="str">
        <f t="shared" si="38"/>
        <v>-0.00118964819946609i</v>
      </c>
      <c r="S60" s="397" t="str">
        <f t="shared" si="39"/>
        <v>-0.0483417170302348</v>
      </c>
      <c r="T60" s="397" t="str">
        <f t="shared" si="50"/>
        <v>0.951658282969765+0.0757793717255339i</v>
      </c>
      <c r="U60" s="652">
        <v>1</v>
      </c>
      <c r="V60">
        <f t="shared" si="40"/>
        <v>1</v>
      </c>
      <c r="W60">
        <f t="shared" si="23"/>
        <v>0</v>
      </c>
      <c r="X60">
        <f t="shared" si="41"/>
        <v>0</v>
      </c>
      <c r="Z60" t="str">
        <f t="shared" si="42"/>
        <v>1.05057619978726-0.00277724104542023i</v>
      </c>
      <c r="AA60">
        <f t="shared" si="24"/>
        <v>0.42858150735745315</v>
      </c>
      <c r="AB60">
        <f t="shared" si="43"/>
        <v>-0.15146337803870516</v>
      </c>
      <c r="AD60" s="30" t="str">
        <f t="shared" si="44"/>
        <v>4.39822971i</v>
      </c>
      <c r="AE60" s="30" t="str">
        <f t="shared" si="25"/>
        <v>1+4.39822971i</v>
      </c>
      <c r="AF60" s="30" t="e">
        <f t="shared" si="45"/>
        <v>#VALUE!</v>
      </c>
      <c r="AG60" t="e">
        <f t="shared" si="46"/>
        <v>#VALUE!</v>
      </c>
      <c r="AH60" t="str">
        <f t="shared" si="26"/>
        <v>1+4.39822971i</v>
      </c>
      <c r="AI60" s="299" t="e">
        <f t="shared" si="27"/>
        <v>#VALUE!</v>
      </c>
      <c r="AK60" t="e">
        <f t="shared" si="28"/>
        <v>#VALUE!</v>
      </c>
      <c r="AM60" t="e">
        <f t="shared" si="29"/>
        <v>#VALUE!</v>
      </c>
      <c r="AN60" t="e">
        <f t="shared" si="47"/>
        <v>#VALUE!</v>
      </c>
    </row>
    <row r="61" spans="1:40" x14ac:dyDescent="0.2">
      <c r="A61" s="335">
        <v>40000</v>
      </c>
      <c r="B61" s="352">
        <f t="shared" si="17"/>
        <v>40</v>
      </c>
      <c r="C61" t="str">
        <f t="shared" si="30"/>
        <v>251327.412i</v>
      </c>
      <c r="D61" s="30" t="str">
        <f t="shared" si="31"/>
        <v>-63165468022.6178</v>
      </c>
      <c r="E61" s="30" t="str">
        <f t="shared" si="32"/>
        <v>-15875213605893300i</v>
      </c>
      <c r="G61" s="30" t="e">
        <f t="shared" si="33"/>
        <v>#VALUE!</v>
      </c>
      <c r="I61" s="30" t="e">
        <f t="shared" si="34"/>
        <v>#REF!</v>
      </c>
      <c r="J61" t="e">
        <f t="shared" si="18"/>
        <v>#REF!</v>
      </c>
      <c r="L61" s="30" t="e">
        <f t="shared" si="35"/>
        <v>#VALUE!</v>
      </c>
      <c r="M61" t="e">
        <f t="shared" si="36"/>
        <v>#VALUE!</v>
      </c>
      <c r="N61" t="e">
        <f t="shared" si="48"/>
        <v>#REF!</v>
      </c>
      <c r="O61" s="299" t="e">
        <f t="shared" si="49"/>
        <v>#VALUE!</v>
      </c>
      <c r="P61" s="651">
        <v>0</v>
      </c>
      <c r="Q61" s="397" t="str">
        <f t="shared" si="37"/>
        <v>1+0.0879645942i</v>
      </c>
      <c r="R61" s="397" t="str">
        <f t="shared" si="38"/>
        <v>-0.00177580139395522i</v>
      </c>
      <c r="S61" s="397" t="str">
        <f t="shared" si="39"/>
        <v>-0.0631402018354088</v>
      </c>
      <c r="T61" s="397" t="str">
        <f t="shared" si="50"/>
        <v>0.936859798164591+0.0861887928060448i</v>
      </c>
      <c r="U61" s="652">
        <v>1</v>
      </c>
      <c r="V61">
        <f t="shared" si="40"/>
        <v>1</v>
      </c>
      <c r="W61">
        <f t="shared" si="23"/>
        <v>0</v>
      </c>
      <c r="X61">
        <f t="shared" si="41"/>
        <v>0</v>
      </c>
      <c r="Z61" t="str">
        <f t="shared" si="42"/>
        <v>1.06700286965865-0.00426861635465528i</v>
      </c>
      <c r="AA61">
        <f t="shared" si="24"/>
        <v>0.56338125510820847</v>
      </c>
      <c r="AB61">
        <f t="shared" si="43"/>
        <v>-0.22921437604912545</v>
      </c>
      <c r="AD61" s="30" t="str">
        <f t="shared" si="44"/>
        <v>5.02654824i</v>
      </c>
      <c r="AE61" s="30" t="str">
        <f t="shared" si="25"/>
        <v>1+5.02654824i</v>
      </c>
      <c r="AF61" s="30" t="e">
        <f t="shared" si="45"/>
        <v>#VALUE!</v>
      </c>
      <c r="AG61" t="e">
        <f t="shared" si="46"/>
        <v>#VALUE!</v>
      </c>
      <c r="AH61" t="str">
        <f t="shared" si="26"/>
        <v>1+5.02654824i</v>
      </c>
      <c r="AI61" s="299" t="e">
        <f t="shared" si="27"/>
        <v>#VALUE!</v>
      </c>
      <c r="AK61" t="e">
        <f t="shared" si="28"/>
        <v>#VALUE!</v>
      </c>
      <c r="AM61" t="e">
        <f t="shared" si="29"/>
        <v>#VALUE!</v>
      </c>
      <c r="AN61" t="e">
        <f t="shared" si="47"/>
        <v>#VALUE!</v>
      </c>
    </row>
    <row r="62" spans="1:40" x14ac:dyDescent="0.2">
      <c r="A62" s="335">
        <v>45000</v>
      </c>
      <c r="B62" s="352">
        <f t="shared" si="17"/>
        <v>45</v>
      </c>
      <c r="C62" t="str">
        <f t="shared" si="30"/>
        <v>282743.3385i</v>
      </c>
      <c r="D62" s="30" t="str">
        <f t="shared" si="31"/>
        <v>-79943795466.1256</v>
      </c>
      <c r="E62" s="30" t="str">
        <f t="shared" si="32"/>
        <v>-22603575622453500i</v>
      </c>
      <c r="G62" s="30" t="e">
        <f t="shared" si="33"/>
        <v>#VALUE!</v>
      </c>
      <c r="I62" s="30" t="e">
        <f t="shared" si="34"/>
        <v>#REF!</v>
      </c>
      <c r="J62" t="e">
        <f t="shared" si="18"/>
        <v>#REF!</v>
      </c>
      <c r="L62" s="30" t="e">
        <f t="shared" si="35"/>
        <v>#VALUE!</v>
      </c>
      <c r="M62" t="e">
        <f t="shared" si="36"/>
        <v>#VALUE!</v>
      </c>
      <c r="N62" t="e">
        <f t="shared" si="48"/>
        <v>#REF!</v>
      </c>
      <c r="O62" s="299" t="e">
        <f t="shared" si="49"/>
        <v>#VALUE!</v>
      </c>
      <c r="P62" s="651">
        <v>0</v>
      </c>
      <c r="Q62" s="397" t="str">
        <f t="shared" si="37"/>
        <v>1+0.098960168475i</v>
      </c>
      <c r="R62" s="397" t="str">
        <f t="shared" si="38"/>
        <v>-0.00252843596912765i</v>
      </c>
      <c r="S62" s="397" t="str">
        <f t="shared" si="39"/>
        <v>-0.0799118179479392</v>
      </c>
      <c r="T62" s="397" t="str">
        <f t="shared" si="50"/>
        <v>0.920088182052061+0.0964317325058724i</v>
      </c>
      <c r="U62" s="652">
        <v>1</v>
      </c>
      <c r="V62">
        <f t="shared" si="40"/>
        <v>1</v>
      </c>
      <c r="W62">
        <f t="shared" si="23"/>
        <v>0</v>
      </c>
      <c r="X62">
        <f t="shared" si="41"/>
        <v>0</v>
      </c>
      <c r="Z62" t="str">
        <f t="shared" si="42"/>
        <v>1.08619356566251-0.00628565719175738i</v>
      </c>
      <c r="AA62">
        <f t="shared" si="24"/>
        <v>0.71828994959670589</v>
      </c>
      <c r="AB62">
        <f t="shared" si="43"/>
        <v>-0.33155932819996564</v>
      </c>
      <c r="AD62" s="30" t="str">
        <f t="shared" si="44"/>
        <v>5.65486677i</v>
      </c>
      <c r="AE62" s="30" t="str">
        <f t="shared" si="25"/>
        <v>1+5.65486677i</v>
      </c>
      <c r="AF62" s="30" t="e">
        <f t="shared" si="45"/>
        <v>#VALUE!</v>
      </c>
      <c r="AG62" t="e">
        <f t="shared" si="46"/>
        <v>#VALUE!</v>
      </c>
      <c r="AH62" t="str">
        <f t="shared" si="26"/>
        <v>1+5.65486677i</v>
      </c>
      <c r="AI62" s="299" t="e">
        <f t="shared" si="27"/>
        <v>#VALUE!</v>
      </c>
      <c r="AK62" t="e">
        <f t="shared" si="28"/>
        <v>#VALUE!</v>
      </c>
      <c r="AM62" t="e">
        <f t="shared" si="29"/>
        <v>#VALUE!</v>
      </c>
      <c r="AN62" t="e">
        <f t="shared" si="47"/>
        <v>#VALUE!</v>
      </c>
    </row>
    <row r="63" spans="1:40" x14ac:dyDescent="0.2">
      <c r="A63" s="335">
        <v>50000</v>
      </c>
      <c r="B63" s="352">
        <f t="shared" si="17"/>
        <v>50</v>
      </c>
      <c r="C63" t="str">
        <f t="shared" si="30"/>
        <v>314159.265i</v>
      </c>
      <c r="D63" s="30" t="str">
        <f t="shared" si="31"/>
        <v>-98696043785.3402</v>
      </c>
      <c r="E63" s="30" t="str">
        <f t="shared" si="32"/>
        <v>-31006276574010300i</v>
      </c>
      <c r="G63" s="30" t="e">
        <f t="shared" si="33"/>
        <v>#VALUE!</v>
      </c>
      <c r="I63" s="30" t="e">
        <f t="shared" si="34"/>
        <v>#REF!</v>
      </c>
      <c r="J63" t="e">
        <f t="shared" si="18"/>
        <v>#REF!</v>
      </c>
      <c r="L63" s="30" t="e">
        <f t="shared" si="35"/>
        <v>#VALUE!</v>
      </c>
      <c r="M63" t="e">
        <f t="shared" si="36"/>
        <v>#VALUE!</v>
      </c>
      <c r="N63" t="e">
        <f t="shared" si="48"/>
        <v>#REF!</v>
      </c>
      <c r="O63" s="299" t="e">
        <f t="shared" si="49"/>
        <v>#VALUE!</v>
      </c>
      <c r="P63" s="651">
        <v>0</v>
      </c>
      <c r="Q63" s="397" t="str">
        <f t="shared" si="37"/>
        <v>1+0.10995574275i</v>
      </c>
      <c r="R63" s="397" t="str">
        <f t="shared" si="38"/>
        <v>-0.00346836209756879i</v>
      </c>
      <c r="S63" s="397" t="str">
        <f t="shared" si="39"/>
        <v>-0.0986565653678261</v>
      </c>
      <c r="T63" s="397" t="str">
        <f t="shared" si="50"/>
        <v>0.901343434632174+0.106487380652431i</v>
      </c>
      <c r="U63" s="652">
        <v>1</v>
      </c>
      <c r="V63">
        <f t="shared" si="40"/>
        <v>1</v>
      </c>
      <c r="W63">
        <f t="shared" si="23"/>
        <v>0</v>
      </c>
      <c r="X63">
        <f t="shared" si="41"/>
        <v>0</v>
      </c>
      <c r="Z63" t="str">
        <f t="shared" si="42"/>
        <v>1.10839666057698-0.00895831050462997i</v>
      </c>
      <c r="AA63">
        <f t="shared" si="24"/>
        <v>0.89418785513768861</v>
      </c>
      <c r="AB63">
        <f t="shared" si="43"/>
        <v>-0.46306726345210286</v>
      </c>
      <c r="AD63" s="30" t="str">
        <f t="shared" si="44"/>
        <v>6.2831853i</v>
      </c>
      <c r="AE63" s="30" t="str">
        <f t="shared" si="25"/>
        <v>1+6.2831853i</v>
      </c>
      <c r="AF63" s="30" t="e">
        <f t="shared" si="45"/>
        <v>#VALUE!</v>
      </c>
      <c r="AG63" t="e">
        <f t="shared" si="46"/>
        <v>#VALUE!</v>
      </c>
      <c r="AH63" t="str">
        <f t="shared" si="26"/>
        <v>1+6.2831853i</v>
      </c>
      <c r="AI63" s="299" t="e">
        <f t="shared" si="27"/>
        <v>#VALUE!</v>
      </c>
      <c r="AK63" t="e">
        <f t="shared" si="28"/>
        <v>#VALUE!</v>
      </c>
      <c r="AM63" t="e">
        <f t="shared" si="29"/>
        <v>#VALUE!</v>
      </c>
      <c r="AN63" t="e">
        <f t="shared" si="47"/>
        <v>#VALUE!</v>
      </c>
    </row>
    <row r="64" spans="1:40" x14ac:dyDescent="0.2">
      <c r="A64" s="335">
        <v>55000</v>
      </c>
      <c r="B64" s="352">
        <f t="shared" si="17"/>
        <v>55</v>
      </c>
      <c r="C64" t="str">
        <f t="shared" si="30"/>
        <v>345575.1915i</v>
      </c>
      <c r="D64" s="30" t="str">
        <f t="shared" si="31"/>
        <v>-119422212980.262</v>
      </c>
      <c r="E64" s="30" t="str">
        <f t="shared" si="32"/>
        <v>-41269354120007700i</v>
      </c>
      <c r="G64" s="30" t="e">
        <f t="shared" si="33"/>
        <v>#VALUE!</v>
      </c>
      <c r="I64" s="30" t="e">
        <f t="shared" si="34"/>
        <v>#REF!</v>
      </c>
      <c r="J64" t="e">
        <f t="shared" si="18"/>
        <v>#REF!</v>
      </c>
      <c r="L64" s="30" t="e">
        <f t="shared" si="35"/>
        <v>#VALUE!</v>
      </c>
      <c r="M64" t="e">
        <f t="shared" si="36"/>
        <v>#VALUE!</v>
      </c>
      <c r="N64" t="e">
        <f t="shared" si="48"/>
        <v>#REF!</v>
      </c>
      <c r="O64" s="299" t="e">
        <f t="shared" si="49"/>
        <v>#VALUE!</v>
      </c>
      <c r="P64" s="651">
        <v>0</v>
      </c>
      <c r="Q64" s="397" t="str">
        <f t="shared" si="37"/>
        <v>1+0.120951317025i</v>
      </c>
      <c r="R64" s="397" t="str">
        <f t="shared" si="38"/>
        <v>-0.00461638995186406i</v>
      </c>
      <c r="S64" s="397" t="str">
        <f t="shared" si="39"/>
        <v>-0.11937444409507</v>
      </c>
      <c r="T64" s="397" t="str">
        <f t="shared" si="50"/>
        <v>0.88062555590493+0.116334927073136i</v>
      </c>
      <c r="U64" s="652">
        <v>1</v>
      </c>
      <c r="V64">
        <f t="shared" si="40"/>
        <v>1</v>
      </c>
      <c r="W64">
        <f t="shared" si="23"/>
        <v>0</v>
      </c>
      <c r="X64">
        <f t="shared" si="41"/>
        <v>0</v>
      </c>
      <c r="Z64" t="str">
        <f t="shared" si="42"/>
        <v>1.1339119415625-0.0124482487823856i</v>
      </c>
      <c r="AA64">
        <f t="shared" si="24"/>
        <v>1.0921099587044569</v>
      </c>
      <c r="AB64">
        <f t="shared" si="43"/>
        <v>-0.628976061964027</v>
      </c>
      <c r="AD64" s="30" t="str">
        <f t="shared" si="44"/>
        <v>6.91150383i</v>
      </c>
      <c r="AE64" s="30" t="str">
        <f t="shared" si="25"/>
        <v>1+6.91150383i</v>
      </c>
      <c r="AF64" s="30" t="e">
        <f t="shared" si="45"/>
        <v>#VALUE!</v>
      </c>
      <c r="AG64" t="e">
        <f t="shared" si="46"/>
        <v>#VALUE!</v>
      </c>
      <c r="AH64" t="str">
        <f t="shared" si="26"/>
        <v>1+6.91150383i</v>
      </c>
      <c r="AI64" s="299" t="e">
        <f t="shared" si="27"/>
        <v>#VALUE!</v>
      </c>
      <c r="AK64" t="e">
        <f t="shared" si="28"/>
        <v>#VALUE!</v>
      </c>
      <c r="AM64" t="e">
        <f t="shared" si="29"/>
        <v>#VALUE!</v>
      </c>
      <c r="AN64" t="e">
        <f t="shared" si="47"/>
        <v>#VALUE!</v>
      </c>
    </row>
    <row r="65" spans="1:40" x14ac:dyDescent="0.2">
      <c r="A65" s="335">
        <v>60000</v>
      </c>
      <c r="B65" s="352">
        <f t="shared" si="17"/>
        <v>60</v>
      </c>
      <c r="C65" t="str">
        <f t="shared" si="30"/>
        <v>376991.118i</v>
      </c>
      <c r="D65" s="30" t="str">
        <f t="shared" si="31"/>
        <v>-142122303050.89</v>
      </c>
      <c r="E65" s="30" t="str">
        <f t="shared" si="32"/>
        <v>-53578845919889800i</v>
      </c>
      <c r="G65" s="30" t="e">
        <f t="shared" si="33"/>
        <v>#VALUE!</v>
      </c>
      <c r="I65" s="30" t="e">
        <f t="shared" si="34"/>
        <v>#REF!</v>
      </c>
      <c r="J65" t="e">
        <f t="shared" si="18"/>
        <v>#REF!</v>
      </c>
      <c r="L65" s="30" t="e">
        <f t="shared" si="35"/>
        <v>#VALUE!</v>
      </c>
      <c r="M65" t="e">
        <f t="shared" si="36"/>
        <v>#VALUE!</v>
      </c>
      <c r="N65" t="e">
        <f t="shared" si="48"/>
        <v>#REF!</v>
      </c>
      <c r="O65" s="299" t="e">
        <f t="shared" si="49"/>
        <v>#VALUE!</v>
      </c>
      <c r="P65" s="651">
        <v>0</v>
      </c>
      <c r="Q65" s="397" t="str">
        <f t="shared" si="37"/>
        <v>1+0.1319468913i</v>
      </c>
      <c r="R65" s="397" t="str">
        <f t="shared" si="38"/>
        <v>-0.00599332970459887i</v>
      </c>
      <c r="S65" s="397" t="str">
        <f t="shared" si="39"/>
        <v>-0.14206545412967</v>
      </c>
      <c r="T65" s="397" t="str">
        <f t="shared" si="50"/>
        <v>0.85793454587033+0.125953561595401i</v>
      </c>
      <c r="U65" s="652">
        <v>1</v>
      </c>
      <c r="V65">
        <f t="shared" si="40"/>
        <v>1</v>
      </c>
      <c r="W65">
        <f t="shared" si="23"/>
        <v>0</v>
      </c>
      <c r="X65">
        <f t="shared" si="41"/>
        <v>0</v>
      </c>
      <c r="Z65" t="str">
        <f t="shared" si="42"/>
        <v>1.1631003258263-0.0169590294511739i</v>
      </c>
      <c r="AA65">
        <f t="shared" si="24"/>
        <v>1.3132667689997053</v>
      </c>
      <c r="AB65">
        <f t="shared" si="43"/>
        <v>-0.83536384612322845</v>
      </c>
      <c r="AD65" s="30" t="str">
        <f t="shared" si="44"/>
        <v>7.53982236i</v>
      </c>
      <c r="AE65" s="30" t="str">
        <f t="shared" si="25"/>
        <v>1+7.53982236i</v>
      </c>
      <c r="AF65" s="30" t="e">
        <f t="shared" si="45"/>
        <v>#VALUE!</v>
      </c>
      <c r="AG65" t="e">
        <f t="shared" si="46"/>
        <v>#VALUE!</v>
      </c>
      <c r="AH65" t="str">
        <f t="shared" si="26"/>
        <v>1+7.53982236i</v>
      </c>
      <c r="AI65" s="299" t="e">
        <f t="shared" si="27"/>
        <v>#VALUE!</v>
      </c>
      <c r="AK65" t="e">
        <f t="shared" si="28"/>
        <v>#VALUE!</v>
      </c>
      <c r="AM65" t="e">
        <f t="shared" si="29"/>
        <v>#VALUE!</v>
      </c>
      <c r="AN65" t="e">
        <f t="shared" si="47"/>
        <v>#VALUE!</v>
      </c>
    </row>
    <row r="66" spans="1:40" x14ac:dyDescent="0.2">
      <c r="A66" s="335">
        <v>65000</v>
      </c>
      <c r="B66" s="352">
        <f t="shared" si="17"/>
        <v>65</v>
      </c>
      <c r="C66" t="str">
        <f t="shared" si="30"/>
        <v>408407.0445i</v>
      </c>
      <c r="D66" s="30" t="str">
        <f t="shared" si="31"/>
        <v>-166796313997.225</v>
      </c>
      <c r="E66" s="30" t="str">
        <f t="shared" si="32"/>
        <v>-68120789633100600i</v>
      </c>
      <c r="G66" s="30" t="e">
        <f t="shared" si="33"/>
        <v>#VALUE!</v>
      </c>
      <c r="I66" s="30" t="e">
        <f t="shared" si="34"/>
        <v>#REF!</v>
      </c>
      <c r="J66" t="e">
        <f t="shared" si="18"/>
        <v>#REF!</v>
      </c>
      <c r="L66" s="30" t="e">
        <f t="shared" si="35"/>
        <v>#VALUE!</v>
      </c>
      <c r="M66" t="e">
        <f t="shared" si="36"/>
        <v>#VALUE!</v>
      </c>
      <c r="N66" t="e">
        <f t="shared" si="48"/>
        <v>#REF!</v>
      </c>
      <c r="O66" s="299" t="e">
        <f t="shared" si="49"/>
        <v>#VALUE!</v>
      </c>
      <c r="P66" s="651">
        <v>0</v>
      </c>
      <c r="Q66" s="397" t="str">
        <f t="shared" si="37"/>
        <v>1+0.142942465575i</v>
      </c>
      <c r="R66" s="397" t="str">
        <f t="shared" si="38"/>
        <v>-0.00761999152835863i</v>
      </c>
      <c r="S66" s="397" t="str">
        <f t="shared" si="39"/>
        <v>-0.166729595471626</v>
      </c>
      <c r="T66" s="397" t="str">
        <f t="shared" si="50"/>
        <v>0.833270404528374+0.135322474046641i</v>
      </c>
      <c r="U66" s="652">
        <v>1</v>
      </c>
      <c r="V66">
        <f t="shared" si="40"/>
        <v>1</v>
      </c>
      <c r="W66">
        <f t="shared" si="23"/>
        <v>0</v>
      </c>
      <c r="X66">
        <f t="shared" si="41"/>
        <v>0</v>
      </c>
      <c r="Z66" t="str">
        <f t="shared" si="42"/>
        <v>1.19639605981863-0.0227498889631618i</v>
      </c>
      <c r="AA66">
        <f t="shared" si="24"/>
        <v>1.5590695347266561</v>
      </c>
      <c r="AB66">
        <f t="shared" si="43"/>
        <v>-1.0893679748558442</v>
      </c>
      <c r="AD66" s="30" t="str">
        <f t="shared" si="44"/>
        <v>8.16814089i</v>
      </c>
      <c r="AE66" s="30" t="str">
        <f t="shared" si="25"/>
        <v>1+8.16814089i</v>
      </c>
      <c r="AF66" s="30" t="e">
        <f t="shared" si="45"/>
        <v>#VALUE!</v>
      </c>
      <c r="AG66" t="e">
        <f t="shared" si="46"/>
        <v>#VALUE!</v>
      </c>
      <c r="AH66" t="str">
        <f t="shared" si="26"/>
        <v>1+8.16814089i</v>
      </c>
      <c r="AI66" s="299" t="e">
        <f t="shared" si="27"/>
        <v>#VALUE!</v>
      </c>
      <c r="AK66" t="e">
        <f t="shared" si="28"/>
        <v>#VALUE!</v>
      </c>
      <c r="AM66" t="e">
        <f t="shared" si="29"/>
        <v>#VALUE!</v>
      </c>
      <c r="AN66" t="e">
        <f t="shared" si="47"/>
        <v>#VALUE!</v>
      </c>
    </row>
    <row r="67" spans="1:40" x14ac:dyDescent="0.2">
      <c r="A67" s="335">
        <v>70000</v>
      </c>
      <c r="B67" s="352">
        <f t="shared" si="17"/>
        <v>70</v>
      </c>
      <c r="C67" t="str">
        <f t="shared" si="30"/>
        <v>439822.971i</v>
      </c>
      <c r="D67" s="30" t="str">
        <f t="shared" si="31"/>
        <v>-193444245819.267</v>
      </c>
      <c r="E67" s="30" t="str">
        <f t="shared" si="32"/>
        <v>-85081222919084300i</v>
      </c>
      <c r="G67" s="30" t="e">
        <f t="shared" si="33"/>
        <v>#VALUE!</v>
      </c>
      <c r="I67" s="30" t="e">
        <f t="shared" si="34"/>
        <v>#REF!</v>
      </c>
      <c r="J67" t="e">
        <f t="shared" si="18"/>
        <v>#REF!</v>
      </c>
      <c r="L67" s="30" t="e">
        <f t="shared" si="35"/>
        <v>#VALUE!</v>
      </c>
      <c r="M67" t="e">
        <f t="shared" si="36"/>
        <v>#VALUE!</v>
      </c>
      <c r="N67" t="e">
        <f t="shared" si="48"/>
        <v>#REF!</v>
      </c>
      <c r="O67" s="299" t="e">
        <f t="shared" si="49"/>
        <v>#VALUE!</v>
      </c>
      <c r="P67" s="651">
        <v>0</v>
      </c>
      <c r="Q67" s="397" t="str">
        <f t="shared" si="37"/>
        <v>1+0.15393803985i</v>
      </c>
      <c r="R67" s="397" t="str">
        <f t="shared" si="38"/>
        <v>-0.00951718559572877i</v>
      </c>
      <c r="S67" s="397" t="str">
        <f t="shared" si="39"/>
        <v>-0.193366868120939</v>
      </c>
      <c r="T67" s="397" t="str">
        <f t="shared" si="50"/>
        <v>0.806633131879061+0.144420854254271i</v>
      </c>
      <c r="U67" s="652">
        <v>1</v>
      </c>
      <c r="V67">
        <f t="shared" si="40"/>
        <v>1</v>
      </c>
      <c r="W67">
        <f t="shared" si="23"/>
        <v>0</v>
      </c>
      <c r="X67">
        <f t="shared" si="41"/>
        <v>0</v>
      </c>
      <c r="Z67" t="str">
        <f t="shared" si="42"/>
        <v>1.23432201043572-0.0301547238275632i</v>
      </c>
      <c r="AA67">
        <f t="shared" si="24"/>
        <v>1.8311607132208529</v>
      </c>
      <c r="AB67">
        <f t="shared" si="43"/>
        <v>-1.3994685289579945</v>
      </c>
      <c r="AD67" s="30" t="str">
        <f t="shared" si="44"/>
        <v>8.79645942i</v>
      </c>
      <c r="AE67" s="30" t="str">
        <f t="shared" si="25"/>
        <v>1+8.79645942i</v>
      </c>
      <c r="AF67" s="30" t="e">
        <f t="shared" si="45"/>
        <v>#VALUE!</v>
      </c>
      <c r="AG67" t="e">
        <f t="shared" si="46"/>
        <v>#VALUE!</v>
      </c>
      <c r="AH67" t="str">
        <f t="shared" si="26"/>
        <v>1+8.79645942i</v>
      </c>
      <c r="AI67" s="299" t="e">
        <f t="shared" si="27"/>
        <v>#VALUE!</v>
      </c>
      <c r="AK67" t="e">
        <f t="shared" si="28"/>
        <v>#VALUE!</v>
      </c>
      <c r="AM67" t="e">
        <f t="shared" si="29"/>
        <v>#VALUE!</v>
      </c>
      <c r="AN67" t="e">
        <f t="shared" si="47"/>
        <v>#VALUE!</v>
      </c>
    </row>
    <row r="68" spans="1:40" x14ac:dyDescent="0.2">
      <c r="A68" s="335">
        <v>75000</v>
      </c>
      <c r="B68" s="352">
        <f t="shared" si="17"/>
        <v>75</v>
      </c>
      <c r="C68" t="str">
        <f t="shared" si="30"/>
        <v>471238.8975i</v>
      </c>
      <c r="D68" s="30" t="str">
        <f t="shared" si="31"/>
        <v>-222066098517.016</v>
      </c>
      <c r="E68" s="30" t="str">
        <f t="shared" si="32"/>
        <v>-104646183437285000i</v>
      </c>
      <c r="G68" s="30" t="e">
        <f t="shared" si="33"/>
        <v>#VALUE!</v>
      </c>
      <c r="I68" s="30" t="e">
        <f t="shared" si="34"/>
        <v>#REF!</v>
      </c>
      <c r="J68" t="e">
        <f t="shared" si="18"/>
        <v>#REF!</v>
      </c>
      <c r="L68" s="30" t="e">
        <f t="shared" si="35"/>
        <v>#VALUE!</v>
      </c>
      <c r="M68" t="e">
        <f t="shared" si="36"/>
        <v>#VALUE!</v>
      </c>
      <c r="N68" t="e">
        <f t="shared" si="48"/>
        <v>#REF!</v>
      </c>
      <c r="O68" s="299" t="e">
        <f t="shared" si="49"/>
        <v>#VALUE!</v>
      </c>
      <c r="P68" s="651">
        <v>0</v>
      </c>
      <c r="Q68" s="397" t="str">
        <f t="shared" si="37"/>
        <v>1+0.164933614125i</v>
      </c>
      <c r="R68" s="397" t="str">
        <f t="shared" si="38"/>
        <v>-0.0117057220792947i</v>
      </c>
      <c r="S68" s="397" t="str">
        <f t="shared" si="39"/>
        <v>-0.221977272077609</v>
      </c>
      <c r="T68" s="397" t="str">
        <f t="shared" si="50"/>
        <v>0.778022727922391+0.153227892045705i</v>
      </c>
      <c r="U68" s="652">
        <v>1</v>
      </c>
      <c r="V68">
        <f t="shared" si="40"/>
        <v>1</v>
      </c>
      <c r="W68">
        <f t="shared" si="23"/>
        <v>0</v>
      </c>
      <c r="X68">
        <f t="shared" si="41"/>
        <v>0</v>
      </c>
      <c r="Z68" t="str">
        <f t="shared" si="42"/>
        <v>1.27750877655212-0.0396085636961541i</v>
      </c>
      <c r="AA68">
        <f t="shared" si="24"/>
        <v>2.1314506343374608</v>
      </c>
      <c r="AB68">
        <f t="shared" si="43"/>
        <v>-1.775860031243816</v>
      </c>
      <c r="AD68" s="30" t="str">
        <f t="shared" si="44"/>
        <v>9.42477795i</v>
      </c>
      <c r="AE68" s="30" t="str">
        <f t="shared" si="25"/>
        <v>1+9.42477795i</v>
      </c>
      <c r="AF68" s="30" t="e">
        <f t="shared" si="45"/>
        <v>#VALUE!</v>
      </c>
      <c r="AG68" t="e">
        <f t="shared" si="46"/>
        <v>#VALUE!</v>
      </c>
      <c r="AH68" t="str">
        <f t="shared" si="26"/>
        <v>1+9.42477795i</v>
      </c>
      <c r="AI68" s="299" t="e">
        <f t="shared" si="27"/>
        <v>#VALUE!</v>
      </c>
      <c r="AK68" t="e">
        <f t="shared" si="28"/>
        <v>#VALUE!</v>
      </c>
      <c r="AM68" t="e">
        <f t="shared" si="29"/>
        <v>#VALUE!</v>
      </c>
      <c r="AN68" t="e">
        <f t="shared" si="47"/>
        <v>#VALUE!</v>
      </c>
    </row>
    <row r="69" spans="1:40" x14ac:dyDescent="0.2">
      <c r="A69" s="335">
        <v>80000</v>
      </c>
      <c r="B69" s="352">
        <f t="shared" si="17"/>
        <v>80</v>
      </c>
      <c r="C69" t="str">
        <f t="shared" si="30"/>
        <v>502654.824i</v>
      </c>
      <c r="D69" s="30" t="str">
        <f t="shared" si="31"/>
        <v>-252661872090.471</v>
      </c>
      <c r="E69" s="30" t="str">
        <f t="shared" si="32"/>
        <v>-127001708847146000i</v>
      </c>
      <c r="G69" s="30" t="e">
        <f t="shared" si="33"/>
        <v>#VALUE!</v>
      </c>
      <c r="I69" s="30" t="e">
        <f t="shared" si="34"/>
        <v>#REF!</v>
      </c>
      <c r="J69" t="e">
        <f t="shared" si="18"/>
        <v>#REF!</v>
      </c>
      <c r="L69" s="30" t="e">
        <f t="shared" si="35"/>
        <v>#VALUE!</v>
      </c>
      <c r="M69" t="e">
        <f t="shared" si="36"/>
        <v>#VALUE!</v>
      </c>
      <c r="N69" t="e">
        <f t="shared" si="19"/>
        <v>#REF!</v>
      </c>
      <c r="O69" s="299" t="e">
        <f t="shared" si="20"/>
        <v>#VALUE!</v>
      </c>
      <c r="P69" s="651">
        <v>0</v>
      </c>
      <c r="Q69" s="397" t="str">
        <f t="shared" si="37"/>
        <v>1+0.1759291884i</v>
      </c>
      <c r="R69" s="397" t="str">
        <f t="shared" si="38"/>
        <v>-0.0142064111516417i</v>
      </c>
      <c r="S69" s="397" t="str">
        <f t="shared" si="39"/>
        <v>-0.252560807341635</v>
      </c>
      <c r="T69" s="397" t="str">
        <f t="shared" si="21"/>
        <v>0.747439192658365+0.161722777248358i</v>
      </c>
      <c r="U69" s="652">
        <v>1</v>
      </c>
      <c r="V69">
        <f t="shared" si="40"/>
        <v>1</v>
      </c>
      <c r="W69">
        <f t="shared" si="23"/>
        <v>0</v>
      </c>
      <c r="X69">
        <f t="shared" si="41"/>
        <v>0</v>
      </c>
      <c r="Z69" t="str">
        <f t="shared" si="42"/>
        <v>1.32671843606306-0.0516850094110243i</v>
      </c>
      <c r="AA69">
        <f t="shared" si="24"/>
        <v>2.4621613570964245</v>
      </c>
      <c r="AB69">
        <f t="shared" si="43"/>
        <v>-2.2309452403961947</v>
      </c>
      <c r="AD69" s="30" t="str">
        <f t="shared" si="44"/>
        <v>10.05309648i</v>
      </c>
      <c r="AE69" s="30" t="str">
        <f t="shared" si="25"/>
        <v>1+10.05309648i</v>
      </c>
      <c r="AF69" s="30" t="e">
        <f t="shared" si="45"/>
        <v>#VALUE!</v>
      </c>
      <c r="AG69" t="e">
        <f t="shared" si="46"/>
        <v>#VALUE!</v>
      </c>
      <c r="AH69" t="str">
        <f t="shared" si="26"/>
        <v>1+10.05309648i</v>
      </c>
      <c r="AI69" s="299" t="e">
        <f t="shared" si="27"/>
        <v>#VALUE!</v>
      </c>
      <c r="AK69" t="e">
        <f t="shared" si="28"/>
        <v>#VALUE!</v>
      </c>
      <c r="AM69" t="e">
        <f t="shared" si="29"/>
        <v>#VALUE!</v>
      </c>
      <c r="AN69" t="e">
        <f t="shared" si="47"/>
        <v>#VALUE!</v>
      </c>
    </row>
    <row r="70" spans="1:40" x14ac:dyDescent="0.2">
      <c r="A70" s="335">
        <v>90000</v>
      </c>
      <c r="B70" s="352">
        <f t="shared" si="17"/>
        <v>90</v>
      </c>
      <c r="C70" t="str">
        <f t="shared" si="30"/>
        <v>565486.677i</v>
      </c>
      <c r="D70" s="30" t="str">
        <f t="shared" si="31"/>
        <v>-319775181864.502</v>
      </c>
      <c r="E70" s="30" t="str">
        <f t="shared" si="32"/>
        <v>-180828604979628000i</v>
      </c>
      <c r="G70" s="30" t="e">
        <f t="shared" si="33"/>
        <v>#VALUE!</v>
      </c>
      <c r="I70" s="30" t="e">
        <f t="shared" si="34"/>
        <v>#REF!</v>
      </c>
      <c r="J70" t="e">
        <f t="shared" si="18"/>
        <v>#REF!</v>
      </c>
      <c r="L70" s="30" t="e">
        <f t="shared" si="35"/>
        <v>#VALUE!</v>
      </c>
      <c r="M70" t="e">
        <f t="shared" si="36"/>
        <v>#VALUE!</v>
      </c>
      <c r="N70" t="e">
        <f t="shared" si="19"/>
        <v>#REF!</v>
      </c>
      <c r="O70" s="299" t="e">
        <f t="shared" si="20"/>
        <v>#VALUE!</v>
      </c>
      <c r="P70" s="651">
        <v>0</v>
      </c>
      <c r="Q70" s="397" t="str">
        <f t="shared" si="37"/>
        <v>1+0.19792033695i</v>
      </c>
      <c r="R70" s="397" t="str">
        <f t="shared" si="38"/>
        <v>-0.0202274877530212i</v>
      </c>
      <c r="S70" s="397" t="str">
        <f t="shared" si="39"/>
        <v>-0.319647271791756</v>
      </c>
      <c r="T70" s="397" t="str">
        <f t="shared" si="21"/>
        <v>0.680352728208244+0.177692849196979i</v>
      </c>
      <c r="U70" s="652">
        <v>1</v>
      </c>
      <c r="V70">
        <f t="shared" si="40"/>
        <v>1</v>
      </c>
      <c r="W70">
        <f t="shared" si="23"/>
        <v>0</v>
      </c>
      <c r="X70">
        <f t="shared" si="41"/>
        <v>0</v>
      </c>
      <c r="Z70" t="str">
        <f t="shared" si="42"/>
        <v>1.44709298035524-0.0870397594174791i</v>
      </c>
      <c r="AA70">
        <f t="shared" si="24"/>
        <v>3.2256122149724868</v>
      </c>
      <c r="AB70">
        <f t="shared" si="43"/>
        <v>-3.4420800766964819</v>
      </c>
      <c r="AD70" s="30" t="str">
        <f t="shared" si="44"/>
        <v>11.30973354i</v>
      </c>
      <c r="AE70" s="30" t="str">
        <f t="shared" si="25"/>
        <v>1+11.30973354i</v>
      </c>
      <c r="AF70" s="30" t="e">
        <f t="shared" si="45"/>
        <v>#VALUE!</v>
      </c>
      <c r="AG70" t="e">
        <f t="shared" si="46"/>
        <v>#VALUE!</v>
      </c>
      <c r="AH70" t="str">
        <f t="shared" si="26"/>
        <v>1+11.30973354i</v>
      </c>
      <c r="AI70" s="299" t="e">
        <f t="shared" si="27"/>
        <v>#VALUE!</v>
      </c>
      <c r="AK70" t="e">
        <f t="shared" si="28"/>
        <v>#VALUE!</v>
      </c>
      <c r="AM70" t="e">
        <f t="shared" si="29"/>
        <v>#VALUE!</v>
      </c>
      <c r="AN70" t="e">
        <f t="shared" si="47"/>
        <v>#VALUE!</v>
      </c>
    </row>
    <row r="71" spans="1:40" x14ac:dyDescent="0.2">
      <c r="A71" s="335">
        <v>100000</v>
      </c>
      <c r="B71" s="352">
        <f t="shared" si="17"/>
        <v>100</v>
      </c>
      <c r="C71" t="str">
        <f t="shared" si="30"/>
        <v>628318.53i</v>
      </c>
      <c r="D71" s="30" t="str">
        <f t="shared" si="31"/>
        <v>-394784175141.361</v>
      </c>
      <c r="E71" s="30" t="str">
        <f t="shared" si="32"/>
        <v>-248050212592082000i</v>
      </c>
      <c r="G71" s="30" t="e">
        <f t="shared" si="33"/>
        <v>#VALUE!</v>
      </c>
      <c r="I71" s="30" t="e">
        <f t="shared" si="34"/>
        <v>#REF!</v>
      </c>
      <c r="J71" t="e">
        <f t="shared" si="18"/>
        <v>#REF!</v>
      </c>
      <c r="L71" s="30" t="e">
        <f t="shared" si="35"/>
        <v>#VALUE!</v>
      </c>
      <c r="M71" t="e">
        <f t="shared" si="36"/>
        <v>#VALUE!</v>
      </c>
      <c r="N71" t="e">
        <f t="shared" si="19"/>
        <v>#REF!</v>
      </c>
      <c r="O71" s="299" t="e">
        <f t="shared" si="20"/>
        <v>#VALUE!</v>
      </c>
      <c r="P71" s="651">
        <v>0</v>
      </c>
      <c r="Q71" s="397" t="str">
        <f t="shared" si="37"/>
        <v>1+0.2199114855i</v>
      </c>
      <c r="R71" s="397" t="str">
        <f t="shared" si="38"/>
        <v>-0.0277468967805503i</v>
      </c>
      <c r="S71" s="397" t="str">
        <f t="shared" si="39"/>
        <v>-0.394626261471305</v>
      </c>
      <c r="T71" s="397" t="str">
        <f t="shared" si="21"/>
        <v>0.605373738528695+0.19216458871945i</v>
      </c>
      <c r="U71" s="652">
        <v>1</v>
      </c>
      <c r="V71">
        <f t="shared" si="40"/>
        <v>1</v>
      </c>
      <c r="W71">
        <f t="shared" si="23"/>
        <v>0</v>
      </c>
      <c r="X71">
        <f t="shared" si="41"/>
        <v>0</v>
      </c>
      <c r="Z71" t="str">
        <f t="shared" si="42"/>
        <v>1.60541786286688-0.146344269997555i</v>
      </c>
      <c r="AA71">
        <f t="shared" si="24"/>
        <v>4.1477004385549856</v>
      </c>
      <c r="AB71">
        <f t="shared" si="43"/>
        <v>-5.208487782900634</v>
      </c>
      <c r="AD71" s="30" t="str">
        <f t="shared" si="44"/>
        <v>12.5663706i</v>
      </c>
      <c r="AE71" s="30" t="str">
        <f t="shared" si="25"/>
        <v>1+12.5663706i</v>
      </c>
      <c r="AF71" s="30" t="e">
        <f t="shared" si="45"/>
        <v>#VALUE!</v>
      </c>
      <c r="AG71" t="e">
        <f t="shared" si="46"/>
        <v>#VALUE!</v>
      </c>
      <c r="AH71" t="str">
        <f t="shared" si="26"/>
        <v>1+12.5663706i</v>
      </c>
      <c r="AI71" s="299" t="e">
        <f t="shared" si="27"/>
        <v>#VALUE!</v>
      </c>
      <c r="AK71" t="e">
        <f t="shared" si="28"/>
        <v>#VALUE!</v>
      </c>
      <c r="AM71" t="e">
        <f t="shared" si="29"/>
        <v>#VALUE!</v>
      </c>
      <c r="AN71" t="e">
        <f t="shared" si="47"/>
        <v>#VALUE!</v>
      </c>
    </row>
    <row r="72" spans="1:40" x14ac:dyDescent="0.2">
      <c r="A72" s="335">
        <v>110000</v>
      </c>
      <c r="B72" s="352">
        <f t="shared" si="17"/>
        <v>110</v>
      </c>
      <c r="C72" t="str">
        <f t="shared" si="30"/>
        <v>691150.383i</v>
      </c>
      <c r="D72" s="30" t="str">
        <f t="shared" si="31"/>
        <v>-477688851921.047</v>
      </c>
      <c r="E72" s="30" t="str">
        <f t="shared" si="32"/>
        <v>-330154832960062000i</v>
      </c>
      <c r="G72" s="30" t="e">
        <f t="shared" si="33"/>
        <v>#VALUE!</v>
      </c>
      <c r="I72" s="30" t="e">
        <f t="shared" si="34"/>
        <v>#REF!</v>
      </c>
      <c r="J72" t="e">
        <f t="shared" si="18"/>
        <v>#REF!</v>
      </c>
      <c r="L72" s="30" t="e">
        <f t="shared" si="35"/>
        <v>#VALUE!</v>
      </c>
      <c r="M72" t="e">
        <f t="shared" si="36"/>
        <v>#VALUE!</v>
      </c>
      <c r="N72" t="e">
        <f t="shared" ref="N72:N78" si="51">J72</f>
        <v>#REF!</v>
      </c>
      <c r="O72" s="299" t="e">
        <f t="shared" ref="O72:O78" si="52">IMSUM(L72:N72)</f>
        <v>#VALUE!</v>
      </c>
      <c r="P72" s="651">
        <v>1</v>
      </c>
      <c r="Q72" s="397" t="str">
        <f t="shared" si="37"/>
        <v>1+0.24190263405i</v>
      </c>
      <c r="R72" s="397" t="str">
        <f t="shared" si="38"/>
        <v>-0.0369311196149125i</v>
      </c>
      <c r="S72" s="397" t="str">
        <f t="shared" si="39"/>
        <v>-0.477497776380279</v>
      </c>
      <c r="T72" s="397" t="str">
        <f t="shared" ref="T72:T78" si="53">IMSUM(S72,R72,Q72)</f>
        <v>0.522502223619721+0.204971514435088i</v>
      </c>
      <c r="U72" s="652">
        <v>1</v>
      </c>
      <c r="V72">
        <f t="shared" si="40"/>
        <v>1</v>
      </c>
      <c r="W72">
        <f t="shared" si="23"/>
        <v>0</v>
      </c>
      <c r="X72">
        <f t="shared" si="41"/>
        <v>0</v>
      </c>
      <c r="Z72" t="str">
        <f t="shared" si="42"/>
        <v>1.81601781079008-0.249432980334241i</v>
      </c>
      <c r="AA72">
        <f t="shared" si="24"/>
        <v>5.2635704959533189</v>
      </c>
      <c r="AB72">
        <f t="shared" si="43"/>
        <v>-7.8207323086855629</v>
      </c>
      <c r="AD72" s="30" t="str">
        <f t="shared" si="44"/>
        <v>13.82300766i</v>
      </c>
      <c r="AE72" s="30" t="str">
        <f t="shared" si="25"/>
        <v>1+13.82300766i</v>
      </c>
      <c r="AF72" s="30" t="e">
        <f t="shared" si="45"/>
        <v>#VALUE!</v>
      </c>
      <c r="AG72" t="e">
        <f t="shared" si="46"/>
        <v>#VALUE!</v>
      </c>
      <c r="AH72" t="str">
        <f t="shared" si="26"/>
        <v>1+13.82300766i</v>
      </c>
      <c r="AI72" s="299" t="e">
        <f t="shared" si="27"/>
        <v>#VALUE!</v>
      </c>
      <c r="AK72" t="e">
        <f t="shared" si="28"/>
        <v>#VALUE!</v>
      </c>
      <c r="AM72" t="e">
        <f t="shared" si="29"/>
        <v>#VALUE!</v>
      </c>
      <c r="AN72" t="e">
        <f t="shared" si="47"/>
        <v>#VALUE!</v>
      </c>
    </row>
    <row r="73" spans="1:40" x14ac:dyDescent="0.2">
      <c r="A73" s="335">
        <v>120000</v>
      </c>
      <c r="B73" s="352">
        <f t="shared" si="17"/>
        <v>120</v>
      </c>
      <c r="C73" t="str">
        <f t="shared" si="30"/>
        <v>753982.236i</v>
      </c>
      <c r="D73" s="30" t="str">
        <f t="shared" si="31"/>
        <v>-568489212203.56</v>
      </c>
      <c r="E73" s="30" t="str">
        <f t="shared" si="32"/>
        <v>-428630767359118000i</v>
      </c>
      <c r="G73" s="30" t="e">
        <f t="shared" si="33"/>
        <v>#VALUE!</v>
      </c>
      <c r="I73" s="30" t="e">
        <f t="shared" si="34"/>
        <v>#REF!</v>
      </c>
      <c r="J73" t="e">
        <f t="shared" si="18"/>
        <v>#REF!</v>
      </c>
      <c r="L73" s="30" t="e">
        <f t="shared" si="35"/>
        <v>#VALUE!</v>
      </c>
      <c r="M73" t="e">
        <f t="shared" si="36"/>
        <v>#VALUE!</v>
      </c>
      <c r="N73" t="e">
        <f t="shared" si="51"/>
        <v>#REF!</v>
      </c>
      <c r="O73" s="299" t="e">
        <f t="shared" si="52"/>
        <v>#VALUE!</v>
      </c>
      <c r="P73" s="651">
        <v>2</v>
      </c>
      <c r="Q73" s="397" t="str">
        <f t="shared" si="37"/>
        <v>1+0.2638937826i</v>
      </c>
      <c r="R73" s="397" t="str">
        <f t="shared" si="38"/>
        <v>-0.0479466376367909i</v>
      </c>
      <c r="S73" s="397" t="str">
        <f t="shared" si="39"/>
        <v>-0.568261816518679</v>
      </c>
      <c r="T73" s="397" t="str">
        <f t="shared" si="53"/>
        <v>0.431738183481321+0.215947144963209i</v>
      </c>
      <c r="U73" s="652">
        <v>1</v>
      </c>
      <c r="V73">
        <f t="shared" si="40"/>
        <v>1</v>
      </c>
      <c r="W73">
        <f t="shared" si="23"/>
        <v>0</v>
      </c>
      <c r="X73">
        <f t="shared" si="41"/>
        <v>0</v>
      </c>
      <c r="Z73" t="str">
        <f t="shared" si="42"/>
        <v>2.09725415352119-0.43777055480966i</v>
      </c>
      <c r="AA73">
        <f t="shared" si="24"/>
        <v>6.6182385434260986</v>
      </c>
      <c r="AB73">
        <f t="shared" si="43"/>
        <v>-11.79034914070173</v>
      </c>
      <c r="AD73" s="30" t="str">
        <f t="shared" si="44"/>
        <v>15.07964472i</v>
      </c>
      <c r="AE73" s="30" t="str">
        <f t="shared" si="25"/>
        <v>1+15.07964472i</v>
      </c>
      <c r="AF73" s="30" t="e">
        <f t="shared" si="45"/>
        <v>#VALUE!</v>
      </c>
      <c r="AG73" t="e">
        <f t="shared" si="46"/>
        <v>#VALUE!</v>
      </c>
      <c r="AH73" t="str">
        <f t="shared" si="26"/>
        <v>1+15.07964472i</v>
      </c>
      <c r="AI73" s="299" t="e">
        <f t="shared" si="27"/>
        <v>#VALUE!</v>
      </c>
      <c r="AK73" t="e">
        <f t="shared" si="28"/>
        <v>#VALUE!</v>
      </c>
      <c r="AM73" t="e">
        <f t="shared" si="29"/>
        <v>#VALUE!</v>
      </c>
      <c r="AN73" t="e">
        <f t="shared" si="47"/>
        <v>#VALUE!</v>
      </c>
    </row>
    <row r="74" spans="1:40" x14ac:dyDescent="0.2">
      <c r="A74" s="335">
        <v>130000</v>
      </c>
      <c r="B74" s="352">
        <f t="shared" si="17"/>
        <v>130</v>
      </c>
      <c r="C74" t="str">
        <f t="shared" si="30"/>
        <v>816814.089i</v>
      </c>
      <c r="D74" s="30" t="str">
        <f t="shared" si="31"/>
        <v>-667185255988.9</v>
      </c>
      <c r="E74" s="30" t="str">
        <f t="shared" si="32"/>
        <v>-544966317064805000i</v>
      </c>
      <c r="G74" s="30" t="e">
        <f t="shared" si="33"/>
        <v>#VALUE!</v>
      </c>
      <c r="I74" s="30" t="e">
        <f t="shared" si="34"/>
        <v>#REF!</v>
      </c>
      <c r="J74" t="e">
        <f t="shared" si="18"/>
        <v>#REF!</v>
      </c>
      <c r="L74" s="30" t="e">
        <f t="shared" si="35"/>
        <v>#VALUE!</v>
      </c>
      <c r="M74" t="e">
        <f t="shared" si="36"/>
        <v>#VALUE!</v>
      </c>
      <c r="N74" t="e">
        <f t="shared" si="51"/>
        <v>#REF!</v>
      </c>
      <c r="O74" s="299" t="e">
        <f t="shared" si="52"/>
        <v>#VALUE!</v>
      </c>
      <c r="P74" s="651">
        <v>3</v>
      </c>
      <c r="Q74" s="397" t="str">
        <f t="shared" si="37"/>
        <v>1+0.28588493115i</v>
      </c>
      <c r="R74" s="397" t="str">
        <f t="shared" si="38"/>
        <v>-0.0609599322268691i</v>
      </c>
      <c r="S74" s="397" t="str">
        <f t="shared" si="39"/>
        <v>-0.666918381886505</v>
      </c>
      <c r="T74" s="397" t="str">
        <f t="shared" si="53"/>
        <v>0.333081618113495+0.224924998923131i</v>
      </c>
      <c r="U74" s="652">
        <v>1</v>
      </c>
      <c r="V74">
        <f t="shared" si="40"/>
        <v>1</v>
      </c>
      <c r="W74">
        <f t="shared" si="23"/>
        <v>0</v>
      </c>
      <c r="X74">
        <f t="shared" si="41"/>
        <v>0</v>
      </c>
      <c r="Z74" t="str">
        <f t="shared" si="42"/>
        <v>2.4600564712321-0.802936137717432i</v>
      </c>
      <c r="AA74">
        <f t="shared" si="24"/>
        <v>8.2585333921617039</v>
      </c>
      <c r="AB74">
        <f t="shared" si="43"/>
        <v>-18.076129196132914</v>
      </c>
      <c r="AD74" s="30" t="str">
        <f t="shared" si="44"/>
        <v>16.33628178i</v>
      </c>
      <c r="AE74" s="30" t="str">
        <f t="shared" si="25"/>
        <v>1+16.33628178i</v>
      </c>
      <c r="AF74" s="30" t="e">
        <f t="shared" si="45"/>
        <v>#VALUE!</v>
      </c>
      <c r="AG74" t="e">
        <f t="shared" si="46"/>
        <v>#VALUE!</v>
      </c>
      <c r="AH74" t="str">
        <f t="shared" si="26"/>
        <v>1+16.33628178i</v>
      </c>
      <c r="AI74" s="299" t="e">
        <f t="shared" si="27"/>
        <v>#VALUE!</v>
      </c>
      <c r="AK74" t="e">
        <f t="shared" si="28"/>
        <v>#VALUE!</v>
      </c>
      <c r="AM74" t="e">
        <f t="shared" si="29"/>
        <v>#VALUE!</v>
      </c>
      <c r="AN74" t="e">
        <f t="shared" si="47"/>
        <v>#VALUE!</v>
      </c>
    </row>
    <row r="75" spans="1:40" x14ac:dyDescent="0.2">
      <c r="A75" s="335">
        <v>150000</v>
      </c>
      <c r="B75" s="352">
        <f t="shared" si="17"/>
        <v>150</v>
      </c>
      <c r="C75" t="str">
        <f t="shared" si="30"/>
        <v>942477.795i</v>
      </c>
      <c r="D75" s="30" t="str">
        <f t="shared" si="31"/>
        <v>-888264394068.062</v>
      </c>
      <c r="E75" s="30" t="str">
        <f t="shared" si="32"/>
        <v>-837169467498278000i</v>
      </c>
      <c r="G75" s="30" t="e">
        <f t="shared" si="33"/>
        <v>#VALUE!</v>
      </c>
      <c r="I75" s="30" t="e">
        <f t="shared" si="34"/>
        <v>#REF!</v>
      </c>
      <c r="J75" t="e">
        <f t="shared" si="18"/>
        <v>#REF!</v>
      </c>
      <c r="L75" s="30" t="e">
        <f t="shared" si="35"/>
        <v>#VALUE!</v>
      </c>
      <c r="M75" t="e">
        <f t="shared" si="36"/>
        <v>#VALUE!</v>
      </c>
      <c r="N75" t="e">
        <f t="shared" si="51"/>
        <v>#REF!</v>
      </c>
      <c r="O75" s="299" t="e">
        <f t="shared" si="52"/>
        <v>#VALUE!</v>
      </c>
      <c r="P75" s="651">
        <v>4</v>
      </c>
      <c r="Q75" s="397" t="str">
        <f t="shared" si="37"/>
        <v>1+0.32986722825i</v>
      </c>
      <c r="R75" s="397" t="str">
        <f t="shared" si="38"/>
        <v>-0.0936457766343574i</v>
      </c>
      <c r="S75" s="397" t="str">
        <f t="shared" si="39"/>
        <v>-0.887909088310435</v>
      </c>
      <c r="T75" s="397" t="str">
        <f t="shared" si="53"/>
        <v>0.112090911689565+0.236221451615643i</v>
      </c>
      <c r="U75" s="652">
        <v>1</v>
      </c>
      <c r="V75">
        <f t="shared" si="40"/>
        <v>1</v>
      </c>
      <c r="W75">
        <f t="shared" si="23"/>
        <v>0</v>
      </c>
      <c r="X75">
        <f t="shared" si="41"/>
        <v>0</v>
      </c>
      <c r="Z75" t="str">
        <f t="shared" si="42"/>
        <v>2.77938675294686-2.91445167327342i</v>
      </c>
      <c r="AA75">
        <f t="shared" si="24"/>
        <v>12.100245900170394</v>
      </c>
      <c r="AB75">
        <f t="shared" si="43"/>
        <v>-46.358872275853109</v>
      </c>
      <c r="AD75" s="30" t="str">
        <f t="shared" si="44"/>
        <v>18.8495559i</v>
      </c>
      <c r="AE75" s="30" t="str">
        <f t="shared" si="25"/>
        <v>1+18.8495559i</v>
      </c>
      <c r="AF75" s="30" t="e">
        <f t="shared" si="45"/>
        <v>#VALUE!</v>
      </c>
      <c r="AG75" t="e">
        <f t="shared" si="46"/>
        <v>#VALUE!</v>
      </c>
      <c r="AH75" t="str">
        <f t="shared" si="26"/>
        <v>1+18.8495559i</v>
      </c>
      <c r="AI75" s="299" t="e">
        <f t="shared" si="27"/>
        <v>#VALUE!</v>
      </c>
      <c r="AK75" t="e">
        <f t="shared" si="28"/>
        <v>#VALUE!</v>
      </c>
      <c r="AM75" t="e">
        <f t="shared" si="29"/>
        <v>#VALUE!</v>
      </c>
      <c r="AN75" t="e">
        <f t="shared" si="47"/>
        <v>#VALUE!</v>
      </c>
    </row>
    <row r="76" spans="1:40" x14ac:dyDescent="0.2">
      <c r="A76" s="335">
        <v>160000</v>
      </c>
      <c r="B76" s="352">
        <f t="shared" si="17"/>
        <v>160</v>
      </c>
      <c r="C76" t="str">
        <f t="shared" si="30"/>
        <v>1005309.648i</v>
      </c>
      <c r="D76" s="30" t="str">
        <f t="shared" si="31"/>
        <v>-1010647488361.88</v>
      </c>
      <c r="E76" s="30" t="str">
        <f t="shared" si="32"/>
        <v>-1016013670777170000i</v>
      </c>
      <c r="G76" s="30" t="e">
        <f t="shared" si="33"/>
        <v>#VALUE!</v>
      </c>
      <c r="I76" s="30" t="e">
        <f t="shared" si="34"/>
        <v>#REF!</v>
      </c>
      <c r="J76" t="e">
        <f t="shared" si="18"/>
        <v>#REF!</v>
      </c>
      <c r="L76" s="30" t="e">
        <f t="shared" si="35"/>
        <v>#VALUE!</v>
      </c>
      <c r="M76" t="e">
        <f t="shared" si="36"/>
        <v>#VALUE!</v>
      </c>
      <c r="N76" t="e">
        <f t="shared" si="51"/>
        <v>#REF!</v>
      </c>
      <c r="O76" s="299" t="e">
        <f t="shared" si="52"/>
        <v>#VALUE!</v>
      </c>
      <c r="P76" s="651">
        <v>5</v>
      </c>
      <c r="Q76" s="397" t="str">
        <f t="shared" si="37"/>
        <v>1+0.3518583768i</v>
      </c>
      <c r="R76" s="397" t="str">
        <f t="shared" si="38"/>
        <v>-0.113651289213134i</v>
      </c>
      <c r="S76" s="397" t="str">
        <f t="shared" si="39"/>
        <v>-1.01024322936654</v>
      </c>
      <c r="T76" s="397" t="str">
        <f t="shared" si="53"/>
        <v>-0.01024322936654+0.238207087586866i</v>
      </c>
      <c r="U76" s="652">
        <v>1</v>
      </c>
      <c r="V76">
        <f t="shared" si="40"/>
        <v>1</v>
      </c>
      <c r="W76">
        <f t="shared" si="23"/>
        <v>0</v>
      </c>
      <c r="X76">
        <f t="shared" si="41"/>
        <v>0</v>
      </c>
      <c r="Z76" t="str">
        <f t="shared" si="42"/>
        <v>1.29419724044521-4.25368014631354i</v>
      </c>
      <c r="AA76">
        <f t="shared" si="24"/>
        <v>12.959790177872241</v>
      </c>
      <c r="AB76">
        <f t="shared" si="43"/>
        <v>-73.077431398381563</v>
      </c>
      <c r="AD76" s="30" t="str">
        <f t="shared" si="44"/>
        <v>20.10619296i</v>
      </c>
      <c r="AE76" s="30" t="str">
        <f t="shared" si="25"/>
        <v>1+20.10619296i</v>
      </c>
      <c r="AF76" s="30" t="e">
        <f t="shared" si="45"/>
        <v>#VALUE!</v>
      </c>
      <c r="AG76" t="e">
        <f t="shared" si="46"/>
        <v>#VALUE!</v>
      </c>
      <c r="AH76" t="str">
        <f t="shared" si="26"/>
        <v>1+20.10619296i</v>
      </c>
      <c r="AI76" s="299" t="e">
        <f t="shared" si="27"/>
        <v>#VALUE!</v>
      </c>
      <c r="AK76" t="e">
        <f t="shared" si="28"/>
        <v>#VALUE!</v>
      </c>
      <c r="AM76" t="e">
        <f t="shared" si="29"/>
        <v>#VALUE!</v>
      </c>
      <c r="AN76" t="e">
        <f t="shared" si="47"/>
        <v>#VALUE!</v>
      </c>
    </row>
    <row r="77" spans="1:40" x14ac:dyDescent="0.2">
      <c r="A77" s="335">
        <v>175000</v>
      </c>
      <c r="B77" s="352">
        <f t="shared" si="17"/>
        <v>175</v>
      </c>
      <c r="C77" t="str">
        <f t="shared" ref="C77:C97" si="54">COMPLEX(0,2*Pi*A77)</f>
        <v>1099557.4275i</v>
      </c>
      <c r="D77" s="30" t="str">
        <f t="shared" ref="D77:D97" si="55">COMPLEX(-POWER(2*Pi*A77,2),0)</f>
        <v>-1209026536370.42</v>
      </c>
      <c r="E77" s="30" t="str">
        <f t="shared" ref="E77:E97" si="56">COMPLEX(0,-POWER(2*Pi*A77,3))</f>
        <v>-1329394108110690000i</v>
      </c>
      <c r="G77" s="30" t="e">
        <f t="shared" si="33"/>
        <v>#VALUE!</v>
      </c>
      <c r="I77" s="30" t="e">
        <f t="shared" ref="I77:I97" si="57">IMPRODUCT((RdampSel*CdampSel+RdampSel*CinjSel),C77)</f>
        <v>#REF!</v>
      </c>
      <c r="J77" t="e">
        <f t="shared" si="18"/>
        <v>#REF!</v>
      </c>
      <c r="L77" s="30" t="e">
        <f t="shared" ref="L77:L97" si="58">IMPRODUCT(G77,L_infilterStd*RdampSel*CinjSel*CdampSel,E77)</f>
        <v>#VALUE!</v>
      </c>
      <c r="M77" t="e">
        <f t="shared" ref="M77:M97" si="59">IMPRODUCT(G77,L_infilterStd*CinjSel,D77)</f>
        <v>#VALUE!</v>
      </c>
      <c r="N77" t="e">
        <f t="shared" si="51"/>
        <v>#REF!</v>
      </c>
      <c r="O77" s="299" t="e">
        <f t="shared" si="52"/>
        <v>#VALUE!</v>
      </c>
      <c r="P77" s="651">
        <v>6</v>
      </c>
      <c r="Q77" s="397" t="str">
        <f t="shared" ref="Q77:Q97" si="60">IMSUM(IMPRODUCT(C77,RdampPssv*CdampPssv),1)</f>
        <v>1+0.384845099625i</v>
      </c>
      <c r="R77" s="397" t="str">
        <f t="shared" ref="R77:R97" si="61">IMPRODUCT(RdampPssv*CdampPssv*CfilterPssv*LinfilterPssv,E77)</f>
        <v>-0.148706024933262i</v>
      </c>
      <c r="S77" s="397" t="str">
        <f t="shared" ref="S77:S97" si="62">IMPRODUCT(D77,LinfilterPssv*(CfilterPssv+CdampPssv))</f>
        <v>-1.20854292575587</v>
      </c>
      <c r="T77" s="397" t="str">
        <f t="shared" si="53"/>
        <v>-0.20854292575587+0.236139074691738i</v>
      </c>
      <c r="U77" s="652">
        <v>1</v>
      </c>
      <c r="V77">
        <f t="shared" si="40"/>
        <v>1</v>
      </c>
      <c r="W77">
        <f t="shared" si="23"/>
        <v>0</v>
      </c>
      <c r="X77">
        <f t="shared" si="41"/>
        <v>0</v>
      </c>
      <c r="Z77" t="str">
        <f t="shared" ref="Z77:Z97" si="63">IMDIV(Q77,T77)</f>
        <v>-1.18552956082797-3.18780870043445i</v>
      </c>
      <c r="AA77">
        <f t="shared" si="24"/>
        <v>10.632434371784214</v>
      </c>
      <c r="AB77">
        <f t="shared" ref="AB77:AB97" si="64">IMARGUMENT(Z77)*180/Pi</f>
        <v>-110.39990747553254</v>
      </c>
      <c r="AD77" s="30" t="str">
        <f t="shared" ref="AD77:AD97" si="65">IMPRODUCT((RdampCom*CdampCom+RdampCom*CinjCom),C77)</f>
        <v>21.99114855i</v>
      </c>
      <c r="AE77" s="30" t="str">
        <f t="shared" si="25"/>
        <v>1+21.99114855i</v>
      </c>
      <c r="AF77" s="30" t="e">
        <f t="shared" ref="AF77:AF97" si="66">IMPRODUCT(G77,L_infilterStd*RdampSel*CinjSel*CdampSel,E77)</f>
        <v>#VALUE!</v>
      </c>
      <c r="AG77" t="e">
        <f t="shared" ref="AG77:AG97" si="67">IMPRODUCT(G77,LAEFCom*CinjCom,D77)</f>
        <v>#VALUE!</v>
      </c>
      <c r="AH77" t="str">
        <f t="shared" si="26"/>
        <v>1+21.99114855i</v>
      </c>
      <c r="AI77" s="299" t="e">
        <f t="shared" si="27"/>
        <v>#VALUE!</v>
      </c>
      <c r="AK77" t="e">
        <f t="shared" si="28"/>
        <v>#VALUE!</v>
      </c>
      <c r="AM77" t="e">
        <f t="shared" si="29"/>
        <v>#VALUE!</v>
      </c>
      <c r="AN77" t="e">
        <f t="shared" ref="AN77:AN97" si="68">IMARGUMENT(AK77)*180/Pi</f>
        <v>#VALUE!</v>
      </c>
    </row>
    <row r="78" spans="1:40" x14ac:dyDescent="0.2">
      <c r="A78" s="335">
        <v>190000</v>
      </c>
      <c r="B78" s="352">
        <f t="shared" si="17"/>
        <v>190</v>
      </c>
      <c r="C78" t="str">
        <f t="shared" si="54"/>
        <v>1193805.207i</v>
      </c>
      <c r="D78" s="30" t="str">
        <f t="shared" si="55"/>
        <v>-1425170872260.31</v>
      </c>
      <c r="E78" s="30" t="str">
        <f t="shared" si="56"/>
        <v>-1701376408169090000i</v>
      </c>
      <c r="G78" s="30" t="e">
        <f t="shared" si="33"/>
        <v>#VALUE!</v>
      </c>
      <c r="I78" s="30" t="e">
        <f t="shared" si="57"/>
        <v>#REF!</v>
      </c>
      <c r="J78" t="e">
        <f t="shared" si="18"/>
        <v>#REF!</v>
      </c>
      <c r="L78" s="30" t="e">
        <f t="shared" si="58"/>
        <v>#VALUE!</v>
      </c>
      <c r="M78" t="e">
        <f t="shared" si="59"/>
        <v>#VALUE!</v>
      </c>
      <c r="N78" t="e">
        <f t="shared" si="51"/>
        <v>#REF!</v>
      </c>
      <c r="O78" s="299" t="e">
        <f t="shared" si="52"/>
        <v>#VALUE!</v>
      </c>
      <c r="P78" s="651">
        <v>7</v>
      </c>
      <c r="Q78" s="397" t="str">
        <f t="shared" si="60"/>
        <v>1+0.41783182245i</v>
      </c>
      <c r="R78" s="397" t="str">
        <f t="shared" si="61"/>
        <v>-0.190315965017794i</v>
      </c>
      <c r="S78" s="397" t="str">
        <f t="shared" si="62"/>
        <v>-1.42460080391141</v>
      </c>
      <c r="T78" s="397" t="str">
        <f t="shared" si="53"/>
        <v>-0.42460080391141+0.227515857432206i</v>
      </c>
      <c r="U78" s="652">
        <v>1</v>
      </c>
      <c r="V78">
        <f t="shared" si="40"/>
        <v>1</v>
      </c>
      <c r="W78">
        <f t="shared" si="23"/>
        <v>0</v>
      </c>
      <c r="X78">
        <f t="shared" si="41"/>
        <v>0</v>
      </c>
      <c r="Z78" t="str">
        <f t="shared" si="63"/>
        <v>-1.42011816933091-1.74500664759685i</v>
      </c>
      <c r="AA78">
        <f t="shared" ref="AA78:AA97" si="69">20*LOG10(IMABS(Z78))</f>
        <v>7.0430359282769261</v>
      </c>
      <c r="AB78">
        <f t="shared" si="64"/>
        <v>-129.13932379003126</v>
      </c>
      <c r="AD78" s="30" t="str">
        <f t="shared" si="65"/>
        <v>23.87610414i</v>
      </c>
      <c r="AE78" s="30" t="str">
        <f t="shared" ref="AE78:AE97" si="70">IMSUM(1,AD78)</f>
        <v>1+23.87610414i</v>
      </c>
      <c r="AF78" s="30" t="e">
        <f t="shared" si="66"/>
        <v>#VALUE!</v>
      </c>
      <c r="AG78" t="e">
        <f t="shared" si="67"/>
        <v>#VALUE!</v>
      </c>
      <c r="AH78" t="str">
        <f t="shared" ref="AH78:AH97" si="71">AE78</f>
        <v>1+23.87610414i</v>
      </c>
      <c r="AI78" s="299" t="e">
        <f t="shared" ref="AI78:AI97" si="72">IMSUM(AF78:AH78)</f>
        <v>#VALUE!</v>
      </c>
      <c r="AK78" t="e">
        <f t="shared" ref="AK78:AK97" si="73">IMDIV(AE78,AI78)</f>
        <v>#VALUE!</v>
      </c>
      <c r="AM78" t="e">
        <f t="shared" ref="AM78:AM97" si="74">20*LOG10(IMABS(AK78))</f>
        <v>#VALUE!</v>
      </c>
      <c r="AN78" t="e">
        <f t="shared" si="68"/>
        <v>#VALUE!</v>
      </c>
    </row>
    <row r="79" spans="1:40" x14ac:dyDescent="0.2">
      <c r="A79" s="653">
        <v>200000</v>
      </c>
      <c r="B79" s="352">
        <f t="shared" si="17"/>
        <v>200</v>
      </c>
      <c r="C79" t="str">
        <f t="shared" si="54"/>
        <v>1256637.06i</v>
      </c>
      <c r="D79" s="30" t="str">
        <f t="shared" si="55"/>
        <v>-1579136700565.44</v>
      </c>
      <c r="E79" s="30" t="str">
        <f t="shared" si="56"/>
        <v>-1984401700736660000i</v>
      </c>
      <c r="G79" s="30" t="e">
        <f t="shared" si="33"/>
        <v>#VALUE!</v>
      </c>
      <c r="I79" s="30" t="e">
        <f t="shared" si="57"/>
        <v>#REF!</v>
      </c>
      <c r="J79" t="e">
        <f t="shared" si="18"/>
        <v>#REF!</v>
      </c>
      <c r="L79" s="30" t="e">
        <f t="shared" si="58"/>
        <v>#VALUE!</v>
      </c>
      <c r="M79" t="e">
        <f t="shared" si="59"/>
        <v>#VALUE!</v>
      </c>
      <c r="N79" t="e">
        <f t="shared" si="19"/>
        <v>#REF!</v>
      </c>
      <c r="O79" s="299" t="e">
        <f t="shared" si="20"/>
        <v>#VALUE!</v>
      </c>
      <c r="P79" s="651">
        <v>0</v>
      </c>
      <c r="Q79" s="397" t="str">
        <f t="shared" si="60"/>
        <v>1+0.439822971i</v>
      </c>
      <c r="R79" s="397" t="str">
        <f t="shared" si="61"/>
        <v>-0.221975174244403i</v>
      </c>
      <c r="S79" s="397" t="str">
        <f t="shared" si="62"/>
        <v>-1.57850504588521</v>
      </c>
      <c r="T79" s="397" t="str">
        <f t="shared" si="21"/>
        <v>-0.57850504588521+0.217847796755597i</v>
      </c>
      <c r="U79" s="652">
        <v>1</v>
      </c>
      <c r="V79">
        <f t="shared" si="40"/>
        <v>1</v>
      </c>
      <c r="W79">
        <f t="shared" si="23"/>
        <v>0</v>
      </c>
      <c r="X79">
        <f t="shared" si="41"/>
        <v>0</v>
      </c>
      <c r="Z79" t="str">
        <f t="shared" si="63"/>
        <v>-1.26317208366406-1.23594812428182i</v>
      </c>
      <c r="AA79">
        <f t="shared" si="69"/>
        <v>4.9459582998103908</v>
      </c>
      <c r="AB79">
        <f t="shared" si="64"/>
        <v>-135.6241223057485</v>
      </c>
      <c r="AD79" s="30" t="str">
        <f t="shared" si="65"/>
        <v>25.1327412i</v>
      </c>
      <c r="AE79" s="30" t="str">
        <f t="shared" si="70"/>
        <v>1+25.1327412i</v>
      </c>
      <c r="AF79" s="30" t="e">
        <f t="shared" si="66"/>
        <v>#VALUE!</v>
      </c>
      <c r="AG79" t="e">
        <f t="shared" si="67"/>
        <v>#VALUE!</v>
      </c>
      <c r="AH79" t="str">
        <f t="shared" si="71"/>
        <v>1+25.1327412i</v>
      </c>
      <c r="AI79" s="299" t="e">
        <f t="shared" si="72"/>
        <v>#VALUE!</v>
      </c>
      <c r="AK79" t="e">
        <f t="shared" si="73"/>
        <v>#VALUE!</v>
      </c>
      <c r="AM79" t="e">
        <f t="shared" si="74"/>
        <v>#VALUE!</v>
      </c>
      <c r="AN79" t="e">
        <f t="shared" si="68"/>
        <v>#VALUE!</v>
      </c>
    </row>
    <row r="80" spans="1:40" x14ac:dyDescent="0.2">
      <c r="A80" s="335">
        <v>300000</v>
      </c>
      <c r="B80" s="352">
        <f t="shared" si="17"/>
        <v>300</v>
      </c>
      <c r="C80" t="str">
        <f t="shared" si="54"/>
        <v>1884955.59i</v>
      </c>
      <c r="D80" s="30" t="str">
        <f t="shared" si="55"/>
        <v>-3553057576272.25</v>
      </c>
      <c r="E80" s="30" t="str">
        <f t="shared" si="56"/>
        <v>-6697355739986230000i</v>
      </c>
      <c r="G80" s="30" t="e">
        <f t="shared" si="33"/>
        <v>#VALUE!</v>
      </c>
      <c r="I80" s="30" t="e">
        <f t="shared" si="57"/>
        <v>#REF!</v>
      </c>
      <c r="J80" t="e">
        <f t="shared" si="18"/>
        <v>#REF!</v>
      </c>
      <c r="L80" s="30" t="e">
        <f t="shared" si="58"/>
        <v>#VALUE!</v>
      </c>
      <c r="M80" t="e">
        <f t="shared" si="59"/>
        <v>#VALUE!</v>
      </c>
      <c r="N80" t="e">
        <f t="shared" si="19"/>
        <v>#REF!</v>
      </c>
      <c r="O80" s="299" t="e">
        <f t="shared" si="20"/>
        <v>#VALUE!</v>
      </c>
      <c r="P80" s="651">
        <v>0</v>
      </c>
      <c r="Q80" s="397" t="str">
        <f t="shared" si="60"/>
        <v>1+0.6597344565i</v>
      </c>
      <c r="R80" s="397" t="str">
        <f t="shared" si="61"/>
        <v>-0.74916621307486i</v>
      </c>
      <c r="S80" s="397" t="str">
        <f t="shared" si="62"/>
        <v>-3.55163635324174</v>
      </c>
      <c r="T80" s="397" t="str">
        <f t="shared" si="21"/>
        <v>-2.55163635324174-0.08943175657486i</v>
      </c>
      <c r="U80" s="652">
        <v>1</v>
      </c>
      <c r="V80">
        <f t="shared" si="40"/>
        <v>1</v>
      </c>
      <c r="W80">
        <f t="shared" si="23"/>
        <v>0</v>
      </c>
      <c r="X80">
        <f t="shared" si="41"/>
        <v>0</v>
      </c>
      <c r="Z80" t="str">
        <f t="shared" si="63"/>
        <v>-0.400475408867723-0.244517302172491i</v>
      </c>
      <c r="AA80">
        <f t="shared" si="69"/>
        <v>-6.5724330903943216</v>
      </c>
      <c r="AB80">
        <f t="shared" si="64"/>
        <v>-148.59311414511541</v>
      </c>
      <c r="AD80" s="30" t="str">
        <f t="shared" si="65"/>
        <v>37.6991118i</v>
      </c>
      <c r="AE80" s="30" t="str">
        <f t="shared" si="70"/>
        <v>1+37.6991118i</v>
      </c>
      <c r="AF80" s="30" t="e">
        <f t="shared" si="66"/>
        <v>#VALUE!</v>
      </c>
      <c r="AG80" t="e">
        <f t="shared" si="67"/>
        <v>#VALUE!</v>
      </c>
      <c r="AH80" t="str">
        <f t="shared" si="71"/>
        <v>1+37.6991118i</v>
      </c>
      <c r="AI80" s="299" t="e">
        <f t="shared" si="72"/>
        <v>#VALUE!</v>
      </c>
      <c r="AK80" t="e">
        <f t="shared" si="73"/>
        <v>#VALUE!</v>
      </c>
      <c r="AM80" t="e">
        <f t="shared" si="74"/>
        <v>#VALUE!</v>
      </c>
      <c r="AN80" t="e">
        <f t="shared" si="68"/>
        <v>#VALUE!</v>
      </c>
    </row>
    <row r="81" spans="1:40" x14ac:dyDescent="0.2">
      <c r="A81" s="653">
        <v>400000</v>
      </c>
      <c r="B81" s="352">
        <f t="shared" si="17"/>
        <v>400</v>
      </c>
      <c r="C81" t="str">
        <f t="shared" si="54"/>
        <v>2513274.12i</v>
      </c>
      <c r="D81" s="30" t="str">
        <f t="shared" si="55"/>
        <v>-6316546802261.78</v>
      </c>
      <c r="E81" s="30" t="str">
        <f t="shared" si="56"/>
        <v>-15875213605893300000i</v>
      </c>
      <c r="G81" s="30" t="e">
        <f t="shared" si="33"/>
        <v>#VALUE!</v>
      </c>
      <c r="I81" s="30" t="e">
        <f t="shared" si="57"/>
        <v>#REF!</v>
      </c>
      <c r="J81" t="e">
        <f t="shared" si="18"/>
        <v>#REF!</v>
      </c>
      <c r="L81" s="30" t="e">
        <f t="shared" si="58"/>
        <v>#VALUE!</v>
      </c>
      <c r="M81" t="e">
        <f t="shared" si="59"/>
        <v>#VALUE!</v>
      </c>
      <c r="N81" t="e">
        <f t="shared" si="19"/>
        <v>#REF!</v>
      </c>
      <c r="O81" s="299" t="e">
        <f t="shared" si="20"/>
        <v>#VALUE!</v>
      </c>
      <c r="P81" s="651">
        <v>0</v>
      </c>
      <c r="Q81" s="397" t="str">
        <f t="shared" si="60"/>
        <v>1+0.879645942i</v>
      </c>
      <c r="R81" s="397" t="str">
        <f t="shared" si="61"/>
        <v>-1.77580139395522i</v>
      </c>
      <c r="S81" s="397" t="str">
        <f t="shared" si="62"/>
        <v>-6.31402018354088</v>
      </c>
      <c r="T81" s="397" t="str">
        <f t="shared" si="21"/>
        <v>-5.31402018354088-0.89615545195522i</v>
      </c>
      <c r="U81" s="652">
        <v>1</v>
      </c>
      <c r="V81">
        <f t="shared" si="40"/>
        <v>1</v>
      </c>
      <c r="W81">
        <f t="shared" si="23"/>
        <v>0</v>
      </c>
      <c r="X81">
        <f t="shared" si="41"/>
        <v>0</v>
      </c>
      <c r="Z81" t="str">
        <f t="shared" si="63"/>
        <v>-0.210121191022436-0.130098243366712i</v>
      </c>
      <c r="AA81">
        <f t="shared" si="69"/>
        <v>-12.141260868793136</v>
      </c>
      <c r="AB81">
        <f t="shared" si="64"/>
        <v>-148.23594278994108</v>
      </c>
      <c r="AD81" s="30" t="str">
        <f t="shared" si="65"/>
        <v>50.2654824i</v>
      </c>
      <c r="AE81" s="30" t="str">
        <f t="shared" si="70"/>
        <v>1+50.2654824i</v>
      </c>
      <c r="AF81" s="30" t="e">
        <f t="shared" si="66"/>
        <v>#VALUE!</v>
      </c>
      <c r="AG81" t="e">
        <f t="shared" si="67"/>
        <v>#VALUE!</v>
      </c>
      <c r="AH81" t="str">
        <f t="shared" si="71"/>
        <v>1+50.2654824i</v>
      </c>
      <c r="AI81" s="299" t="e">
        <f t="shared" si="72"/>
        <v>#VALUE!</v>
      </c>
      <c r="AK81" t="e">
        <f t="shared" si="73"/>
        <v>#VALUE!</v>
      </c>
      <c r="AM81" t="e">
        <f t="shared" si="74"/>
        <v>#VALUE!</v>
      </c>
      <c r="AN81" t="e">
        <f t="shared" si="68"/>
        <v>#VALUE!</v>
      </c>
    </row>
    <row r="82" spans="1:40" x14ac:dyDescent="0.2">
      <c r="A82" s="335">
        <v>500000</v>
      </c>
      <c r="B82" s="352">
        <f t="shared" si="17"/>
        <v>500</v>
      </c>
      <c r="C82" t="str">
        <f t="shared" si="54"/>
        <v>3141592.65i</v>
      </c>
      <c r="D82" s="30" t="str">
        <f t="shared" si="55"/>
        <v>-9869604378534.03</v>
      </c>
      <c r="E82" s="30" t="str">
        <f t="shared" si="56"/>
        <v>-31006276574010300000i</v>
      </c>
      <c r="G82" s="30" t="e">
        <f t="shared" si="33"/>
        <v>#VALUE!</v>
      </c>
      <c r="I82" s="30" t="e">
        <f t="shared" si="57"/>
        <v>#REF!</v>
      </c>
      <c r="J82" t="e">
        <f t="shared" si="18"/>
        <v>#REF!</v>
      </c>
      <c r="L82" s="30" t="e">
        <f t="shared" si="58"/>
        <v>#VALUE!</v>
      </c>
      <c r="M82" t="e">
        <f t="shared" si="59"/>
        <v>#VALUE!</v>
      </c>
      <c r="N82" t="e">
        <f t="shared" si="19"/>
        <v>#REF!</v>
      </c>
      <c r="O82" s="299" t="e">
        <f t="shared" si="20"/>
        <v>#VALUE!</v>
      </c>
      <c r="P82" s="651">
        <v>0</v>
      </c>
      <c r="Q82" s="397" t="str">
        <f t="shared" si="60"/>
        <v>1+1.0995574275i</v>
      </c>
      <c r="R82" s="397" t="str">
        <f t="shared" si="61"/>
        <v>-3.46836209756879i</v>
      </c>
      <c r="S82" s="397" t="str">
        <f t="shared" si="62"/>
        <v>-9.86565653678262</v>
      </c>
      <c r="T82" s="397" t="str">
        <f t="shared" si="21"/>
        <v>-8.86565653678262-2.36880467006879i</v>
      </c>
      <c r="U82" s="652">
        <v>1</v>
      </c>
      <c r="V82">
        <f t="shared" si="40"/>
        <v>1</v>
      </c>
      <c r="W82">
        <f t="shared" si="23"/>
        <v>0</v>
      </c>
      <c r="X82">
        <f t="shared" si="41"/>
        <v>0</v>
      </c>
      <c r="Z82" t="str">
        <f t="shared" si="63"/>
        <v>-0.136208802833546-0.0876308907321328i</v>
      </c>
      <c r="AA82">
        <f t="shared" si="69"/>
        <v>-15.811684145573038</v>
      </c>
      <c r="AB82">
        <f t="shared" si="64"/>
        <v>-147.2445124058745</v>
      </c>
      <c r="AD82" s="30" t="str">
        <f t="shared" si="65"/>
        <v>62.831853i</v>
      </c>
      <c r="AE82" s="30" t="str">
        <f t="shared" si="70"/>
        <v>1+62.831853i</v>
      </c>
      <c r="AF82" s="30" t="e">
        <f t="shared" si="66"/>
        <v>#VALUE!</v>
      </c>
      <c r="AG82" t="e">
        <f t="shared" si="67"/>
        <v>#VALUE!</v>
      </c>
      <c r="AH82" t="str">
        <f t="shared" si="71"/>
        <v>1+62.831853i</v>
      </c>
      <c r="AI82" s="299" t="e">
        <f t="shared" si="72"/>
        <v>#VALUE!</v>
      </c>
      <c r="AK82" t="e">
        <f t="shared" si="73"/>
        <v>#VALUE!</v>
      </c>
      <c r="AM82" t="e">
        <f t="shared" si="74"/>
        <v>#VALUE!</v>
      </c>
      <c r="AN82" t="e">
        <f t="shared" si="68"/>
        <v>#VALUE!</v>
      </c>
    </row>
    <row r="83" spans="1:40" x14ac:dyDescent="0.2">
      <c r="A83" s="653">
        <v>600000</v>
      </c>
      <c r="B83" s="352">
        <f t="shared" si="17"/>
        <v>600</v>
      </c>
      <c r="C83" t="str">
        <f t="shared" si="54"/>
        <v>3769911.18i</v>
      </c>
      <c r="D83" s="30" t="str">
        <f t="shared" si="55"/>
        <v>-14212230305089</v>
      </c>
      <c r="E83" s="30" t="str">
        <f t="shared" si="56"/>
        <v>-53578845919889800000i</v>
      </c>
      <c r="G83" s="30" t="e">
        <f t="shared" ref="G83:G97" si="75">IMSUM(IMPRODUCT(C83,Rcomp_AEF*Csen_AEF),Csen_AEF/Ccomp_AEF)</f>
        <v>#VALUE!</v>
      </c>
      <c r="I83" s="30" t="e">
        <f t="shared" si="57"/>
        <v>#REF!</v>
      </c>
      <c r="J83" t="e">
        <f t="shared" si="18"/>
        <v>#REF!</v>
      </c>
      <c r="L83" s="30" t="e">
        <f t="shared" si="58"/>
        <v>#VALUE!</v>
      </c>
      <c r="M83" t="e">
        <f t="shared" si="59"/>
        <v>#VALUE!</v>
      </c>
      <c r="N83" t="e">
        <f t="shared" si="19"/>
        <v>#REF!</v>
      </c>
      <c r="O83" s="299" t="e">
        <f t="shared" si="20"/>
        <v>#VALUE!</v>
      </c>
      <c r="P83" s="651">
        <v>0</v>
      </c>
      <c r="Q83" s="397" t="str">
        <f t="shared" si="60"/>
        <v>1+1.319468913i</v>
      </c>
      <c r="R83" s="397" t="str">
        <f t="shared" si="61"/>
        <v>-5.99332970459887i</v>
      </c>
      <c r="S83" s="397" t="str">
        <f t="shared" si="62"/>
        <v>-14.206545412967</v>
      </c>
      <c r="T83" s="397" t="str">
        <f t="shared" si="21"/>
        <v>-13.206545412967-4.67386079159887i</v>
      </c>
      <c r="U83" s="652">
        <v>1</v>
      </c>
      <c r="V83">
        <f t="shared" ref="V83:V97" si="76">CHOOSE(INFILTER_TYPE,U83,IMDIV(J83,O83),IMDIV(Q83,T83))</f>
        <v>1</v>
      </c>
      <c r="W83">
        <f t="shared" si="23"/>
        <v>0</v>
      </c>
      <c r="X83">
        <f t="shared" ref="X83:X97" si="77">IMARGUMENT(V83)*180/Pi</f>
        <v>0</v>
      </c>
      <c r="Z83" t="str">
        <f t="shared" si="63"/>
        <v>-0.0987148424567274-0.0649745603002369i</v>
      </c>
      <c r="AA83">
        <f t="shared" si="69"/>
        <v>-18.549182102928064</v>
      </c>
      <c r="AB83">
        <f t="shared" si="64"/>
        <v>-146.64690503853296</v>
      </c>
      <c r="AD83" s="30" t="str">
        <f t="shared" si="65"/>
        <v>75.3982236i</v>
      </c>
      <c r="AE83" s="30" t="str">
        <f t="shared" si="70"/>
        <v>1+75.3982236i</v>
      </c>
      <c r="AF83" s="30" t="e">
        <f t="shared" si="66"/>
        <v>#VALUE!</v>
      </c>
      <c r="AG83" t="e">
        <f t="shared" si="67"/>
        <v>#VALUE!</v>
      </c>
      <c r="AH83" t="str">
        <f t="shared" si="71"/>
        <v>1+75.3982236i</v>
      </c>
      <c r="AI83" s="299" t="e">
        <f t="shared" si="72"/>
        <v>#VALUE!</v>
      </c>
      <c r="AK83" t="e">
        <f t="shared" si="73"/>
        <v>#VALUE!</v>
      </c>
      <c r="AM83" t="e">
        <f t="shared" si="74"/>
        <v>#VALUE!</v>
      </c>
      <c r="AN83" t="e">
        <f t="shared" si="68"/>
        <v>#VALUE!</v>
      </c>
    </row>
    <row r="84" spans="1:40" x14ac:dyDescent="0.2">
      <c r="A84" s="335">
        <v>700000</v>
      </c>
      <c r="B84" s="352">
        <f t="shared" si="17"/>
        <v>700</v>
      </c>
      <c r="C84" t="str">
        <f t="shared" si="54"/>
        <v>4398229.71i</v>
      </c>
      <c r="D84" s="30" t="str">
        <f t="shared" si="55"/>
        <v>-19344424581926.7</v>
      </c>
      <c r="E84" s="30" t="str">
        <f t="shared" si="56"/>
        <v>-85081222919084300000i</v>
      </c>
      <c r="G84" s="30" t="e">
        <f t="shared" si="75"/>
        <v>#VALUE!</v>
      </c>
      <c r="I84" s="30" t="e">
        <f t="shared" si="57"/>
        <v>#REF!</v>
      </c>
      <c r="J84" t="e">
        <f t="shared" si="18"/>
        <v>#REF!</v>
      </c>
      <c r="L84" s="30" t="e">
        <f t="shared" si="58"/>
        <v>#VALUE!</v>
      </c>
      <c r="M84" t="e">
        <f t="shared" si="59"/>
        <v>#VALUE!</v>
      </c>
      <c r="N84" t="e">
        <f t="shared" si="19"/>
        <v>#REF!</v>
      </c>
      <c r="O84" s="299" t="e">
        <f t="shared" si="20"/>
        <v>#VALUE!</v>
      </c>
      <c r="P84" s="651">
        <v>0</v>
      </c>
      <c r="Q84" s="397" t="str">
        <f t="shared" si="60"/>
        <v>1+1.5393803985i</v>
      </c>
      <c r="R84" s="397" t="str">
        <f t="shared" si="61"/>
        <v>-9.51718559572877i</v>
      </c>
      <c r="S84" s="397" t="str">
        <f t="shared" si="62"/>
        <v>-19.3366868120939</v>
      </c>
      <c r="T84" s="397" t="str">
        <f t="shared" si="21"/>
        <v>-18.3366868120939-7.97780519722877i</v>
      </c>
      <c r="U84" s="652">
        <v>1</v>
      </c>
      <c r="V84">
        <f t="shared" si="76"/>
        <v>1</v>
      </c>
      <c r="W84">
        <f t="shared" si="23"/>
        <v>0</v>
      </c>
      <c r="X84">
        <f t="shared" si="77"/>
        <v>0</v>
      </c>
      <c r="Z84" t="str">
        <f t="shared" si="63"/>
        <v>-0.0765669830392885-0.050638587700621i</v>
      </c>
      <c r="AA84">
        <f t="shared" si="69"/>
        <v>-20.743388875708668</v>
      </c>
      <c r="AB84">
        <f t="shared" si="64"/>
        <v>-146.52081538204177</v>
      </c>
      <c r="AD84" s="30" t="str">
        <f t="shared" si="65"/>
        <v>87.9645942i</v>
      </c>
      <c r="AE84" s="30" t="str">
        <f t="shared" si="70"/>
        <v>1+87.9645942i</v>
      </c>
      <c r="AF84" s="30" t="e">
        <f t="shared" si="66"/>
        <v>#VALUE!</v>
      </c>
      <c r="AG84" t="e">
        <f t="shared" si="67"/>
        <v>#VALUE!</v>
      </c>
      <c r="AH84" t="str">
        <f t="shared" si="71"/>
        <v>1+87.9645942i</v>
      </c>
      <c r="AI84" s="299" t="e">
        <f t="shared" si="72"/>
        <v>#VALUE!</v>
      </c>
      <c r="AK84" t="e">
        <f t="shared" si="73"/>
        <v>#VALUE!</v>
      </c>
      <c r="AM84" t="e">
        <f t="shared" si="74"/>
        <v>#VALUE!</v>
      </c>
      <c r="AN84" t="e">
        <f t="shared" si="68"/>
        <v>#VALUE!</v>
      </c>
    </row>
    <row r="85" spans="1:40" x14ac:dyDescent="0.2">
      <c r="A85" s="653">
        <v>800000</v>
      </c>
      <c r="B85" s="352">
        <f t="shared" si="17"/>
        <v>800</v>
      </c>
      <c r="C85" t="str">
        <f t="shared" si="54"/>
        <v>5026548.24i</v>
      </c>
      <c r="D85" s="30" t="str">
        <f t="shared" si="55"/>
        <v>-25266187209047.1</v>
      </c>
      <c r="E85" s="30" t="str">
        <f t="shared" si="56"/>
        <v>-127001708847146000000i</v>
      </c>
      <c r="G85" s="30" t="e">
        <f t="shared" si="75"/>
        <v>#VALUE!</v>
      </c>
      <c r="I85" s="30" t="e">
        <f t="shared" si="57"/>
        <v>#REF!</v>
      </c>
      <c r="J85" t="e">
        <f t="shared" si="18"/>
        <v>#REF!</v>
      </c>
      <c r="L85" s="30" t="e">
        <f t="shared" si="58"/>
        <v>#VALUE!</v>
      </c>
      <c r="M85" t="e">
        <f t="shared" si="59"/>
        <v>#VALUE!</v>
      </c>
      <c r="N85" t="e">
        <f t="shared" si="19"/>
        <v>#REF!</v>
      </c>
      <c r="O85" s="299" t="e">
        <f t="shared" si="20"/>
        <v>#VALUE!</v>
      </c>
      <c r="P85" s="651">
        <v>0</v>
      </c>
      <c r="Q85" s="397" t="str">
        <f t="shared" si="60"/>
        <v>1+1.759291884i</v>
      </c>
      <c r="R85" s="397" t="str">
        <f t="shared" si="61"/>
        <v>-14.2064111516417i</v>
      </c>
      <c r="S85" s="397" t="str">
        <f t="shared" si="62"/>
        <v>-25.2560807341635</v>
      </c>
      <c r="T85" s="397" t="str">
        <f t="shared" si="21"/>
        <v>-24.2560807341635-12.4471192676417i</v>
      </c>
      <c r="U85" s="652">
        <v>1</v>
      </c>
      <c r="V85">
        <f t="shared" si="76"/>
        <v>1</v>
      </c>
      <c r="W85">
        <f t="shared" si="23"/>
        <v>0</v>
      </c>
      <c r="X85">
        <f t="shared" si="77"/>
        <v>0</v>
      </c>
      <c r="Z85" t="str">
        <f t="shared" si="63"/>
        <v>-0.0620946151681225-0.040665794855093i</v>
      </c>
      <c r="AA85">
        <f t="shared" si="69"/>
        <v>-22.588919033913939</v>
      </c>
      <c r="AB85">
        <f t="shared" si="64"/>
        <v>-146.77919071706401</v>
      </c>
      <c r="AD85" s="30" t="str">
        <f t="shared" si="65"/>
        <v>100.5309648i</v>
      </c>
      <c r="AE85" s="30" t="str">
        <f t="shared" si="70"/>
        <v>1+100.5309648i</v>
      </c>
      <c r="AF85" s="30" t="e">
        <f t="shared" si="66"/>
        <v>#VALUE!</v>
      </c>
      <c r="AG85" t="e">
        <f t="shared" si="67"/>
        <v>#VALUE!</v>
      </c>
      <c r="AH85" t="str">
        <f t="shared" si="71"/>
        <v>1+100.5309648i</v>
      </c>
      <c r="AI85" s="299" t="e">
        <f t="shared" si="72"/>
        <v>#VALUE!</v>
      </c>
      <c r="AK85" t="e">
        <f t="shared" si="73"/>
        <v>#VALUE!</v>
      </c>
      <c r="AM85" t="e">
        <f t="shared" si="74"/>
        <v>#VALUE!</v>
      </c>
      <c r="AN85" t="e">
        <f t="shared" si="68"/>
        <v>#VALUE!</v>
      </c>
    </row>
    <row r="86" spans="1:40" x14ac:dyDescent="0.2">
      <c r="A86" s="335">
        <v>900000</v>
      </c>
      <c r="B86" s="352">
        <f t="shared" si="17"/>
        <v>900</v>
      </c>
      <c r="C86" t="str">
        <f t="shared" si="54"/>
        <v>5654866.77i</v>
      </c>
      <c r="D86" s="30" t="str">
        <f t="shared" si="55"/>
        <v>-31977518186450.2</v>
      </c>
      <c r="E86" s="30" t="str">
        <f t="shared" si="56"/>
        <v>-180828604979628000000i</v>
      </c>
      <c r="G86" s="30" t="e">
        <f t="shared" si="75"/>
        <v>#VALUE!</v>
      </c>
      <c r="I86" s="30" t="e">
        <f t="shared" si="57"/>
        <v>#REF!</v>
      </c>
      <c r="J86" t="e">
        <f t="shared" si="18"/>
        <v>#REF!</v>
      </c>
      <c r="L86" s="30" t="e">
        <f t="shared" si="58"/>
        <v>#VALUE!</v>
      </c>
      <c r="M86" t="e">
        <f t="shared" si="59"/>
        <v>#VALUE!</v>
      </c>
      <c r="N86" t="e">
        <f t="shared" si="19"/>
        <v>#REF!</v>
      </c>
      <c r="O86" s="299" t="e">
        <f t="shared" si="20"/>
        <v>#VALUE!</v>
      </c>
      <c r="P86" s="651">
        <v>0</v>
      </c>
      <c r="Q86" s="397" t="str">
        <f t="shared" si="60"/>
        <v>1+1.9792033695i</v>
      </c>
      <c r="R86" s="397" t="str">
        <f t="shared" si="61"/>
        <v>-20.2274877530212i</v>
      </c>
      <c r="S86" s="397" t="str">
        <f t="shared" si="62"/>
        <v>-31.9647271791756</v>
      </c>
      <c r="T86" s="397" t="str">
        <f t="shared" si="21"/>
        <v>-30.9647271791756-18.2482843835212i</v>
      </c>
      <c r="U86" s="652">
        <v>1</v>
      </c>
      <c r="V86">
        <f t="shared" si="76"/>
        <v>1</v>
      </c>
      <c r="W86">
        <f t="shared" si="23"/>
        <v>0</v>
      </c>
      <c r="X86">
        <f t="shared" si="77"/>
        <v>0</v>
      </c>
      <c r="Z86" t="str">
        <f t="shared" si="63"/>
        <v>-0.0519283597315569-0.033315323192724i</v>
      </c>
      <c r="AA86">
        <f t="shared" si="69"/>
        <v>-24.194781244722876</v>
      </c>
      <c r="AB86">
        <f t="shared" si="64"/>
        <v>-147.31726418522518</v>
      </c>
      <c r="AD86" s="30" t="str">
        <f t="shared" si="65"/>
        <v>113.0973354i</v>
      </c>
      <c r="AE86" s="30" t="str">
        <f t="shared" si="70"/>
        <v>1+113.0973354i</v>
      </c>
      <c r="AF86" s="30" t="e">
        <f t="shared" si="66"/>
        <v>#VALUE!</v>
      </c>
      <c r="AG86" t="e">
        <f t="shared" si="67"/>
        <v>#VALUE!</v>
      </c>
      <c r="AH86" t="str">
        <f t="shared" si="71"/>
        <v>1+113.0973354i</v>
      </c>
      <c r="AI86" s="299" t="e">
        <f t="shared" si="72"/>
        <v>#VALUE!</v>
      </c>
      <c r="AK86" t="e">
        <f t="shared" si="73"/>
        <v>#VALUE!</v>
      </c>
      <c r="AM86" t="e">
        <f t="shared" si="74"/>
        <v>#VALUE!</v>
      </c>
      <c r="AN86" t="e">
        <f t="shared" si="68"/>
        <v>#VALUE!</v>
      </c>
    </row>
    <row r="87" spans="1:40" x14ac:dyDescent="0.2">
      <c r="A87" s="653">
        <v>1000000</v>
      </c>
      <c r="B87" s="352">
        <f t="shared" si="17"/>
        <v>1000</v>
      </c>
      <c r="C87" t="str">
        <f t="shared" si="54"/>
        <v>6283185.3i</v>
      </c>
      <c r="D87" s="30" t="str">
        <f t="shared" si="55"/>
        <v>-39478417514136.1</v>
      </c>
      <c r="E87" s="30" t="str">
        <f t="shared" si="56"/>
        <v>-248050212592083000000i</v>
      </c>
      <c r="G87" s="30" t="e">
        <f t="shared" si="75"/>
        <v>#VALUE!</v>
      </c>
      <c r="I87" s="30" t="e">
        <f t="shared" si="57"/>
        <v>#REF!</v>
      </c>
      <c r="J87" t="e">
        <f t="shared" si="18"/>
        <v>#REF!</v>
      </c>
      <c r="L87" s="30" t="e">
        <f t="shared" si="58"/>
        <v>#VALUE!</v>
      </c>
      <c r="M87" t="e">
        <f t="shared" si="59"/>
        <v>#VALUE!</v>
      </c>
      <c r="N87" t="e">
        <f t="shared" si="19"/>
        <v>#REF!</v>
      </c>
      <c r="O87" s="299" t="e">
        <f t="shared" si="20"/>
        <v>#VALUE!</v>
      </c>
      <c r="P87" s="651">
        <v>0</v>
      </c>
      <c r="Q87" s="397" t="str">
        <f t="shared" si="60"/>
        <v>1+2.199114855i</v>
      </c>
      <c r="R87" s="397" t="str">
        <f t="shared" si="61"/>
        <v>-27.7468967805504i</v>
      </c>
      <c r="S87" s="397" t="str">
        <f t="shared" si="62"/>
        <v>-39.4626261471305</v>
      </c>
      <c r="T87" s="397" t="str">
        <f t="shared" si="21"/>
        <v>-38.4626261471305-25.5477819255504i</v>
      </c>
      <c r="U87" s="652">
        <v>1</v>
      </c>
      <c r="V87">
        <f t="shared" si="76"/>
        <v>1</v>
      </c>
      <c r="W87">
        <f t="shared" si="23"/>
        <v>0</v>
      </c>
      <c r="X87">
        <f t="shared" si="77"/>
        <v>0</v>
      </c>
      <c r="Z87" t="str">
        <f t="shared" si="63"/>
        <v>-0.044391344457259-0.0276895930961649i</v>
      </c>
      <c r="AA87">
        <f t="shared" si="69"/>
        <v>-25.626768047686518</v>
      </c>
      <c r="AB87">
        <f t="shared" si="64"/>
        <v>-148.04569057314714</v>
      </c>
      <c r="AD87" s="30" t="str">
        <f t="shared" si="65"/>
        <v>125.663706i</v>
      </c>
      <c r="AE87" s="30" t="str">
        <f t="shared" si="70"/>
        <v>1+125.663706i</v>
      </c>
      <c r="AF87" s="30" t="e">
        <f t="shared" si="66"/>
        <v>#VALUE!</v>
      </c>
      <c r="AG87" t="e">
        <f t="shared" si="67"/>
        <v>#VALUE!</v>
      </c>
      <c r="AH87" t="str">
        <f t="shared" si="71"/>
        <v>1+125.663706i</v>
      </c>
      <c r="AI87" s="299" t="e">
        <f t="shared" si="72"/>
        <v>#VALUE!</v>
      </c>
      <c r="AK87" t="e">
        <f t="shared" si="73"/>
        <v>#VALUE!</v>
      </c>
      <c r="AM87" t="e">
        <f t="shared" si="74"/>
        <v>#VALUE!</v>
      </c>
      <c r="AN87" t="e">
        <f t="shared" si="68"/>
        <v>#VALUE!</v>
      </c>
    </row>
    <row r="88" spans="1:40" x14ac:dyDescent="0.2">
      <c r="A88" s="653">
        <v>2000000</v>
      </c>
      <c r="B88" s="352">
        <f t="shared" si="17"/>
        <v>2000</v>
      </c>
      <c r="C88" t="str">
        <f t="shared" si="54"/>
        <v>12566370.6i</v>
      </c>
      <c r="D88" s="30" t="str">
        <f t="shared" si="55"/>
        <v>-157913670056544</v>
      </c>
      <c r="E88" s="30" t="str">
        <f t="shared" si="56"/>
        <v>-1.98440170073666E+21i</v>
      </c>
      <c r="G88" s="30" t="e">
        <f t="shared" si="75"/>
        <v>#VALUE!</v>
      </c>
      <c r="I88" s="30" t="e">
        <f t="shared" si="57"/>
        <v>#REF!</v>
      </c>
      <c r="J88" t="e">
        <f t="shared" si="18"/>
        <v>#REF!</v>
      </c>
      <c r="L88" s="30" t="e">
        <f t="shared" si="58"/>
        <v>#VALUE!</v>
      </c>
      <c r="M88" t="e">
        <f t="shared" si="59"/>
        <v>#VALUE!</v>
      </c>
      <c r="N88" t="e">
        <f t="shared" si="19"/>
        <v>#REF!</v>
      </c>
      <c r="O88" s="299" t="e">
        <f t="shared" si="20"/>
        <v>#VALUE!</v>
      </c>
      <c r="P88" s="651">
        <v>0</v>
      </c>
      <c r="Q88" s="397" t="str">
        <f t="shared" si="60"/>
        <v>1+4.39822971i</v>
      </c>
      <c r="R88" s="397" t="str">
        <f t="shared" si="61"/>
        <v>-221.975174244403i</v>
      </c>
      <c r="S88" s="397" t="str">
        <f t="shared" si="62"/>
        <v>-157.850504588521</v>
      </c>
      <c r="T88" s="397" t="str">
        <f t="shared" si="21"/>
        <v>-156.850504588521-217.576944534403i</v>
      </c>
      <c r="U88" s="652">
        <v>1</v>
      </c>
      <c r="V88">
        <f t="shared" si="76"/>
        <v>1</v>
      </c>
      <c r="W88">
        <f t="shared" si="23"/>
        <v>0</v>
      </c>
      <c r="X88">
        <f t="shared" si="77"/>
        <v>0</v>
      </c>
      <c r="Z88" t="str">
        <f t="shared" si="63"/>
        <v>-0.0154820114155727-0.00656485596685991i</v>
      </c>
      <c r="AA88">
        <f t="shared" si="69"/>
        <v>-35.485359346827785</v>
      </c>
      <c r="AB88">
        <f t="shared" si="64"/>
        <v>-157.02154019060663</v>
      </c>
      <c r="AD88" s="30" t="str">
        <f t="shared" si="65"/>
        <v>251.327412i</v>
      </c>
      <c r="AE88" s="30" t="str">
        <f t="shared" si="70"/>
        <v>1+251.327412i</v>
      </c>
      <c r="AF88" s="30" t="e">
        <f t="shared" si="66"/>
        <v>#VALUE!</v>
      </c>
      <c r="AG88" t="e">
        <f t="shared" si="67"/>
        <v>#VALUE!</v>
      </c>
      <c r="AH88" t="str">
        <f t="shared" si="71"/>
        <v>1+251.327412i</v>
      </c>
      <c r="AI88" s="299" t="e">
        <f t="shared" si="72"/>
        <v>#VALUE!</v>
      </c>
      <c r="AK88" t="e">
        <f t="shared" si="73"/>
        <v>#VALUE!</v>
      </c>
      <c r="AM88" t="e">
        <f t="shared" si="74"/>
        <v>#VALUE!</v>
      </c>
      <c r="AN88" t="e">
        <f t="shared" si="68"/>
        <v>#VALUE!</v>
      </c>
    </row>
    <row r="89" spans="1:40" x14ac:dyDescent="0.2">
      <c r="A89" s="653">
        <v>3000000</v>
      </c>
      <c r="B89" s="352">
        <f t="shared" si="17"/>
        <v>3000</v>
      </c>
      <c r="C89" t="str">
        <f t="shared" si="54"/>
        <v>18849555.9i</v>
      </c>
      <c r="D89" s="30" t="str">
        <f t="shared" si="55"/>
        <v>-355305757627225</v>
      </c>
      <c r="E89" s="30" t="str">
        <f t="shared" si="56"/>
        <v>-6.69735573998623E+21i</v>
      </c>
      <c r="G89" s="30" t="e">
        <f t="shared" si="75"/>
        <v>#VALUE!</v>
      </c>
      <c r="I89" s="30" t="e">
        <f t="shared" si="57"/>
        <v>#REF!</v>
      </c>
      <c r="J89" t="e">
        <f t="shared" si="18"/>
        <v>#REF!</v>
      </c>
      <c r="L89" s="30" t="e">
        <f t="shared" si="58"/>
        <v>#VALUE!</v>
      </c>
      <c r="M89" t="e">
        <f t="shared" si="59"/>
        <v>#VALUE!</v>
      </c>
      <c r="N89" t="e">
        <f t="shared" si="19"/>
        <v>#REF!</v>
      </c>
      <c r="O89" s="299" t="e">
        <f t="shared" si="20"/>
        <v>#VALUE!</v>
      </c>
      <c r="P89" s="651">
        <v>0</v>
      </c>
      <c r="Q89" s="397" t="str">
        <f t="shared" si="60"/>
        <v>1+6.597344565i</v>
      </c>
      <c r="R89" s="397" t="str">
        <f t="shared" si="61"/>
        <v>-749.16621307486i</v>
      </c>
      <c r="S89" s="397" t="str">
        <f t="shared" si="62"/>
        <v>-355.163635324174</v>
      </c>
      <c r="T89" s="397" t="str">
        <f t="shared" si="21"/>
        <v>-354.163635324174-742.56886850986i</v>
      </c>
      <c r="U89" s="652">
        <v>1</v>
      </c>
      <c r="V89">
        <f t="shared" si="76"/>
        <v>1</v>
      </c>
      <c r="W89">
        <f t="shared" si="23"/>
        <v>0</v>
      </c>
      <c r="X89">
        <f t="shared" si="77"/>
        <v>0</v>
      </c>
      <c r="Z89" t="str">
        <f t="shared" si="63"/>
        <v>-0.00776127767315144-0.00235501700871593i</v>
      </c>
      <c r="AA89">
        <f t="shared" si="69"/>
        <v>-41.818827844809874</v>
      </c>
      <c r="AB89">
        <f t="shared" si="64"/>
        <v>-163.12054420169724</v>
      </c>
      <c r="AD89" s="30" t="str">
        <f t="shared" si="65"/>
        <v>376.991118i</v>
      </c>
      <c r="AE89" s="30" t="str">
        <f t="shared" si="70"/>
        <v>1+376.991118i</v>
      </c>
      <c r="AF89" s="30" t="e">
        <f t="shared" si="66"/>
        <v>#VALUE!</v>
      </c>
      <c r="AG89" t="e">
        <f t="shared" si="67"/>
        <v>#VALUE!</v>
      </c>
      <c r="AH89" t="str">
        <f t="shared" si="71"/>
        <v>1+376.991118i</v>
      </c>
      <c r="AI89" s="299" t="e">
        <f t="shared" si="72"/>
        <v>#VALUE!</v>
      </c>
      <c r="AK89" t="e">
        <f t="shared" si="73"/>
        <v>#VALUE!</v>
      </c>
      <c r="AM89" t="e">
        <f t="shared" si="74"/>
        <v>#VALUE!</v>
      </c>
      <c r="AN89" t="e">
        <f t="shared" si="68"/>
        <v>#VALUE!</v>
      </c>
    </row>
    <row r="90" spans="1:40" x14ac:dyDescent="0.2">
      <c r="A90" s="653">
        <v>4000000</v>
      </c>
      <c r="B90" s="352">
        <f t="shared" si="17"/>
        <v>4000</v>
      </c>
      <c r="C90" t="str">
        <f t="shared" si="54"/>
        <v>25132741.2i</v>
      </c>
      <c r="D90" s="30" t="str">
        <f t="shared" si="55"/>
        <v>-631654680226178</v>
      </c>
      <c r="E90" s="30" t="str">
        <f t="shared" si="56"/>
        <v>-1.58752136058933E+22i</v>
      </c>
      <c r="G90" s="30" t="e">
        <f t="shared" si="75"/>
        <v>#VALUE!</v>
      </c>
      <c r="I90" s="30" t="e">
        <f t="shared" si="57"/>
        <v>#REF!</v>
      </c>
      <c r="J90" t="e">
        <f t="shared" si="18"/>
        <v>#REF!</v>
      </c>
      <c r="L90" s="30" t="e">
        <f t="shared" si="58"/>
        <v>#VALUE!</v>
      </c>
      <c r="M90" t="e">
        <f t="shared" si="59"/>
        <v>#VALUE!</v>
      </c>
      <c r="N90" t="e">
        <f t="shared" si="19"/>
        <v>#REF!</v>
      </c>
      <c r="O90" s="299" t="e">
        <f t="shared" si="20"/>
        <v>#VALUE!</v>
      </c>
      <c r="P90" s="651">
        <v>0</v>
      </c>
      <c r="Q90" s="397" t="str">
        <f t="shared" si="60"/>
        <v>1+8.79645942i</v>
      </c>
      <c r="R90" s="397" t="str">
        <f t="shared" si="61"/>
        <v>-1775.80139395522i</v>
      </c>
      <c r="S90" s="397" t="str">
        <f t="shared" si="62"/>
        <v>-631.402018354088</v>
      </c>
      <c r="T90" s="397" t="str">
        <f t="shared" si="21"/>
        <v>-630.402018354088-1767.00493453522i</v>
      </c>
      <c r="U90" s="652">
        <v>1</v>
      </c>
      <c r="V90">
        <f t="shared" si="76"/>
        <v>1</v>
      </c>
      <c r="W90">
        <f t="shared" si="23"/>
        <v>0</v>
      </c>
      <c r="X90">
        <f t="shared" si="77"/>
        <v>0</v>
      </c>
      <c r="Z90" t="str">
        <f t="shared" si="63"/>
        <v>-0.00459520096124435-0.00107346840047734i</v>
      </c>
      <c r="AA90">
        <f t="shared" si="69"/>
        <v>-46.523147642689807</v>
      </c>
      <c r="AB90">
        <f t="shared" si="64"/>
        <v>-166.85114049434898</v>
      </c>
      <c r="AD90" s="30" t="str">
        <f t="shared" si="65"/>
        <v>502.654824i</v>
      </c>
      <c r="AE90" s="30" t="str">
        <f t="shared" si="70"/>
        <v>1+502.654824i</v>
      </c>
      <c r="AF90" s="30" t="e">
        <f t="shared" si="66"/>
        <v>#VALUE!</v>
      </c>
      <c r="AG90" t="e">
        <f t="shared" si="67"/>
        <v>#VALUE!</v>
      </c>
      <c r="AH90" t="str">
        <f t="shared" si="71"/>
        <v>1+502.654824i</v>
      </c>
      <c r="AI90" s="299" t="e">
        <f t="shared" si="72"/>
        <v>#VALUE!</v>
      </c>
      <c r="AK90" t="e">
        <f t="shared" si="73"/>
        <v>#VALUE!</v>
      </c>
      <c r="AM90" t="e">
        <f t="shared" si="74"/>
        <v>#VALUE!</v>
      </c>
      <c r="AN90" t="e">
        <f t="shared" si="68"/>
        <v>#VALUE!</v>
      </c>
    </row>
    <row r="91" spans="1:40" x14ac:dyDescent="0.2">
      <c r="A91" s="653">
        <v>5000000</v>
      </c>
      <c r="B91" s="352">
        <f t="shared" si="17"/>
        <v>5000</v>
      </c>
      <c r="C91" t="str">
        <f t="shared" si="54"/>
        <v>31415926.5i</v>
      </c>
      <c r="D91" s="30" t="str">
        <f t="shared" si="55"/>
        <v>-986960437853403</v>
      </c>
      <c r="E91" s="30" t="str">
        <f t="shared" si="56"/>
        <v>-3.10062765740103E+22i</v>
      </c>
      <c r="G91" s="30" t="e">
        <f t="shared" si="75"/>
        <v>#VALUE!</v>
      </c>
      <c r="I91" s="30" t="e">
        <f t="shared" si="57"/>
        <v>#REF!</v>
      </c>
      <c r="J91" t="e">
        <f t="shared" si="18"/>
        <v>#REF!</v>
      </c>
      <c r="L91" s="30" t="e">
        <f t="shared" si="58"/>
        <v>#VALUE!</v>
      </c>
      <c r="M91" t="e">
        <f t="shared" si="59"/>
        <v>#VALUE!</v>
      </c>
      <c r="N91" t="e">
        <f t="shared" si="19"/>
        <v>#REF!</v>
      </c>
      <c r="O91" s="299" t="e">
        <f t="shared" si="20"/>
        <v>#VALUE!</v>
      </c>
      <c r="P91" s="651">
        <v>0</v>
      </c>
      <c r="Q91" s="397" t="str">
        <f t="shared" si="60"/>
        <v>1+10.995574275i</v>
      </c>
      <c r="R91" s="397" t="str">
        <f t="shared" si="61"/>
        <v>-3468.36209756879i</v>
      </c>
      <c r="S91" s="397" t="str">
        <f t="shared" si="62"/>
        <v>-986.565653678262</v>
      </c>
      <c r="T91" s="397" t="str">
        <f t="shared" si="21"/>
        <v>-985.565653678262-3457.36652329379i</v>
      </c>
      <c r="U91" s="652">
        <v>1</v>
      </c>
      <c r="V91">
        <f t="shared" si="76"/>
        <v>1</v>
      </c>
      <c r="W91">
        <f t="shared" si="23"/>
        <v>0</v>
      </c>
      <c r="X91">
        <f t="shared" si="77"/>
        <v>0</v>
      </c>
      <c r="Z91" t="str">
        <f t="shared" si="63"/>
        <v>-0.00301757308495533-0.000570959537178404i</v>
      </c>
      <c r="AA91">
        <f t="shared" si="69"/>
        <v>-50.254080822840123</v>
      </c>
      <c r="AB91">
        <f t="shared" si="64"/>
        <v>-169.28564289756036</v>
      </c>
      <c r="AD91" s="30" t="str">
        <f t="shared" si="65"/>
        <v>628.31853i</v>
      </c>
      <c r="AE91" s="30" t="str">
        <f t="shared" si="70"/>
        <v>1+628.31853i</v>
      </c>
      <c r="AF91" s="30" t="e">
        <f t="shared" si="66"/>
        <v>#VALUE!</v>
      </c>
      <c r="AG91" t="e">
        <f t="shared" si="67"/>
        <v>#VALUE!</v>
      </c>
      <c r="AH91" t="str">
        <f t="shared" si="71"/>
        <v>1+628.31853i</v>
      </c>
      <c r="AI91" s="299" t="e">
        <f t="shared" si="72"/>
        <v>#VALUE!</v>
      </c>
      <c r="AK91" t="e">
        <f t="shared" si="73"/>
        <v>#VALUE!</v>
      </c>
      <c r="AM91" t="e">
        <f t="shared" si="74"/>
        <v>#VALUE!</v>
      </c>
      <c r="AN91" t="e">
        <f t="shared" si="68"/>
        <v>#VALUE!</v>
      </c>
    </row>
    <row r="92" spans="1:40" x14ac:dyDescent="0.2">
      <c r="A92" s="653">
        <v>6000000</v>
      </c>
      <c r="B92" s="352">
        <f t="shared" si="17"/>
        <v>6000</v>
      </c>
      <c r="C92" t="str">
        <f t="shared" si="54"/>
        <v>37699111.8i</v>
      </c>
      <c r="D92" s="30" t="str">
        <f t="shared" si="55"/>
        <v>-1421223030508900</v>
      </c>
      <c r="E92" s="30" t="str">
        <f t="shared" si="56"/>
        <v>-5.35788459198898E+22i</v>
      </c>
      <c r="G92" s="30" t="e">
        <f t="shared" si="75"/>
        <v>#VALUE!</v>
      </c>
      <c r="I92" s="30" t="e">
        <f t="shared" si="57"/>
        <v>#REF!</v>
      </c>
      <c r="J92" t="e">
        <f t="shared" si="18"/>
        <v>#REF!</v>
      </c>
      <c r="L92" s="30" t="e">
        <f t="shared" si="58"/>
        <v>#VALUE!</v>
      </c>
      <c r="M92" t="e">
        <f t="shared" si="59"/>
        <v>#VALUE!</v>
      </c>
      <c r="N92" t="e">
        <f t="shared" si="19"/>
        <v>#REF!</v>
      </c>
      <c r="O92" s="299" t="e">
        <f t="shared" si="20"/>
        <v>#VALUE!</v>
      </c>
      <c r="P92" s="651">
        <v>0</v>
      </c>
      <c r="Q92" s="397" t="str">
        <f t="shared" si="60"/>
        <v>1+13.19468913i</v>
      </c>
      <c r="R92" s="397" t="str">
        <f t="shared" si="61"/>
        <v>-5993.32970459887i</v>
      </c>
      <c r="S92" s="397" t="str">
        <f t="shared" si="62"/>
        <v>-1420.6545412967</v>
      </c>
      <c r="T92" s="397" t="str">
        <f t="shared" si="21"/>
        <v>-1419.6545412967-5980.13501546887i</v>
      </c>
      <c r="U92" s="652">
        <v>1</v>
      </c>
      <c r="V92">
        <f t="shared" si="76"/>
        <v>1</v>
      </c>
      <c r="W92">
        <f t="shared" si="23"/>
        <v>0</v>
      </c>
      <c r="X92">
        <f t="shared" si="77"/>
        <v>0</v>
      </c>
      <c r="Z92" t="str">
        <f t="shared" si="63"/>
        <v>-0.00212628728062533-0.000337549802608077i</v>
      </c>
      <c r="AA92">
        <f t="shared" si="69"/>
        <v>-53.339467507298949</v>
      </c>
      <c r="AB92">
        <f t="shared" si="64"/>
        <v>-170.979524286046</v>
      </c>
      <c r="AD92" s="30" t="str">
        <f t="shared" si="65"/>
        <v>753.982236i</v>
      </c>
      <c r="AE92" s="30" t="str">
        <f t="shared" si="70"/>
        <v>1+753.982236i</v>
      </c>
      <c r="AF92" s="30" t="e">
        <f t="shared" si="66"/>
        <v>#VALUE!</v>
      </c>
      <c r="AG92" t="e">
        <f t="shared" si="67"/>
        <v>#VALUE!</v>
      </c>
      <c r="AH92" t="str">
        <f t="shared" si="71"/>
        <v>1+753.982236i</v>
      </c>
      <c r="AI92" s="299" t="e">
        <f t="shared" si="72"/>
        <v>#VALUE!</v>
      </c>
      <c r="AK92" t="e">
        <f t="shared" si="73"/>
        <v>#VALUE!</v>
      </c>
      <c r="AM92" t="e">
        <f t="shared" si="74"/>
        <v>#VALUE!</v>
      </c>
      <c r="AN92" t="e">
        <f t="shared" si="68"/>
        <v>#VALUE!</v>
      </c>
    </row>
    <row r="93" spans="1:40" x14ac:dyDescent="0.2">
      <c r="A93" s="653">
        <v>7000000</v>
      </c>
      <c r="B93" s="352">
        <f t="shared" si="17"/>
        <v>7000</v>
      </c>
      <c r="C93" t="str">
        <f t="shared" si="54"/>
        <v>43982297.1i</v>
      </c>
      <c r="D93" s="30" t="str">
        <f t="shared" si="55"/>
        <v>-1934442458192670</v>
      </c>
      <c r="E93" s="30" t="str">
        <f t="shared" si="56"/>
        <v>-8.50812229190843E+22i</v>
      </c>
      <c r="G93" s="30" t="e">
        <f t="shared" si="75"/>
        <v>#VALUE!</v>
      </c>
      <c r="I93" s="30" t="e">
        <f t="shared" si="57"/>
        <v>#REF!</v>
      </c>
      <c r="J93" t="e">
        <f t="shared" si="18"/>
        <v>#REF!</v>
      </c>
      <c r="L93" s="30" t="e">
        <f t="shared" si="58"/>
        <v>#VALUE!</v>
      </c>
      <c r="M93" t="e">
        <f t="shared" si="59"/>
        <v>#VALUE!</v>
      </c>
      <c r="N93" t="e">
        <f t="shared" si="19"/>
        <v>#REF!</v>
      </c>
      <c r="O93" s="299" t="e">
        <f t="shared" si="20"/>
        <v>#VALUE!</v>
      </c>
      <c r="P93" s="651">
        <v>0</v>
      </c>
      <c r="Q93" s="397" t="str">
        <f t="shared" si="60"/>
        <v>1+15.393803985i</v>
      </c>
      <c r="R93" s="397" t="str">
        <f t="shared" si="61"/>
        <v>-9517.18559572877i</v>
      </c>
      <c r="S93" s="397" t="str">
        <f t="shared" si="62"/>
        <v>-1933.66868120939</v>
      </c>
      <c r="T93" s="397" t="str">
        <f t="shared" si="21"/>
        <v>-1932.66868120939-9501.79179174377i</v>
      </c>
      <c r="U93" s="652">
        <v>1</v>
      </c>
      <c r="V93">
        <f t="shared" si="76"/>
        <v>1</v>
      </c>
      <c r="W93">
        <f t="shared" si="23"/>
        <v>0</v>
      </c>
      <c r="X93">
        <f t="shared" si="77"/>
        <v>0</v>
      </c>
      <c r="Z93" t="str">
        <f t="shared" si="63"/>
        <v>-0.00157628762603077-0.000215374297002146i</v>
      </c>
      <c r="AA93">
        <f t="shared" si="69"/>
        <v>-55.966960551322785</v>
      </c>
      <c r="AB93">
        <f t="shared" si="64"/>
        <v>-172.21963347996476</v>
      </c>
      <c r="AD93" s="30" t="str">
        <f t="shared" si="65"/>
        <v>879.645942i</v>
      </c>
      <c r="AE93" s="30" t="str">
        <f t="shared" si="70"/>
        <v>1+879.645942i</v>
      </c>
      <c r="AF93" s="30" t="e">
        <f t="shared" si="66"/>
        <v>#VALUE!</v>
      </c>
      <c r="AG93" t="e">
        <f t="shared" si="67"/>
        <v>#VALUE!</v>
      </c>
      <c r="AH93" t="str">
        <f t="shared" si="71"/>
        <v>1+879.645942i</v>
      </c>
      <c r="AI93" s="299" t="e">
        <f t="shared" si="72"/>
        <v>#VALUE!</v>
      </c>
      <c r="AK93" t="e">
        <f t="shared" si="73"/>
        <v>#VALUE!</v>
      </c>
      <c r="AM93" t="e">
        <f t="shared" si="74"/>
        <v>#VALUE!</v>
      </c>
      <c r="AN93" t="e">
        <f t="shared" si="68"/>
        <v>#VALUE!</v>
      </c>
    </row>
    <row r="94" spans="1:40" x14ac:dyDescent="0.2">
      <c r="A94" s="653">
        <v>8000000</v>
      </c>
      <c r="B94" s="352">
        <f t="shared" si="17"/>
        <v>8000</v>
      </c>
      <c r="C94" t="str">
        <f t="shared" si="54"/>
        <v>50265482.4i</v>
      </c>
      <c r="D94" s="30" t="str">
        <f t="shared" si="55"/>
        <v>-2526618720904710</v>
      </c>
      <c r="E94" s="30" t="str">
        <f t="shared" si="56"/>
        <v>-1.27001708847146E+23i</v>
      </c>
      <c r="G94" s="30" t="e">
        <f t="shared" si="75"/>
        <v>#VALUE!</v>
      </c>
      <c r="I94" s="30" t="e">
        <f t="shared" si="57"/>
        <v>#REF!</v>
      </c>
      <c r="J94" t="e">
        <f t="shared" si="18"/>
        <v>#REF!</v>
      </c>
      <c r="L94" s="30" t="e">
        <f t="shared" si="58"/>
        <v>#VALUE!</v>
      </c>
      <c r="M94" t="e">
        <f t="shared" si="59"/>
        <v>#VALUE!</v>
      </c>
      <c r="N94" t="e">
        <f t="shared" si="19"/>
        <v>#REF!</v>
      </c>
      <c r="O94" s="299" t="e">
        <f t="shared" si="20"/>
        <v>#VALUE!</v>
      </c>
      <c r="P94" s="651">
        <v>0</v>
      </c>
      <c r="Q94" s="397" t="str">
        <f t="shared" si="60"/>
        <v>1+17.59291884i</v>
      </c>
      <c r="R94" s="397" t="str">
        <f t="shared" si="61"/>
        <v>-14206.4111516417i</v>
      </c>
      <c r="S94" s="397" t="str">
        <f t="shared" si="62"/>
        <v>-2525.60807341635</v>
      </c>
      <c r="T94" s="397" t="str">
        <f t="shared" si="21"/>
        <v>-2524.60807341635-14188.8182328017i</v>
      </c>
      <c r="U94" s="652">
        <v>1</v>
      </c>
      <c r="V94">
        <f t="shared" si="76"/>
        <v>1</v>
      </c>
      <c r="W94">
        <f t="shared" si="23"/>
        <v>0</v>
      </c>
      <c r="X94">
        <f t="shared" si="77"/>
        <v>0</v>
      </c>
      <c r="Z94" t="str">
        <f t="shared" si="63"/>
        <v>-0.00121401992445827-0.000145531817287078i</v>
      </c>
      <c r="AA94">
        <f t="shared" si="69"/>
        <v>-58.253518683206799</v>
      </c>
      <c r="AB94">
        <f t="shared" si="64"/>
        <v>-173.1642323462458</v>
      </c>
      <c r="AD94" s="30" t="str">
        <f t="shared" si="65"/>
        <v>1005.309648i</v>
      </c>
      <c r="AE94" s="30" t="str">
        <f t="shared" si="70"/>
        <v>1+1005.309648i</v>
      </c>
      <c r="AF94" s="30" t="e">
        <f t="shared" si="66"/>
        <v>#VALUE!</v>
      </c>
      <c r="AG94" t="e">
        <f t="shared" si="67"/>
        <v>#VALUE!</v>
      </c>
      <c r="AH94" t="str">
        <f t="shared" si="71"/>
        <v>1+1005.309648i</v>
      </c>
      <c r="AI94" s="299" t="e">
        <f t="shared" si="72"/>
        <v>#VALUE!</v>
      </c>
      <c r="AK94" t="e">
        <f t="shared" si="73"/>
        <v>#VALUE!</v>
      </c>
      <c r="AM94" t="e">
        <f t="shared" si="74"/>
        <v>#VALUE!</v>
      </c>
      <c r="AN94" t="e">
        <f t="shared" si="68"/>
        <v>#VALUE!</v>
      </c>
    </row>
    <row r="95" spans="1:40" x14ac:dyDescent="0.2">
      <c r="A95" s="653">
        <v>9000000</v>
      </c>
      <c r="B95" s="352">
        <f t="shared" si="17"/>
        <v>9000</v>
      </c>
      <c r="C95" t="str">
        <f t="shared" si="54"/>
        <v>56548667.7i</v>
      </c>
      <c r="D95" s="30" t="str">
        <f t="shared" si="55"/>
        <v>-3197751818645020</v>
      </c>
      <c r="E95" s="30" t="str">
        <f t="shared" si="56"/>
        <v>-1.80828604979628E+23i</v>
      </c>
      <c r="G95" s="30" t="e">
        <f t="shared" si="75"/>
        <v>#VALUE!</v>
      </c>
      <c r="I95" s="30" t="e">
        <f t="shared" si="57"/>
        <v>#REF!</v>
      </c>
      <c r="J95" t="e">
        <f t="shared" si="18"/>
        <v>#REF!</v>
      </c>
      <c r="L95" s="30" t="e">
        <f t="shared" si="58"/>
        <v>#VALUE!</v>
      </c>
      <c r="M95" t="e">
        <f t="shared" si="59"/>
        <v>#VALUE!</v>
      </c>
      <c r="N95" t="e">
        <f t="shared" si="19"/>
        <v>#REF!</v>
      </c>
      <c r="O95" s="299" t="e">
        <f t="shared" si="20"/>
        <v>#VALUE!</v>
      </c>
      <c r="P95" s="651">
        <v>0</v>
      </c>
      <c r="Q95" s="397" t="str">
        <f t="shared" si="60"/>
        <v>1+19.792033695i</v>
      </c>
      <c r="R95" s="397" t="str">
        <f t="shared" si="61"/>
        <v>-20227.4877530212i</v>
      </c>
      <c r="S95" s="397" t="str">
        <f t="shared" si="62"/>
        <v>-3196.47271791756</v>
      </c>
      <c r="T95" s="397" t="str">
        <f t="shared" si="21"/>
        <v>-3195.47271791756-20207.6957193262i</v>
      </c>
      <c r="U95" s="652">
        <v>1</v>
      </c>
      <c r="V95">
        <f t="shared" si="76"/>
        <v>1</v>
      </c>
      <c r="W95">
        <f t="shared" si="23"/>
        <v>0</v>
      </c>
      <c r="X95">
        <f t="shared" si="77"/>
        <v>0</v>
      </c>
      <c r="Z95" t="str">
        <f t="shared" si="63"/>
        <v>-0.000963171180292813-0.000102821581350465i</v>
      </c>
      <c r="AA95">
        <f t="shared" si="69"/>
        <v>-60.27671706539698</v>
      </c>
      <c r="AB95">
        <f t="shared" si="64"/>
        <v>-173.90657129969617</v>
      </c>
      <c r="AD95" s="30" t="str">
        <f t="shared" si="65"/>
        <v>1130.973354i</v>
      </c>
      <c r="AE95" s="30" t="str">
        <f t="shared" si="70"/>
        <v>1+1130.973354i</v>
      </c>
      <c r="AF95" s="30" t="e">
        <f t="shared" si="66"/>
        <v>#VALUE!</v>
      </c>
      <c r="AG95" t="e">
        <f t="shared" si="67"/>
        <v>#VALUE!</v>
      </c>
      <c r="AH95" t="str">
        <f t="shared" si="71"/>
        <v>1+1130.973354i</v>
      </c>
      <c r="AI95" s="299" t="e">
        <f t="shared" si="72"/>
        <v>#VALUE!</v>
      </c>
      <c r="AK95" t="e">
        <f t="shared" si="73"/>
        <v>#VALUE!</v>
      </c>
      <c r="AM95" t="e">
        <f t="shared" si="74"/>
        <v>#VALUE!</v>
      </c>
      <c r="AN95" t="e">
        <f t="shared" si="68"/>
        <v>#VALUE!</v>
      </c>
    </row>
    <row r="96" spans="1:40" x14ac:dyDescent="0.2">
      <c r="A96" s="653">
        <v>10000000</v>
      </c>
      <c r="B96" s="352">
        <f t="shared" si="17"/>
        <v>10000</v>
      </c>
      <c r="C96" t="str">
        <f t="shared" si="54"/>
        <v>62831853i</v>
      </c>
      <c r="D96" s="30" t="str">
        <f t="shared" si="55"/>
        <v>-3947841751413610</v>
      </c>
      <c r="E96" s="30" t="str">
        <f t="shared" si="56"/>
        <v>-2.48050212592082E+23i</v>
      </c>
      <c r="G96" s="30" t="e">
        <f t="shared" si="75"/>
        <v>#VALUE!</v>
      </c>
      <c r="I96" s="30" t="e">
        <f t="shared" si="57"/>
        <v>#REF!</v>
      </c>
      <c r="J96" t="e">
        <f t="shared" si="18"/>
        <v>#REF!</v>
      </c>
      <c r="L96" s="30" t="e">
        <f t="shared" si="58"/>
        <v>#VALUE!</v>
      </c>
      <c r="M96" t="e">
        <f t="shared" si="59"/>
        <v>#VALUE!</v>
      </c>
      <c r="N96" t="e">
        <f t="shared" si="19"/>
        <v>#REF!</v>
      </c>
      <c r="O96" s="299" t="e">
        <f t="shared" si="20"/>
        <v>#VALUE!</v>
      </c>
      <c r="P96" s="651">
        <v>0</v>
      </c>
      <c r="Q96" s="397" t="str">
        <f t="shared" si="60"/>
        <v>1+21.99114855i</v>
      </c>
      <c r="R96" s="397" t="str">
        <f t="shared" si="61"/>
        <v>-27746.8967805503i</v>
      </c>
      <c r="S96" s="397" t="str">
        <f t="shared" si="62"/>
        <v>-3946.26261471304</v>
      </c>
      <c r="T96" s="397" t="str">
        <f t="shared" si="21"/>
        <v>-3945.26261471304-27724.9056320003i</v>
      </c>
      <c r="U96" s="652">
        <v>1</v>
      </c>
      <c r="V96">
        <f t="shared" si="76"/>
        <v>1</v>
      </c>
      <c r="W96">
        <f t="shared" si="23"/>
        <v>0</v>
      </c>
      <c r="X96">
        <f t="shared" si="77"/>
        <v>0</v>
      </c>
      <c r="Z96" t="str">
        <f t="shared" si="63"/>
        <v>-0.000782478973720499-0.0000752783461022707i</v>
      </c>
      <c r="AA96">
        <f t="shared" si="69"/>
        <v>-62.09053569388221</v>
      </c>
      <c r="AB96">
        <f t="shared" si="64"/>
        <v>-174.50477476720093</v>
      </c>
      <c r="AD96" s="30" t="str">
        <f t="shared" si="65"/>
        <v>1256.63706i</v>
      </c>
      <c r="AE96" s="30" t="str">
        <f t="shared" si="70"/>
        <v>1+1256.63706i</v>
      </c>
      <c r="AF96" s="30" t="e">
        <f t="shared" si="66"/>
        <v>#VALUE!</v>
      </c>
      <c r="AG96" t="e">
        <f t="shared" si="67"/>
        <v>#VALUE!</v>
      </c>
      <c r="AH96" t="str">
        <f t="shared" si="71"/>
        <v>1+1256.63706i</v>
      </c>
      <c r="AI96" s="299" t="e">
        <f t="shared" si="72"/>
        <v>#VALUE!</v>
      </c>
      <c r="AK96" t="e">
        <f t="shared" si="73"/>
        <v>#VALUE!</v>
      </c>
      <c r="AM96" t="e">
        <f t="shared" si="74"/>
        <v>#VALUE!</v>
      </c>
      <c r="AN96" t="e">
        <f t="shared" si="68"/>
        <v>#VALUE!</v>
      </c>
    </row>
    <row r="97" spans="1:40" x14ac:dyDescent="0.2">
      <c r="A97" s="307">
        <f>Fsw</f>
        <v>340000</v>
      </c>
      <c r="B97" s="352">
        <f>A97/1000</f>
        <v>340</v>
      </c>
      <c r="C97" t="str">
        <f t="shared" si="54"/>
        <v>2136283.002i</v>
      </c>
      <c r="D97" s="30" t="str">
        <f t="shared" si="55"/>
        <v>-4563705064634.13</v>
      </c>
      <c r="E97" s="30" t="str">
        <f t="shared" si="56"/>
        <v>-9749365555719210000i</v>
      </c>
      <c r="G97" s="30" t="e">
        <f t="shared" si="75"/>
        <v>#VALUE!</v>
      </c>
      <c r="I97" s="30" t="e">
        <f t="shared" si="57"/>
        <v>#REF!</v>
      </c>
      <c r="J97" t="e">
        <f>IMSUM(1,I97)</f>
        <v>#REF!</v>
      </c>
      <c r="L97" s="30" t="e">
        <f t="shared" si="58"/>
        <v>#VALUE!</v>
      </c>
      <c r="M97" t="e">
        <f t="shared" si="59"/>
        <v>#VALUE!</v>
      </c>
      <c r="N97" t="e">
        <f>J97</f>
        <v>#REF!</v>
      </c>
      <c r="O97" s="299" t="e">
        <f>IMSUM(L97:N97)</f>
        <v>#VALUE!</v>
      </c>
      <c r="P97" s="651">
        <v>2</v>
      </c>
      <c r="Q97" s="397" t="str">
        <f t="shared" si="60"/>
        <v>1+0.7476990507i</v>
      </c>
      <c r="R97" s="397" t="str">
        <f t="shared" si="61"/>
        <v>-1.09056403106275i</v>
      </c>
      <c r="S97" s="397" t="str">
        <f t="shared" si="62"/>
        <v>-4.56187958260828</v>
      </c>
      <c r="T97" s="397" t="str">
        <f>IMSUM(S97,R97,Q97)</f>
        <v>-3.56187958260828-0.34286498036275i</v>
      </c>
      <c r="U97" s="652">
        <v>1</v>
      </c>
      <c r="V97">
        <f t="shared" si="76"/>
        <v>1</v>
      </c>
      <c r="W97">
        <f>20*LOG10(IMABS(V97))</f>
        <v>0</v>
      </c>
      <c r="X97">
        <f t="shared" si="77"/>
        <v>0</v>
      </c>
      <c r="Z97" t="str">
        <f t="shared" si="63"/>
        <v>-0.298194128085108-0.181212955648871i</v>
      </c>
      <c r="AA97">
        <f t="shared" si="69"/>
        <v>-9.1450294609994049</v>
      </c>
      <c r="AB97">
        <f t="shared" si="64"/>
        <v>-148.71289622032552</v>
      </c>
      <c r="AD97" s="30" t="str">
        <f t="shared" si="65"/>
        <v>42.72566004i</v>
      </c>
      <c r="AE97" s="30" t="str">
        <f t="shared" si="70"/>
        <v>1+42.72566004i</v>
      </c>
      <c r="AF97" s="30" t="e">
        <f t="shared" si="66"/>
        <v>#VALUE!</v>
      </c>
      <c r="AG97" t="e">
        <f t="shared" si="67"/>
        <v>#VALUE!</v>
      </c>
      <c r="AH97" t="str">
        <f t="shared" si="71"/>
        <v>1+42.72566004i</v>
      </c>
      <c r="AI97" s="299" t="e">
        <f t="shared" si="72"/>
        <v>#VALUE!</v>
      </c>
      <c r="AK97" t="e">
        <f t="shared" si="73"/>
        <v>#VALUE!</v>
      </c>
      <c r="AM97" t="e">
        <f t="shared" si="74"/>
        <v>#VALUE!</v>
      </c>
      <c r="AN97" t="e">
        <f t="shared" si="68"/>
        <v>#VALUE!</v>
      </c>
    </row>
    <row r="98" spans="1:40" x14ac:dyDescent="0.2">
      <c r="A98" s="416"/>
      <c r="B98" s="342"/>
    </row>
    <row r="99" spans="1:40" x14ac:dyDescent="0.2">
      <c r="A99" s="416"/>
      <c r="B99" s="342"/>
    </row>
    <row r="100" spans="1:40" x14ac:dyDescent="0.2">
      <c r="A100" s="393"/>
    </row>
    <row r="101" spans="1:40" x14ac:dyDescent="0.2">
      <c r="A101" s="393"/>
    </row>
    <row r="102" spans="1:40" x14ac:dyDescent="0.2">
      <c r="A102" s="393"/>
    </row>
    <row r="112" spans="1:40" x14ac:dyDescent="0.2">
      <c r="A112" s="347"/>
    </row>
    <row r="113" spans="1:1" x14ac:dyDescent="0.2">
      <c r="A113" s="347"/>
    </row>
  </sheetData>
  <mergeCells count="8">
    <mergeCell ref="AD11:AE11"/>
    <mergeCell ref="AF11:AI11"/>
    <mergeCell ref="A10:A12"/>
    <mergeCell ref="B10:B11"/>
    <mergeCell ref="I11:J11"/>
    <mergeCell ref="L11:O11"/>
    <mergeCell ref="Q11:T11"/>
    <mergeCell ref="R12:T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T159"/>
  <sheetViews>
    <sheetView topLeftCell="H1" zoomScale="115" zoomScaleNormal="115" workbookViewId="0">
      <selection activeCell="R12" sqref="R12"/>
    </sheetView>
  </sheetViews>
  <sheetFormatPr defaultRowHeight="12.75" x14ac:dyDescent="0.2"/>
  <cols>
    <col min="1" max="1" width="17.28515625" customWidth="1"/>
    <col min="2" max="2" width="12" bestFit="1" customWidth="1"/>
    <col min="3" max="4" width="12.42578125" bestFit="1" customWidth="1"/>
    <col min="7" max="9" width="12.42578125" bestFit="1" customWidth="1"/>
    <col min="10" max="10" width="11.42578125" bestFit="1" customWidth="1"/>
    <col min="11" max="12" width="11.42578125" customWidth="1"/>
    <col min="13" max="13" width="10.42578125" customWidth="1"/>
    <col min="14" max="15" width="10" customWidth="1"/>
    <col min="17" max="17" width="12.140625" customWidth="1"/>
    <col min="18" max="18" width="12.42578125" bestFit="1" customWidth="1"/>
    <col min="19" max="19" width="15.42578125" customWidth="1"/>
  </cols>
  <sheetData>
    <row r="2" spans="1:20" x14ac:dyDescent="0.2">
      <c r="A2" t="s">
        <v>157</v>
      </c>
      <c r="B2" t="s">
        <v>150</v>
      </c>
      <c r="C2" t="s">
        <v>31</v>
      </c>
      <c r="D2" t="s">
        <v>32</v>
      </c>
      <c r="E2" t="s">
        <v>25</v>
      </c>
      <c r="F2" t="s">
        <v>57</v>
      </c>
      <c r="G2" s="113" t="s">
        <v>630</v>
      </c>
      <c r="H2" s="113" t="s">
        <v>310</v>
      </c>
      <c r="I2" s="113" t="s">
        <v>661</v>
      </c>
      <c r="J2" s="113" t="s">
        <v>662</v>
      </c>
      <c r="K2" s="113" t="s">
        <v>798</v>
      </c>
      <c r="L2" s="113" t="s">
        <v>800</v>
      </c>
      <c r="M2" s="113" t="s">
        <v>765</v>
      </c>
      <c r="N2" s="113" t="s">
        <v>769</v>
      </c>
      <c r="O2" s="113"/>
    </row>
    <row r="3" spans="1:20" x14ac:dyDescent="0.2">
      <c r="A3" t="s">
        <v>160</v>
      </c>
      <c r="B3">
        <f>Css</f>
        <v>0</v>
      </c>
      <c r="C3">
        <f>Cc1ea</f>
        <v>3.2057078337228865E-9</v>
      </c>
      <c r="D3">
        <f>Cc2ea</f>
        <v>4.3597430962257836E-11</v>
      </c>
      <c r="E3">
        <f>Cout</f>
        <v>2.0000000000000001E-4</v>
      </c>
      <c r="F3">
        <f>Cin</f>
        <v>3.0000000000000001E-5</v>
      </c>
      <c r="G3">
        <f>Cres</f>
        <v>3.3333333333333335E-7</v>
      </c>
      <c r="H3">
        <f>Cdither_init</f>
        <v>2.0226537216828479E-9</v>
      </c>
      <c r="I3">
        <f>Cc3ea</f>
        <v>0</v>
      </c>
      <c r="J3">
        <f>Cc4ea</f>
        <v>0</v>
      </c>
      <c r="K3" s="30" t="e">
        <f>'Variable Management'!B292*0.000001</f>
        <v>#VALUE!</v>
      </c>
      <c r="L3" s="30" t="e">
        <f>K3*4</f>
        <v>#VALUE!</v>
      </c>
      <c r="M3" t="e">
        <f>Cinj_AEF*0.000001</f>
        <v>#VALUE!</v>
      </c>
      <c r="N3" t="e">
        <f>'Variable Management'!B295*0.000001</f>
        <v>#VALUE!</v>
      </c>
      <c r="Q3" t="s">
        <v>162</v>
      </c>
      <c r="R3" t="s">
        <v>163</v>
      </c>
      <c r="S3" s="2" t="s">
        <v>159</v>
      </c>
    </row>
    <row r="4" spans="1:20" x14ac:dyDescent="0.2">
      <c r="A4" s="7" t="s">
        <v>159</v>
      </c>
      <c r="B4" s="7">
        <f>SUM(B6:B158)/1000000000000</f>
        <v>0</v>
      </c>
      <c r="C4" s="7">
        <f>IF(C3="OPEN","OPEN",SUM(C6:C158)/1000000000000)</f>
        <v>3.3000000000000002E-9</v>
      </c>
      <c r="D4" s="7">
        <f>SUM(D6:D158)/1000000000000</f>
        <v>4.6999999999999999E-11</v>
      </c>
      <c r="E4" s="7">
        <f>SUM(E6:E158)/1000000000000</f>
        <v>2.2000000000000001E-4</v>
      </c>
      <c r="F4" s="7">
        <f>SUM(F6:F158)/1000000000000</f>
        <v>3.3000000000000003E-5</v>
      </c>
      <c r="G4" s="7">
        <f>SUM(G6:G158)/1000000000000</f>
        <v>3.3000000000000002E-7</v>
      </c>
      <c r="H4" s="7">
        <f t="shared" ref="H4:N4" si="0">IF(H3="OPEN","OPEN",SUM(H6:H158)/1000000000000)</f>
        <v>2.1999999999999998E-9</v>
      </c>
      <c r="I4" s="7">
        <f t="shared" si="0"/>
        <v>0</v>
      </c>
      <c r="J4" s="7">
        <f t="shared" si="0"/>
        <v>0</v>
      </c>
      <c r="K4" s="7" t="e">
        <f t="shared" si="0"/>
        <v>#VALUE!</v>
      </c>
      <c r="L4" s="7" t="e">
        <f t="shared" si="0"/>
        <v>#VALUE!</v>
      </c>
      <c r="M4" s="7" t="e">
        <f t="shared" si="0"/>
        <v>#VALUE!</v>
      </c>
      <c r="N4" s="7" t="e">
        <f t="shared" si="0"/>
        <v>#VALUE!</v>
      </c>
      <c r="O4" s="7"/>
      <c r="Q4" s="113" t="s">
        <v>272</v>
      </c>
      <c r="R4">
        <f>Rfadj</f>
        <v>64.900000000000006</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64.900000000000006</v>
      </c>
      <c r="T4" s="45" t="s">
        <v>260</v>
      </c>
    </row>
    <row r="5" spans="1:20" x14ac:dyDescent="0.2">
      <c r="A5" t="s">
        <v>158</v>
      </c>
      <c r="S5" s="2"/>
      <c r="T5" s="45"/>
    </row>
    <row r="6" spans="1:20" x14ac:dyDescent="0.2">
      <c r="A6">
        <v>0.47</v>
      </c>
      <c r="B6">
        <f t="shared" ref="B6:N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K6" t="e">
        <f t="shared" si="1"/>
        <v>#VALUE!</v>
      </c>
      <c r="L6" t="e">
        <f t="shared" si="1"/>
        <v>#VALUE!</v>
      </c>
      <c r="M6" t="e">
        <f t="shared" si="1"/>
        <v>#VALUE!</v>
      </c>
      <c r="N6" t="e">
        <f t="shared" si="1"/>
        <v>#VALUE!</v>
      </c>
      <c r="Q6" s="113"/>
      <c r="R6" s="53"/>
      <c r="S6" s="2"/>
      <c r="T6" s="45"/>
    </row>
    <row r="7" spans="1:20" x14ac:dyDescent="0.2">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N69" si="7">IF(IF((G$3*10^12-$A8)*(G$3*10^12-$A7)*-1&lt;0,0,1)*IF(ABS(G$3*10^12-$A8)&gt;(G$3*10^12-$A7),$A7,$A8)=G8,0,IF((G$3*10^12-$A8)*(G$3*10^12-$A7)*-1&lt;0,0,1)*IF(ABS(G$3*10^12-$A8)&gt;(G$3*10^12-$A7),$A7,$A8))</f>
        <v>0</v>
      </c>
      <c r="H7">
        <f t="shared" si="7"/>
        <v>0</v>
      </c>
      <c r="I7">
        <f t="shared" si="7"/>
        <v>0</v>
      </c>
      <c r="J7">
        <f t="shared" si="7"/>
        <v>0</v>
      </c>
      <c r="K7" t="e">
        <f t="shared" ref="K7:L13" si="8">IF(IF((K$3*10^12-$A8)*(K$3*10^12-$A7)*-1&lt;0,0,1)*IF(ABS(K$3*10^12-$A8)&gt;(K$3*10^12-$A7),$A7,$A8)=K8,0,IF((K$3*10^12-$A8)*(K$3*10^12-$A7)*-1&lt;0,0,1)*IF(ABS(K$3*10^12-$A8)&gt;(K$3*10^12-$A7),$A7,$A8))</f>
        <v>#VALUE!</v>
      </c>
      <c r="L7" t="e">
        <f t="shared" si="8"/>
        <v>#VALUE!</v>
      </c>
      <c r="M7" t="e">
        <f t="shared" si="7"/>
        <v>#VALUE!</v>
      </c>
      <c r="N7" t="e">
        <f t="shared" si="7"/>
        <v>#VALUE!</v>
      </c>
      <c r="Q7" t="s">
        <v>176</v>
      </c>
      <c r="R7">
        <f>Rcea1</f>
        <v>12411.84096687664</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12400</v>
      </c>
      <c r="T7" s="45" t="s">
        <v>260</v>
      </c>
    </row>
    <row r="8" spans="1:20" x14ac:dyDescent="0.2">
      <c r="A8">
        <v>0.68</v>
      </c>
      <c r="B8">
        <f t="shared" si="2"/>
        <v>0</v>
      </c>
      <c r="C8">
        <f t="shared" si="3"/>
        <v>0</v>
      </c>
      <c r="D8">
        <f t="shared" si="4"/>
        <v>0</v>
      </c>
      <c r="E8">
        <f t="shared" si="5"/>
        <v>0</v>
      </c>
      <c r="F8">
        <f t="shared" si="6"/>
        <v>0</v>
      </c>
      <c r="G8">
        <f t="shared" si="7"/>
        <v>0</v>
      </c>
      <c r="H8">
        <f t="shared" si="7"/>
        <v>0</v>
      </c>
      <c r="I8">
        <f t="shared" si="7"/>
        <v>0</v>
      </c>
      <c r="J8">
        <f t="shared" si="7"/>
        <v>0</v>
      </c>
      <c r="K8" t="e">
        <f t="shared" si="8"/>
        <v>#VALUE!</v>
      </c>
      <c r="L8" t="e">
        <f t="shared" si="8"/>
        <v>#VALUE!</v>
      </c>
      <c r="M8" t="e">
        <f t="shared" si="7"/>
        <v>#VALUE!</v>
      </c>
      <c r="N8" t="e">
        <f t="shared" si="7"/>
        <v>#VALUE!</v>
      </c>
      <c r="Q8" t="s">
        <v>176</v>
      </c>
      <c r="R8">
        <f>Rcea2</f>
        <v>0</v>
      </c>
      <c r="S8" s="2" t="e">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#NUM!</v>
      </c>
      <c r="T8" s="45" t="s">
        <v>260</v>
      </c>
    </row>
    <row r="9" spans="1:20" x14ac:dyDescent="0.2">
      <c r="A9">
        <v>0.82</v>
      </c>
      <c r="B9">
        <f t="shared" si="2"/>
        <v>0</v>
      </c>
      <c r="C9">
        <f t="shared" si="3"/>
        <v>0</v>
      </c>
      <c r="D9">
        <f t="shared" si="4"/>
        <v>0</v>
      </c>
      <c r="E9">
        <f t="shared" si="5"/>
        <v>0</v>
      </c>
      <c r="F9">
        <f t="shared" si="6"/>
        <v>0</v>
      </c>
      <c r="G9">
        <f t="shared" si="7"/>
        <v>0</v>
      </c>
      <c r="H9">
        <f t="shared" si="7"/>
        <v>0</v>
      </c>
      <c r="I9">
        <f t="shared" si="7"/>
        <v>0</v>
      </c>
      <c r="J9">
        <f t="shared" si="7"/>
        <v>0</v>
      </c>
      <c r="K9" t="e">
        <f t="shared" si="8"/>
        <v>#VALUE!</v>
      </c>
      <c r="L9" t="e">
        <f t="shared" si="8"/>
        <v>#VALUE!</v>
      </c>
      <c r="M9" t="e">
        <f t="shared" si="7"/>
        <v>#VALUE!</v>
      </c>
      <c r="N9" t="e">
        <f t="shared" si="7"/>
        <v>#VALUE!</v>
      </c>
    </row>
    <row r="10" spans="1:20" x14ac:dyDescent="0.2">
      <c r="A10">
        <v>1</v>
      </c>
      <c r="B10">
        <f t="shared" si="2"/>
        <v>0</v>
      </c>
      <c r="C10">
        <f t="shared" si="3"/>
        <v>0</v>
      </c>
      <c r="D10">
        <f t="shared" si="4"/>
        <v>0</v>
      </c>
      <c r="E10">
        <f t="shared" si="5"/>
        <v>0</v>
      </c>
      <c r="F10">
        <f t="shared" si="6"/>
        <v>0</v>
      </c>
      <c r="G10">
        <f t="shared" si="7"/>
        <v>0</v>
      </c>
      <c r="H10">
        <f t="shared" si="7"/>
        <v>0</v>
      </c>
      <c r="I10">
        <f t="shared" si="7"/>
        <v>0</v>
      </c>
      <c r="J10">
        <f t="shared" si="7"/>
        <v>0</v>
      </c>
      <c r="K10" t="e">
        <f t="shared" si="8"/>
        <v>#VALUE!</v>
      </c>
      <c r="L10" t="e">
        <f t="shared" si="8"/>
        <v>#VALUE!</v>
      </c>
      <c r="M10" t="e">
        <f t="shared" si="7"/>
        <v>#VALUE!</v>
      </c>
      <c r="N10" t="e">
        <f t="shared" si="7"/>
        <v>#VALUE!</v>
      </c>
      <c r="Q10" t="s">
        <v>29</v>
      </c>
      <c r="R10">
        <f>Rfb1_</f>
        <v>2500000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2490000</v>
      </c>
      <c r="T10" s="45" t="s">
        <v>260</v>
      </c>
    </row>
    <row r="11" spans="1:20" x14ac:dyDescent="0.2">
      <c r="A11">
        <v>1.2</v>
      </c>
      <c r="B11">
        <f t="shared" si="2"/>
        <v>0</v>
      </c>
      <c r="C11">
        <f t="shared" si="3"/>
        <v>0</v>
      </c>
      <c r="D11">
        <f t="shared" si="4"/>
        <v>0</v>
      </c>
      <c r="E11">
        <f t="shared" si="5"/>
        <v>0</v>
      </c>
      <c r="F11">
        <f t="shared" si="6"/>
        <v>0</v>
      </c>
      <c r="G11">
        <f t="shared" si="7"/>
        <v>0</v>
      </c>
      <c r="H11">
        <f t="shared" si="7"/>
        <v>0</v>
      </c>
      <c r="I11">
        <f t="shared" si="7"/>
        <v>0</v>
      </c>
      <c r="J11">
        <f t="shared" si="7"/>
        <v>0</v>
      </c>
      <c r="K11" t="e">
        <f t="shared" si="8"/>
        <v>#VALUE!</v>
      </c>
      <c r="L11" t="e">
        <f t="shared" si="8"/>
        <v>#VALUE!</v>
      </c>
      <c r="M11" t="e">
        <f t="shared" ref="M11:N26" si="9">IF(IF((M$3*10^12-$A12)*(M$3*10^12-$A11)*-1&lt;0,0,1)*IF(ABS(M$3*10^12-$A12)&gt;(M$3*10^12-$A11),$A11,$A12)=M12,0,IF((M$3*10^12-$A12)*(M$3*10^12-$A11)*-1&lt;0,0,1)*IF(ABS(M$3*10^12-$A12)&gt;(M$3*10^12-$A11),$A11,$A12))</f>
        <v>#VALUE!</v>
      </c>
      <c r="N11" t="e">
        <f t="shared" si="9"/>
        <v>#VALUE!</v>
      </c>
      <c r="Q11" t="s">
        <v>40</v>
      </c>
      <c r="R11" s="48">
        <f>Rfb2_</f>
        <v>178571.42857142858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178000</v>
      </c>
      <c r="T11" s="45" t="s">
        <v>260</v>
      </c>
    </row>
    <row r="12" spans="1:20" x14ac:dyDescent="0.2">
      <c r="A12">
        <v>1.5</v>
      </c>
      <c r="B12">
        <f t="shared" si="2"/>
        <v>0</v>
      </c>
      <c r="C12">
        <f t="shared" si="3"/>
        <v>0</v>
      </c>
      <c r="D12">
        <f t="shared" si="4"/>
        <v>0</v>
      </c>
      <c r="E12">
        <f t="shared" si="5"/>
        <v>0</v>
      </c>
      <c r="F12">
        <f t="shared" si="6"/>
        <v>0</v>
      </c>
      <c r="G12">
        <f t="shared" si="7"/>
        <v>0</v>
      </c>
      <c r="H12">
        <f t="shared" si="7"/>
        <v>0</v>
      </c>
      <c r="I12">
        <f t="shared" si="7"/>
        <v>0</v>
      </c>
      <c r="J12">
        <f t="shared" si="7"/>
        <v>0</v>
      </c>
      <c r="K12" t="e">
        <f t="shared" si="8"/>
        <v>#VALUE!</v>
      </c>
      <c r="L12" t="e">
        <f t="shared" si="8"/>
        <v>#VALUE!</v>
      </c>
      <c r="M12" t="e">
        <f t="shared" si="9"/>
        <v>#VALUE!</v>
      </c>
      <c r="N12" t="e">
        <f t="shared" si="9"/>
        <v>#VALUE!</v>
      </c>
      <c r="Q12" s="113" t="s">
        <v>750</v>
      </c>
      <c r="R12" s="299">
        <f>'Variable Management'!B27*1000</f>
        <v>64281.699346405221</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64900</v>
      </c>
      <c r="T12" s="45" t="s">
        <v>260</v>
      </c>
    </row>
    <row r="13" spans="1:20" x14ac:dyDescent="0.2">
      <c r="A13">
        <v>1.8</v>
      </c>
      <c r="B13">
        <f t="shared" si="2"/>
        <v>0</v>
      </c>
      <c r="C13">
        <f t="shared" si="3"/>
        <v>0</v>
      </c>
      <c r="D13">
        <f t="shared" si="4"/>
        <v>0</v>
      </c>
      <c r="E13">
        <f t="shared" si="5"/>
        <v>0</v>
      </c>
      <c r="F13">
        <f t="shared" si="6"/>
        <v>0</v>
      </c>
      <c r="G13">
        <f t="shared" si="7"/>
        <v>0</v>
      </c>
      <c r="H13">
        <f t="shared" si="7"/>
        <v>0</v>
      </c>
      <c r="I13">
        <f t="shared" si="7"/>
        <v>0</v>
      </c>
      <c r="J13">
        <f t="shared" si="7"/>
        <v>0</v>
      </c>
      <c r="K13" t="e">
        <f t="shared" si="8"/>
        <v>#VALUE!</v>
      </c>
      <c r="L13" t="e">
        <f t="shared" si="8"/>
        <v>#VALUE!</v>
      </c>
      <c r="M13" t="e">
        <f t="shared" si="9"/>
        <v>#VALUE!</v>
      </c>
      <c r="N13" t="e">
        <f t="shared" si="9"/>
        <v>#VALUE!</v>
      </c>
      <c r="Q13" s="113" t="s">
        <v>832</v>
      </c>
      <c r="R13" s="48">
        <f>'Variable Management'!B28*1000</f>
        <v>0</v>
      </c>
      <c r="S13" s="2" t="e">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#NUM!</v>
      </c>
      <c r="T13" s="45" t="s">
        <v>260</v>
      </c>
    </row>
    <row r="14" spans="1:20" x14ac:dyDescent="0.2">
      <c r="A14">
        <v>2.2000000000000002</v>
      </c>
      <c r="B14">
        <f t="shared" ref="B14:N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c r="K14" t="e">
        <f t="shared" si="10"/>
        <v>#VALUE!</v>
      </c>
      <c r="L14" t="e">
        <f t="shared" si="10"/>
        <v>#VALUE!</v>
      </c>
      <c r="M14" t="e">
        <f t="shared" si="10"/>
        <v>#VALUE!</v>
      </c>
      <c r="N14" t="e">
        <f t="shared" si="10"/>
        <v>#VALUE!</v>
      </c>
      <c r="Q14" s="113" t="s">
        <v>908</v>
      </c>
      <c r="R14">
        <f>'Variable Management'!B301</f>
        <v>0.15055453054181619</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0.15</v>
      </c>
      <c r="T14" s="45" t="s">
        <v>138</v>
      </c>
    </row>
    <row r="15" spans="1:20" x14ac:dyDescent="0.2">
      <c r="A15">
        <v>2.7</v>
      </c>
      <c r="B15">
        <f t="shared" si="2"/>
        <v>0</v>
      </c>
      <c r="C15">
        <f t="shared" si="3"/>
        <v>0</v>
      </c>
      <c r="D15">
        <f t="shared" si="4"/>
        <v>0</v>
      </c>
      <c r="E15">
        <f t="shared" si="5"/>
        <v>0</v>
      </c>
      <c r="F15">
        <f t="shared" si="6"/>
        <v>0</v>
      </c>
      <c r="G15">
        <f t="shared" si="7"/>
        <v>0</v>
      </c>
      <c r="H15">
        <f t="shared" si="7"/>
        <v>0</v>
      </c>
      <c r="I15">
        <f t="shared" si="7"/>
        <v>0</v>
      </c>
      <c r="J15">
        <f t="shared" si="7"/>
        <v>0</v>
      </c>
      <c r="K15" t="e">
        <f t="shared" ref="K15:L21" si="11">IF(IF((K$3*10^12-$A16)*(K$3*10^12-$A15)*-1&lt;0,0,1)*IF(ABS(K$3*10^12-$A16)&gt;(K$3*10^12-$A15),$A15,$A16)=K16,0,IF((K$3*10^12-$A16)*(K$3*10^12-$A15)*-1&lt;0,0,1)*IF(ABS(K$3*10^12-$A16)&gt;(K$3*10^12-$A15),$A15,$A16))</f>
        <v>#VALUE!</v>
      </c>
      <c r="L15" t="e">
        <f t="shared" si="11"/>
        <v>#VALUE!</v>
      </c>
      <c r="M15" t="e">
        <f t="shared" si="9"/>
        <v>#VALUE!</v>
      </c>
      <c r="N15" t="e">
        <f t="shared" si="9"/>
        <v>#VALUE!</v>
      </c>
    </row>
    <row r="16" spans="1:20" x14ac:dyDescent="0.2">
      <c r="A16">
        <v>3.3</v>
      </c>
      <c r="B16">
        <f t="shared" si="2"/>
        <v>0</v>
      </c>
      <c r="C16">
        <f t="shared" si="3"/>
        <v>0</v>
      </c>
      <c r="D16">
        <f t="shared" si="4"/>
        <v>0</v>
      </c>
      <c r="E16">
        <f t="shared" si="5"/>
        <v>0</v>
      </c>
      <c r="F16">
        <f t="shared" si="6"/>
        <v>0</v>
      </c>
      <c r="G16">
        <f t="shared" si="7"/>
        <v>0</v>
      </c>
      <c r="H16">
        <f t="shared" si="7"/>
        <v>0</v>
      </c>
      <c r="I16">
        <f t="shared" si="7"/>
        <v>0</v>
      </c>
      <c r="J16">
        <f t="shared" si="7"/>
        <v>0</v>
      </c>
      <c r="K16" t="e">
        <f t="shared" si="11"/>
        <v>#VALUE!</v>
      </c>
      <c r="L16" t="e">
        <f t="shared" si="11"/>
        <v>#VALUE!</v>
      </c>
      <c r="M16" t="e">
        <f t="shared" si="9"/>
        <v>#VALUE!</v>
      </c>
      <c r="N16" t="e">
        <f t="shared" si="9"/>
        <v>#VALUE!</v>
      </c>
      <c r="Q16" s="113" t="s">
        <v>164</v>
      </c>
      <c r="R16" s="348">
        <f>Rs_ideal*1000</f>
        <v>1.928701965567867</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1.9100000000000001</v>
      </c>
      <c r="T16" s="45" t="s">
        <v>305</v>
      </c>
    </row>
    <row r="17" spans="1:20" x14ac:dyDescent="0.2">
      <c r="A17">
        <v>3.9</v>
      </c>
      <c r="B17">
        <f t="shared" si="2"/>
        <v>0</v>
      </c>
      <c r="C17">
        <f t="shared" si="3"/>
        <v>0</v>
      </c>
      <c r="D17">
        <f t="shared" si="4"/>
        <v>0</v>
      </c>
      <c r="E17">
        <f t="shared" si="5"/>
        <v>0</v>
      </c>
      <c r="F17">
        <f t="shared" si="6"/>
        <v>0</v>
      </c>
      <c r="G17">
        <f t="shared" si="7"/>
        <v>0</v>
      </c>
      <c r="H17">
        <f t="shared" si="7"/>
        <v>0</v>
      </c>
      <c r="I17">
        <f t="shared" si="7"/>
        <v>0</v>
      </c>
      <c r="J17">
        <f t="shared" si="7"/>
        <v>0</v>
      </c>
      <c r="K17" t="e">
        <f t="shared" si="11"/>
        <v>#VALUE!</v>
      </c>
      <c r="L17" t="e">
        <f t="shared" si="11"/>
        <v>#VALUE!</v>
      </c>
      <c r="M17" t="e">
        <f t="shared" si="9"/>
        <v>#VALUE!</v>
      </c>
      <c r="N17" t="e">
        <f t="shared" si="9"/>
        <v>#VALUE!</v>
      </c>
      <c r="Q17" s="113" t="s">
        <v>630</v>
      </c>
      <c r="R17">
        <f>Cres</f>
        <v>3.3333333333333335E-7</v>
      </c>
      <c r="S17">
        <f>G4*1000000000000</f>
        <v>330000</v>
      </c>
      <c r="T17" s="113" t="s">
        <v>30</v>
      </c>
    </row>
    <row r="18" spans="1:20" x14ac:dyDescent="0.2">
      <c r="A18">
        <v>4.7</v>
      </c>
      <c r="B18">
        <f t="shared" si="2"/>
        <v>0</v>
      </c>
      <c r="C18">
        <f t="shared" si="3"/>
        <v>0</v>
      </c>
      <c r="D18">
        <f t="shared" si="4"/>
        <v>0</v>
      </c>
      <c r="E18">
        <f t="shared" si="5"/>
        <v>0</v>
      </c>
      <c r="F18">
        <f t="shared" si="6"/>
        <v>0</v>
      </c>
      <c r="G18">
        <f t="shared" si="7"/>
        <v>0</v>
      </c>
      <c r="H18">
        <f t="shared" si="7"/>
        <v>0</v>
      </c>
      <c r="I18">
        <f t="shared" si="7"/>
        <v>0</v>
      </c>
      <c r="J18">
        <f t="shared" si="7"/>
        <v>0</v>
      </c>
      <c r="K18" t="e">
        <f t="shared" si="11"/>
        <v>#VALUE!</v>
      </c>
      <c r="L18" t="e">
        <f t="shared" si="11"/>
        <v>#VALUE!</v>
      </c>
      <c r="M18" t="e">
        <f t="shared" si="9"/>
        <v>#VALUE!</v>
      </c>
      <c r="N18" t="e">
        <f t="shared" si="9"/>
        <v>#VALUE!</v>
      </c>
    </row>
    <row r="19" spans="1:20" x14ac:dyDescent="0.2">
      <c r="A19">
        <v>5.6</v>
      </c>
      <c r="B19">
        <f t="shared" si="2"/>
        <v>0</v>
      </c>
      <c r="C19">
        <f t="shared" si="3"/>
        <v>0</v>
      </c>
      <c r="D19">
        <f t="shared" si="4"/>
        <v>0</v>
      </c>
      <c r="E19">
        <f t="shared" si="5"/>
        <v>0</v>
      </c>
      <c r="F19">
        <f t="shared" si="6"/>
        <v>0</v>
      </c>
      <c r="G19">
        <f t="shared" si="7"/>
        <v>0</v>
      </c>
      <c r="H19">
        <f t="shared" si="7"/>
        <v>0</v>
      </c>
      <c r="I19">
        <f t="shared" si="7"/>
        <v>0</v>
      </c>
      <c r="J19">
        <f t="shared" si="7"/>
        <v>0</v>
      </c>
      <c r="K19" t="e">
        <f t="shared" si="11"/>
        <v>#VALUE!</v>
      </c>
      <c r="L19" t="e">
        <f t="shared" si="11"/>
        <v>#VALUE!</v>
      </c>
      <c r="M19" t="e">
        <f t="shared" si="9"/>
        <v>#VALUE!</v>
      </c>
      <c r="N19" t="e">
        <f t="shared" si="9"/>
        <v>#VALUE!</v>
      </c>
      <c r="Q19" s="113"/>
      <c r="S19" s="2"/>
      <c r="T19" s="45"/>
    </row>
    <row r="20" spans="1:20" x14ac:dyDescent="0.2">
      <c r="A20">
        <v>6.8</v>
      </c>
      <c r="B20">
        <f t="shared" si="2"/>
        <v>0</v>
      </c>
      <c r="C20">
        <f t="shared" si="3"/>
        <v>0</v>
      </c>
      <c r="D20">
        <f t="shared" si="4"/>
        <v>0</v>
      </c>
      <c r="E20">
        <f t="shared" si="5"/>
        <v>0</v>
      </c>
      <c r="F20">
        <f t="shared" si="6"/>
        <v>0</v>
      </c>
      <c r="G20">
        <f t="shared" si="7"/>
        <v>0</v>
      </c>
      <c r="H20">
        <f t="shared" si="7"/>
        <v>0</v>
      </c>
      <c r="I20">
        <f t="shared" si="7"/>
        <v>0</v>
      </c>
      <c r="J20">
        <f t="shared" si="7"/>
        <v>0</v>
      </c>
      <c r="K20" t="e">
        <f t="shared" si="11"/>
        <v>#VALUE!</v>
      </c>
      <c r="L20" t="e">
        <f t="shared" si="11"/>
        <v>#VALUE!</v>
      </c>
      <c r="M20" t="e">
        <f t="shared" si="9"/>
        <v>#VALUE!</v>
      </c>
      <c r="N20" t="e">
        <f t="shared" si="9"/>
        <v>#VALUE!</v>
      </c>
      <c r="Q20" s="113"/>
      <c r="S20" s="2"/>
      <c r="T20" s="45"/>
    </row>
    <row r="21" spans="1:20" x14ac:dyDescent="0.2">
      <c r="A21">
        <v>8.1999999999999993</v>
      </c>
      <c r="B21">
        <f t="shared" si="2"/>
        <v>0</v>
      </c>
      <c r="C21">
        <f t="shared" si="3"/>
        <v>0</v>
      </c>
      <c r="D21">
        <f t="shared" si="4"/>
        <v>0</v>
      </c>
      <c r="E21">
        <f t="shared" si="5"/>
        <v>0</v>
      </c>
      <c r="F21">
        <f t="shared" si="6"/>
        <v>0</v>
      </c>
      <c r="G21">
        <f t="shared" si="7"/>
        <v>0</v>
      </c>
      <c r="H21">
        <f t="shared" si="7"/>
        <v>0</v>
      </c>
      <c r="I21">
        <f t="shared" si="7"/>
        <v>0</v>
      </c>
      <c r="J21">
        <f t="shared" si="7"/>
        <v>0</v>
      </c>
      <c r="K21" t="e">
        <f t="shared" si="11"/>
        <v>#VALUE!</v>
      </c>
      <c r="L21" t="e">
        <f t="shared" si="11"/>
        <v>#VALUE!</v>
      </c>
      <c r="M21" t="e">
        <f t="shared" si="9"/>
        <v>#VALUE!</v>
      </c>
      <c r="N21" t="e">
        <f t="shared" si="9"/>
        <v>#VALUE!</v>
      </c>
      <c r="Q21" s="113" t="s">
        <v>310</v>
      </c>
      <c r="R21">
        <f>Cdither_init</f>
        <v>2.0226537216828479E-9</v>
      </c>
      <c r="S21" s="2">
        <f>H4</f>
        <v>2.1999999999999998E-9</v>
      </c>
    </row>
    <row r="22" spans="1:20" x14ac:dyDescent="0.2">
      <c r="A22">
        <v>10</v>
      </c>
      <c r="B22">
        <f t="shared" si="2"/>
        <v>0</v>
      </c>
      <c r="C22">
        <f t="shared" si="3"/>
        <v>0</v>
      </c>
      <c r="D22">
        <f t="shared" si="4"/>
        <v>0</v>
      </c>
      <c r="E22">
        <f t="shared" si="5"/>
        <v>0</v>
      </c>
      <c r="F22">
        <f t="shared" si="6"/>
        <v>0</v>
      </c>
      <c r="G22">
        <f t="shared" si="7"/>
        <v>0</v>
      </c>
      <c r="H22">
        <f t="shared" si="7"/>
        <v>0</v>
      </c>
      <c r="I22">
        <f t="shared" si="7"/>
        <v>0</v>
      </c>
      <c r="J22">
        <f t="shared" si="7"/>
        <v>0</v>
      </c>
      <c r="K22" t="e">
        <f t="shared" ref="K22:L84" si="12">IF(IF((K$3*10^12-$A23)*(K$3*10^12-$A22)*-1&lt;0,0,1)*IF(ABS(K$3*10^12-$A23)&gt;(K$3*10^12-$A22),$A22,$A23)=K23,0,IF((K$3*10^12-$A23)*(K$3*10^12-$A22)*-1&lt;0,0,1)*IF(ABS(K$3*10^12-$A23)&gt;(K$3*10^12-$A22),$A22,$A23))</f>
        <v>#VALUE!</v>
      </c>
      <c r="L22" t="e">
        <f t="shared" si="12"/>
        <v>#VALUE!</v>
      </c>
      <c r="M22" t="e">
        <f t="shared" si="9"/>
        <v>#VALUE!</v>
      </c>
      <c r="N22" t="e">
        <f t="shared" si="9"/>
        <v>#VALUE!</v>
      </c>
    </row>
    <row r="23" spans="1:20" x14ac:dyDescent="0.2">
      <c r="A23">
        <v>12</v>
      </c>
      <c r="B23">
        <f t="shared" si="2"/>
        <v>0</v>
      </c>
      <c r="C23">
        <f t="shared" si="3"/>
        <v>0</v>
      </c>
      <c r="D23">
        <f t="shared" si="4"/>
        <v>0</v>
      </c>
      <c r="E23">
        <f t="shared" si="5"/>
        <v>0</v>
      </c>
      <c r="F23">
        <f t="shared" si="6"/>
        <v>0</v>
      </c>
      <c r="G23">
        <f t="shared" si="7"/>
        <v>0</v>
      </c>
      <c r="H23">
        <f t="shared" si="7"/>
        <v>0</v>
      </c>
      <c r="I23">
        <f t="shared" si="7"/>
        <v>0</v>
      </c>
      <c r="J23">
        <f t="shared" si="7"/>
        <v>0</v>
      </c>
      <c r="K23" t="e">
        <f t="shared" si="12"/>
        <v>#VALUE!</v>
      </c>
      <c r="L23" t="e">
        <f t="shared" si="12"/>
        <v>#VALUE!</v>
      </c>
      <c r="M23" t="e">
        <f t="shared" si="9"/>
        <v>#VALUE!</v>
      </c>
      <c r="N23" t="e">
        <f t="shared" si="9"/>
        <v>#VALUE!</v>
      </c>
      <c r="Q23" s="113" t="s">
        <v>798</v>
      </c>
      <c r="R23" t="e">
        <f>K4</f>
        <v>#VALUE!</v>
      </c>
      <c r="S23" s="2" t="e">
        <f>R23*1000000</f>
        <v>#VALUE!</v>
      </c>
      <c r="T23" s="113" t="s">
        <v>23</v>
      </c>
    </row>
    <row r="24" spans="1:20" x14ac:dyDescent="0.2">
      <c r="A24">
        <v>15</v>
      </c>
      <c r="B24">
        <f t="shared" si="2"/>
        <v>0</v>
      </c>
      <c r="C24">
        <f t="shared" si="3"/>
        <v>0</v>
      </c>
      <c r="D24">
        <f t="shared" si="4"/>
        <v>0</v>
      </c>
      <c r="E24">
        <f t="shared" si="5"/>
        <v>0</v>
      </c>
      <c r="F24">
        <f t="shared" si="6"/>
        <v>0</v>
      </c>
      <c r="G24">
        <f t="shared" si="7"/>
        <v>0</v>
      </c>
      <c r="H24">
        <f t="shared" si="7"/>
        <v>0</v>
      </c>
      <c r="I24">
        <f t="shared" si="7"/>
        <v>0</v>
      </c>
      <c r="J24">
        <f t="shared" si="7"/>
        <v>0</v>
      </c>
      <c r="K24" t="e">
        <f t="shared" si="12"/>
        <v>#VALUE!</v>
      </c>
      <c r="L24" t="e">
        <f t="shared" si="12"/>
        <v>#VALUE!</v>
      </c>
      <c r="M24" t="e">
        <f t="shared" si="9"/>
        <v>#VALUE!</v>
      </c>
      <c r="N24" t="e">
        <f t="shared" si="9"/>
        <v>#VALUE!</v>
      </c>
      <c r="Q24" s="113" t="s">
        <v>765</v>
      </c>
      <c r="R24" s="300" t="e">
        <f>Cinj_AEF</f>
        <v>#VALUE!</v>
      </c>
      <c r="S24" s="2" t="e">
        <f>M4*1000000</f>
        <v>#VALUE!</v>
      </c>
      <c r="T24" t="s">
        <v>23</v>
      </c>
    </row>
    <row r="25" spans="1:20" x14ac:dyDescent="0.2">
      <c r="A25">
        <v>18</v>
      </c>
      <c r="B25">
        <f t="shared" si="2"/>
        <v>0</v>
      </c>
      <c r="C25">
        <f t="shared" si="3"/>
        <v>0</v>
      </c>
      <c r="D25">
        <f t="shared" si="4"/>
        <v>0</v>
      </c>
      <c r="E25">
        <f t="shared" si="5"/>
        <v>0</v>
      </c>
      <c r="F25">
        <f t="shared" si="6"/>
        <v>0</v>
      </c>
      <c r="G25">
        <f t="shared" si="7"/>
        <v>0</v>
      </c>
      <c r="H25">
        <f t="shared" si="7"/>
        <v>0</v>
      </c>
      <c r="I25">
        <f t="shared" si="7"/>
        <v>0</v>
      </c>
      <c r="J25">
        <f t="shared" si="7"/>
        <v>0</v>
      </c>
      <c r="K25" t="e">
        <f t="shared" si="12"/>
        <v>#VALUE!</v>
      </c>
      <c r="L25" t="e">
        <f t="shared" si="12"/>
        <v>#VALUE!</v>
      </c>
      <c r="M25" t="e">
        <f t="shared" si="9"/>
        <v>#VALUE!</v>
      </c>
      <c r="N25" t="e">
        <f t="shared" si="9"/>
        <v>#VALUE!</v>
      </c>
      <c r="Q25" t="s">
        <v>769</v>
      </c>
      <c r="R25" s="348" t="e">
        <f>'Variable Management'!B295</f>
        <v>#VALUE!</v>
      </c>
      <c r="S25" t="e">
        <f>N4*1000000</f>
        <v>#VALUE!</v>
      </c>
      <c r="T25" t="s">
        <v>23</v>
      </c>
    </row>
    <row r="26" spans="1:20" x14ac:dyDescent="0.2">
      <c r="A26">
        <v>22</v>
      </c>
      <c r="B26">
        <f t="shared" si="2"/>
        <v>0</v>
      </c>
      <c r="C26">
        <f t="shared" si="3"/>
        <v>0</v>
      </c>
      <c r="D26">
        <f t="shared" si="4"/>
        <v>0</v>
      </c>
      <c r="E26">
        <f t="shared" si="5"/>
        <v>0</v>
      </c>
      <c r="F26">
        <f t="shared" si="6"/>
        <v>0</v>
      </c>
      <c r="G26">
        <f t="shared" si="7"/>
        <v>0</v>
      </c>
      <c r="H26">
        <f t="shared" si="7"/>
        <v>0</v>
      </c>
      <c r="I26">
        <f t="shared" si="7"/>
        <v>0</v>
      </c>
      <c r="J26">
        <f t="shared" si="7"/>
        <v>0</v>
      </c>
      <c r="K26" t="e">
        <f t="shared" si="12"/>
        <v>#VALUE!</v>
      </c>
      <c r="L26" t="e">
        <f t="shared" si="12"/>
        <v>#VALUE!</v>
      </c>
      <c r="M26" t="e">
        <f t="shared" si="9"/>
        <v>#VALUE!</v>
      </c>
      <c r="N26" t="e">
        <f t="shared" si="9"/>
        <v>#VALUE!</v>
      </c>
      <c r="Q26" s="113" t="s">
        <v>766</v>
      </c>
      <c r="R26" s="348" t="e">
        <f>'Variable Management'!B296</f>
        <v>#VALUE!</v>
      </c>
      <c r="S26" s="2" t="e">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#VALUE!</v>
      </c>
      <c r="T26" s="45" t="s">
        <v>260</v>
      </c>
    </row>
    <row r="27" spans="1:20" x14ac:dyDescent="0.2">
      <c r="A27">
        <v>27</v>
      </c>
      <c r="B27">
        <f t="shared" si="2"/>
        <v>0</v>
      </c>
      <c r="C27">
        <f t="shared" si="3"/>
        <v>0</v>
      </c>
      <c r="D27">
        <f t="shared" si="4"/>
        <v>0</v>
      </c>
      <c r="E27">
        <f t="shared" si="5"/>
        <v>0</v>
      </c>
      <c r="F27">
        <f t="shared" si="6"/>
        <v>0</v>
      </c>
      <c r="G27">
        <f t="shared" si="7"/>
        <v>0</v>
      </c>
      <c r="H27">
        <f t="shared" si="7"/>
        <v>0</v>
      </c>
      <c r="I27">
        <f t="shared" si="7"/>
        <v>0</v>
      </c>
      <c r="J27">
        <f t="shared" si="7"/>
        <v>0</v>
      </c>
      <c r="K27" t="e">
        <f t="shared" si="12"/>
        <v>#VALUE!</v>
      </c>
      <c r="L27" t="e">
        <f t="shared" si="12"/>
        <v>#VALUE!</v>
      </c>
      <c r="M27" t="e">
        <f t="shared" ref="M27:N42" si="13">IF(IF((M$3*10^12-$A28)*(M$3*10^12-$A27)*-1&lt;0,0,1)*IF(ABS(M$3*10^12-$A28)&gt;(M$3*10^12-$A27),$A27,$A28)=M28,0,IF((M$3*10^12-$A28)*(M$3*10^12-$A27)*-1&lt;0,0,1)*IF(ABS(M$3*10^12-$A28)&gt;(M$3*10^12-$A27),$A27,$A28))</f>
        <v>#VALUE!</v>
      </c>
      <c r="N27" t="e">
        <f t="shared" si="13"/>
        <v>#VALUE!</v>
      </c>
      <c r="Q27" s="113" t="s">
        <v>799</v>
      </c>
      <c r="R27" t="e">
        <f>SQRT(L_infilterStd/K4)</f>
        <v>#VALUE!</v>
      </c>
      <c r="S27" s="2" t="e">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#VALUE!</v>
      </c>
      <c r="T27" s="45" t="s">
        <v>260</v>
      </c>
    </row>
    <row r="28" spans="1:20" x14ac:dyDescent="0.2">
      <c r="A28">
        <v>33</v>
      </c>
      <c r="B28">
        <f t="shared" si="2"/>
        <v>0</v>
      </c>
      <c r="C28">
        <f t="shared" si="3"/>
        <v>0</v>
      </c>
      <c r="D28">
        <f t="shared" si="4"/>
        <v>0</v>
      </c>
      <c r="E28">
        <f t="shared" si="5"/>
        <v>0</v>
      </c>
      <c r="F28">
        <f t="shared" si="6"/>
        <v>0</v>
      </c>
      <c r="G28">
        <f t="shared" si="7"/>
        <v>0</v>
      </c>
      <c r="H28">
        <f t="shared" si="7"/>
        <v>0</v>
      </c>
      <c r="I28">
        <f t="shared" si="7"/>
        <v>0</v>
      </c>
      <c r="J28">
        <f t="shared" si="7"/>
        <v>0</v>
      </c>
      <c r="K28" t="e">
        <f t="shared" si="12"/>
        <v>#VALUE!</v>
      </c>
      <c r="L28" t="e">
        <f t="shared" si="12"/>
        <v>#VALUE!</v>
      </c>
      <c r="M28" t="e">
        <f t="shared" si="13"/>
        <v>#VALUE!</v>
      </c>
      <c r="N28" t="e">
        <f t="shared" si="13"/>
        <v>#VALUE!</v>
      </c>
      <c r="Q28" s="113" t="s">
        <v>801</v>
      </c>
      <c r="R28" t="e">
        <f>L4</f>
        <v>#VALUE!</v>
      </c>
      <c r="S28" t="e">
        <f>R28*1000000</f>
        <v>#VALUE!</v>
      </c>
      <c r="T28" t="s">
        <v>23</v>
      </c>
    </row>
    <row r="29" spans="1:20" x14ac:dyDescent="0.2">
      <c r="A29">
        <v>39</v>
      </c>
      <c r="B29">
        <f t="shared" si="2"/>
        <v>0</v>
      </c>
      <c r="C29">
        <f t="shared" si="3"/>
        <v>0</v>
      </c>
      <c r="D29">
        <f t="shared" si="4"/>
        <v>47</v>
      </c>
      <c r="E29">
        <f t="shared" si="5"/>
        <v>0</v>
      </c>
      <c r="F29">
        <f t="shared" si="6"/>
        <v>0</v>
      </c>
      <c r="G29">
        <f t="shared" si="7"/>
        <v>0</v>
      </c>
      <c r="H29">
        <f t="shared" si="7"/>
        <v>0</v>
      </c>
      <c r="I29">
        <f t="shared" si="7"/>
        <v>0</v>
      </c>
      <c r="J29">
        <f t="shared" si="7"/>
        <v>0</v>
      </c>
      <c r="K29" t="e">
        <f t="shared" si="12"/>
        <v>#VALUE!</v>
      </c>
      <c r="L29" t="e">
        <f t="shared" si="12"/>
        <v>#VALUE!</v>
      </c>
      <c r="M29" t="e">
        <f t="shared" si="13"/>
        <v>#VALUE!</v>
      </c>
      <c r="N29" t="e">
        <f t="shared" si="13"/>
        <v>#VALUE!</v>
      </c>
      <c r="Q29" s="113"/>
    </row>
    <row r="30" spans="1:20" x14ac:dyDescent="0.2">
      <c r="A30">
        <v>47</v>
      </c>
      <c r="B30">
        <f t="shared" si="2"/>
        <v>0</v>
      </c>
      <c r="C30">
        <f t="shared" si="3"/>
        <v>0</v>
      </c>
      <c r="D30">
        <f t="shared" si="4"/>
        <v>0</v>
      </c>
      <c r="E30">
        <f t="shared" si="5"/>
        <v>0</v>
      </c>
      <c r="F30">
        <f t="shared" si="6"/>
        <v>0</v>
      </c>
      <c r="G30">
        <f t="shared" si="7"/>
        <v>0</v>
      </c>
      <c r="H30">
        <f t="shared" si="7"/>
        <v>0</v>
      </c>
      <c r="I30">
        <f t="shared" si="7"/>
        <v>0</v>
      </c>
      <c r="J30">
        <f t="shared" si="7"/>
        <v>0</v>
      </c>
      <c r="K30" t="e">
        <f t="shared" si="12"/>
        <v>#VALUE!</v>
      </c>
      <c r="L30" t="e">
        <f t="shared" si="12"/>
        <v>#VALUE!</v>
      </c>
      <c r="M30" t="e">
        <f t="shared" si="13"/>
        <v>#VALUE!</v>
      </c>
      <c r="N30" t="e">
        <f t="shared" si="13"/>
        <v>#VALUE!</v>
      </c>
    </row>
    <row r="31" spans="1:20" x14ac:dyDescent="0.2">
      <c r="A31">
        <v>56</v>
      </c>
      <c r="B31">
        <f t="shared" si="2"/>
        <v>0</v>
      </c>
      <c r="C31">
        <f t="shared" si="3"/>
        <v>0</v>
      </c>
      <c r="D31">
        <f t="shared" si="4"/>
        <v>0</v>
      </c>
      <c r="E31">
        <f t="shared" si="5"/>
        <v>0</v>
      </c>
      <c r="F31">
        <f t="shared" si="6"/>
        <v>0</v>
      </c>
      <c r="G31">
        <f t="shared" si="7"/>
        <v>0</v>
      </c>
      <c r="H31">
        <f t="shared" si="7"/>
        <v>0</v>
      </c>
      <c r="I31">
        <f t="shared" si="7"/>
        <v>0</v>
      </c>
      <c r="J31">
        <f t="shared" si="7"/>
        <v>0</v>
      </c>
      <c r="K31" t="e">
        <f t="shared" si="12"/>
        <v>#VALUE!</v>
      </c>
      <c r="L31" t="e">
        <f t="shared" si="12"/>
        <v>#VALUE!</v>
      </c>
      <c r="M31" t="e">
        <f t="shared" si="13"/>
        <v>#VALUE!</v>
      </c>
      <c r="N31" t="e">
        <f t="shared" si="13"/>
        <v>#VALUE!</v>
      </c>
    </row>
    <row r="32" spans="1:20" x14ac:dyDescent="0.2">
      <c r="A32">
        <v>68</v>
      </c>
      <c r="B32">
        <f t="shared" si="2"/>
        <v>0</v>
      </c>
      <c r="C32">
        <f t="shared" si="3"/>
        <v>0</v>
      </c>
      <c r="D32">
        <f t="shared" si="4"/>
        <v>0</v>
      </c>
      <c r="E32">
        <f t="shared" si="5"/>
        <v>0</v>
      </c>
      <c r="F32">
        <f t="shared" si="6"/>
        <v>0</v>
      </c>
      <c r="G32">
        <f t="shared" si="7"/>
        <v>0</v>
      </c>
      <c r="H32">
        <f t="shared" si="7"/>
        <v>0</v>
      </c>
      <c r="I32">
        <f t="shared" si="7"/>
        <v>0</v>
      </c>
      <c r="J32">
        <f t="shared" si="7"/>
        <v>0</v>
      </c>
      <c r="K32" t="e">
        <f t="shared" si="12"/>
        <v>#VALUE!</v>
      </c>
      <c r="L32" t="e">
        <f t="shared" si="12"/>
        <v>#VALUE!</v>
      </c>
      <c r="M32" t="e">
        <f t="shared" si="13"/>
        <v>#VALUE!</v>
      </c>
      <c r="N32" t="e">
        <f t="shared" si="13"/>
        <v>#VALUE!</v>
      </c>
      <c r="Q32" s="3" t="s">
        <v>168</v>
      </c>
      <c r="R32" t="str">
        <f>S7/1000&amp;" kΩ"</f>
        <v>12.4 kΩ</v>
      </c>
      <c r="S32">
        <f>S7/1000</f>
        <v>12.4</v>
      </c>
      <c r="T32" s="45" t="s">
        <v>237</v>
      </c>
    </row>
    <row r="33" spans="1:20" x14ac:dyDescent="0.2">
      <c r="A33">
        <v>82</v>
      </c>
      <c r="B33">
        <f t="shared" si="2"/>
        <v>0</v>
      </c>
      <c r="C33">
        <f t="shared" si="3"/>
        <v>0</v>
      </c>
      <c r="D33">
        <f t="shared" si="4"/>
        <v>0</v>
      </c>
      <c r="E33">
        <f t="shared" si="5"/>
        <v>0</v>
      </c>
      <c r="F33">
        <f t="shared" si="6"/>
        <v>0</v>
      </c>
      <c r="G33">
        <f t="shared" si="7"/>
        <v>0</v>
      </c>
      <c r="H33">
        <f t="shared" si="7"/>
        <v>0</v>
      </c>
      <c r="I33">
        <f t="shared" si="7"/>
        <v>0</v>
      </c>
      <c r="J33">
        <f t="shared" si="7"/>
        <v>0</v>
      </c>
      <c r="K33" t="e">
        <f t="shared" si="12"/>
        <v>#VALUE!</v>
      </c>
      <c r="L33" t="e">
        <f t="shared" si="12"/>
        <v>#VALUE!</v>
      </c>
      <c r="M33" t="e">
        <f t="shared" si="13"/>
        <v>#VALUE!</v>
      </c>
      <c r="N33" t="e">
        <f t="shared" si="13"/>
        <v>#VALUE!</v>
      </c>
      <c r="Q33" s="3" t="s">
        <v>166</v>
      </c>
      <c r="R33" t="str">
        <f>C4*1000000000&amp;" nF"</f>
        <v>3.3 nF</v>
      </c>
      <c r="S33">
        <f>C4*1000000000</f>
        <v>3.3000000000000003</v>
      </c>
      <c r="T33" s="113" t="s">
        <v>141</v>
      </c>
    </row>
    <row r="34" spans="1:20" x14ac:dyDescent="0.2">
      <c r="A34">
        <f>A22*10</f>
        <v>100</v>
      </c>
      <c r="B34">
        <f t="shared" si="2"/>
        <v>0</v>
      </c>
      <c r="C34">
        <f t="shared" si="3"/>
        <v>0</v>
      </c>
      <c r="D34">
        <f t="shared" si="4"/>
        <v>0</v>
      </c>
      <c r="E34">
        <f t="shared" si="5"/>
        <v>0</v>
      </c>
      <c r="F34">
        <f t="shared" si="6"/>
        <v>0</v>
      </c>
      <c r="G34">
        <f t="shared" si="7"/>
        <v>0</v>
      </c>
      <c r="H34">
        <f t="shared" si="7"/>
        <v>0</v>
      </c>
      <c r="I34">
        <f t="shared" si="7"/>
        <v>0</v>
      </c>
      <c r="J34">
        <f t="shared" si="7"/>
        <v>0</v>
      </c>
      <c r="K34" t="e">
        <f t="shared" si="12"/>
        <v>#VALUE!</v>
      </c>
      <c r="L34" t="e">
        <f t="shared" si="12"/>
        <v>#VALUE!</v>
      </c>
      <c r="M34" t="e">
        <f t="shared" si="13"/>
        <v>#VALUE!</v>
      </c>
      <c r="N34" t="e">
        <f t="shared" si="13"/>
        <v>#VALUE!</v>
      </c>
      <c r="Q34" s="3" t="s">
        <v>167</v>
      </c>
      <c r="R34" t="str">
        <f>D4*1000000000000&amp;" pF"</f>
        <v>47 pF</v>
      </c>
      <c r="S34">
        <f>D4*1000000000000</f>
        <v>47</v>
      </c>
      <c r="T34" s="113" t="s">
        <v>30</v>
      </c>
    </row>
    <row r="35" spans="1:20" x14ac:dyDescent="0.2">
      <c r="A35">
        <f t="shared" ref="A35:A98" si="14">A23*10</f>
        <v>120</v>
      </c>
      <c r="B35">
        <f t="shared" si="2"/>
        <v>0</v>
      </c>
      <c r="C35">
        <f t="shared" si="3"/>
        <v>0</v>
      </c>
      <c r="D35">
        <f t="shared" si="4"/>
        <v>0</v>
      </c>
      <c r="E35">
        <f t="shared" si="5"/>
        <v>0</v>
      </c>
      <c r="F35">
        <f t="shared" si="6"/>
        <v>0</v>
      </c>
      <c r="G35">
        <f t="shared" si="7"/>
        <v>0</v>
      </c>
      <c r="H35">
        <f t="shared" si="7"/>
        <v>0</v>
      </c>
      <c r="I35">
        <f t="shared" si="7"/>
        <v>0</v>
      </c>
      <c r="J35">
        <f t="shared" si="7"/>
        <v>0</v>
      </c>
      <c r="K35" t="e">
        <f t="shared" si="12"/>
        <v>#VALUE!</v>
      </c>
      <c r="L35" t="e">
        <f t="shared" si="12"/>
        <v>#VALUE!</v>
      </c>
      <c r="M35" t="e">
        <f t="shared" si="13"/>
        <v>#VALUE!</v>
      </c>
      <c r="N35" t="e">
        <f t="shared" si="13"/>
        <v>#VALUE!</v>
      </c>
      <c r="Q35" s="3"/>
      <c r="T35" s="45"/>
    </row>
    <row r="36" spans="1:20" x14ac:dyDescent="0.2">
      <c r="A36">
        <f t="shared" si="14"/>
        <v>150</v>
      </c>
      <c r="B36">
        <f t="shared" si="2"/>
        <v>0</v>
      </c>
      <c r="C36">
        <f t="shared" si="3"/>
        <v>0</v>
      </c>
      <c r="D36">
        <f t="shared" si="4"/>
        <v>0</v>
      </c>
      <c r="E36">
        <f t="shared" si="5"/>
        <v>0</v>
      </c>
      <c r="F36">
        <f t="shared" si="6"/>
        <v>0</v>
      </c>
      <c r="G36">
        <f t="shared" si="7"/>
        <v>0</v>
      </c>
      <c r="H36">
        <f t="shared" si="7"/>
        <v>0</v>
      </c>
      <c r="I36">
        <f t="shared" si="7"/>
        <v>0</v>
      </c>
      <c r="J36">
        <f t="shared" si="7"/>
        <v>0</v>
      </c>
      <c r="K36" t="e">
        <f t="shared" si="12"/>
        <v>#VALUE!</v>
      </c>
      <c r="L36" t="e">
        <f t="shared" si="12"/>
        <v>#VALUE!</v>
      </c>
      <c r="M36" t="e">
        <f t="shared" si="13"/>
        <v>#VALUE!</v>
      </c>
      <c r="N36" t="e">
        <f t="shared" si="13"/>
        <v>#VALUE!</v>
      </c>
      <c r="Q36" s="113" t="s">
        <v>658</v>
      </c>
      <c r="R36" t="e">
        <f>S8/1000&amp;" kΩ"</f>
        <v>#NUM!</v>
      </c>
      <c r="S36" t="e">
        <f>S8/1000</f>
        <v>#NUM!</v>
      </c>
      <c r="T36" s="45" t="s">
        <v>237</v>
      </c>
    </row>
    <row r="37" spans="1:20" x14ac:dyDescent="0.2">
      <c r="A37">
        <f t="shared" si="14"/>
        <v>180</v>
      </c>
      <c r="B37">
        <f t="shared" si="2"/>
        <v>0</v>
      </c>
      <c r="C37">
        <f t="shared" si="3"/>
        <v>0</v>
      </c>
      <c r="D37">
        <f t="shared" si="4"/>
        <v>0</v>
      </c>
      <c r="E37">
        <f t="shared" si="5"/>
        <v>0</v>
      </c>
      <c r="F37">
        <f t="shared" si="6"/>
        <v>0</v>
      </c>
      <c r="G37">
        <f t="shared" si="7"/>
        <v>0</v>
      </c>
      <c r="H37">
        <f t="shared" si="7"/>
        <v>0</v>
      </c>
      <c r="I37">
        <f t="shared" si="7"/>
        <v>0</v>
      </c>
      <c r="J37">
        <f t="shared" si="7"/>
        <v>0</v>
      </c>
      <c r="K37" t="e">
        <f t="shared" si="12"/>
        <v>#VALUE!</v>
      </c>
      <c r="L37" t="e">
        <f t="shared" si="12"/>
        <v>#VALUE!</v>
      </c>
      <c r="M37" t="e">
        <f t="shared" si="13"/>
        <v>#VALUE!</v>
      </c>
      <c r="N37" t="e">
        <f t="shared" si="13"/>
        <v>#VALUE!</v>
      </c>
      <c r="Q37" s="113" t="s">
        <v>659</v>
      </c>
      <c r="R37" t="str">
        <f>I4*1000000000&amp;" nF"</f>
        <v>0 nF</v>
      </c>
      <c r="S37">
        <f>I4*1000000000</f>
        <v>0</v>
      </c>
      <c r="T37" s="113" t="s">
        <v>141</v>
      </c>
    </row>
    <row r="38" spans="1:20" x14ac:dyDescent="0.2">
      <c r="A38">
        <f t="shared" si="14"/>
        <v>220</v>
      </c>
      <c r="B38">
        <f t="shared" si="2"/>
        <v>0</v>
      </c>
      <c r="C38">
        <f t="shared" si="3"/>
        <v>0</v>
      </c>
      <c r="D38">
        <f t="shared" si="4"/>
        <v>0</v>
      </c>
      <c r="E38">
        <f t="shared" si="5"/>
        <v>0</v>
      </c>
      <c r="F38">
        <f t="shared" si="6"/>
        <v>0</v>
      </c>
      <c r="G38">
        <f t="shared" si="7"/>
        <v>0</v>
      </c>
      <c r="H38">
        <f t="shared" si="7"/>
        <v>0</v>
      </c>
      <c r="I38">
        <f t="shared" si="7"/>
        <v>0</v>
      </c>
      <c r="J38">
        <f t="shared" si="7"/>
        <v>0</v>
      </c>
      <c r="K38" t="e">
        <f t="shared" si="12"/>
        <v>#VALUE!</v>
      </c>
      <c r="L38" t="e">
        <f t="shared" si="12"/>
        <v>#VALUE!</v>
      </c>
      <c r="M38" t="e">
        <f t="shared" si="13"/>
        <v>#VALUE!</v>
      </c>
      <c r="N38" t="e">
        <f t="shared" si="13"/>
        <v>#VALUE!</v>
      </c>
      <c r="Q38" s="113" t="s">
        <v>660</v>
      </c>
      <c r="R38" t="str">
        <f>J4*1000000000000&amp;" pF"</f>
        <v>0 pF</v>
      </c>
      <c r="S38">
        <f>J4*1000000000000</f>
        <v>0</v>
      </c>
      <c r="T38" s="113" t="s">
        <v>30</v>
      </c>
    </row>
    <row r="39" spans="1:20" x14ac:dyDescent="0.2">
      <c r="A39">
        <f t="shared" si="14"/>
        <v>270</v>
      </c>
      <c r="B39">
        <f t="shared" si="2"/>
        <v>0</v>
      </c>
      <c r="C39">
        <f t="shared" ref="C39:C70" si="15">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c r="K39" t="e">
        <f t="shared" si="12"/>
        <v>#VALUE!</v>
      </c>
      <c r="L39" t="e">
        <f t="shared" si="12"/>
        <v>#VALUE!</v>
      </c>
      <c r="M39" t="e">
        <f t="shared" si="13"/>
        <v>#VALUE!</v>
      </c>
      <c r="N39" t="e">
        <f t="shared" si="13"/>
        <v>#VALUE!</v>
      </c>
    </row>
    <row r="40" spans="1:20" x14ac:dyDescent="0.2">
      <c r="A40">
        <f t="shared" si="14"/>
        <v>330</v>
      </c>
      <c r="B40">
        <f t="shared" si="2"/>
        <v>0</v>
      </c>
      <c r="C40">
        <f t="shared" si="15"/>
        <v>0</v>
      </c>
      <c r="D40">
        <f t="shared" si="4"/>
        <v>0</v>
      </c>
      <c r="E40">
        <f t="shared" si="5"/>
        <v>0</v>
      </c>
      <c r="F40">
        <f t="shared" si="6"/>
        <v>0</v>
      </c>
      <c r="G40">
        <f t="shared" si="7"/>
        <v>0</v>
      </c>
      <c r="H40">
        <f t="shared" si="7"/>
        <v>0</v>
      </c>
      <c r="I40">
        <f t="shared" si="7"/>
        <v>0</v>
      </c>
      <c r="J40">
        <f t="shared" si="7"/>
        <v>0</v>
      </c>
      <c r="K40" t="e">
        <f t="shared" si="12"/>
        <v>#VALUE!</v>
      </c>
      <c r="L40" t="e">
        <f t="shared" si="12"/>
        <v>#VALUE!</v>
      </c>
      <c r="M40" t="e">
        <f t="shared" si="13"/>
        <v>#VALUE!</v>
      </c>
      <c r="N40" t="e">
        <f t="shared" si="13"/>
        <v>#VALUE!</v>
      </c>
      <c r="Q40" s="113" t="s">
        <v>867</v>
      </c>
      <c r="R40" s="4">
        <f>'Variable Management'!B186/1000</f>
        <v>199.99999999999997</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200</v>
      </c>
      <c r="T40" s="45" t="s">
        <v>237</v>
      </c>
    </row>
    <row r="41" spans="1:20" x14ac:dyDescent="0.2">
      <c r="A41">
        <f t="shared" si="14"/>
        <v>390</v>
      </c>
      <c r="B41">
        <f t="shared" si="2"/>
        <v>0</v>
      </c>
      <c r="C41">
        <f t="shared" si="15"/>
        <v>0</v>
      </c>
      <c r="D41">
        <f t="shared" si="4"/>
        <v>0</v>
      </c>
      <c r="E41">
        <f t="shared" si="5"/>
        <v>0</v>
      </c>
      <c r="F41">
        <f t="shared" si="6"/>
        <v>0</v>
      </c>
      <c r="G41">
        <f t="shared" si="7"/>
        <v>0</v>
      </c>
      <c r="H41">
        <f t="shared" si="7"/>
        <v>0</v>
      </c>
      <c r="I41">
        <f t="shared" si="7"/>
        <v>0</v>
      </c>
      <c r="J41">
        <f t="shared" si="7"/>
        <v>0</v>
      </c>
      <c r="K41" t="e">
        <f t="shared" si="12"/>
        <v>#VALUE!</v>
      </c>
      <c r="L41" t="e">
        <f t="shared" si="12"/>
        <v>#VALUE!</v>
      </c>
      <c r="M41" t="e">
        <f t="shared" si="13"/>
        <v>#VALUE!</v>
      </c>
      <c r="N41" t="e">
        <f t="shared" si="13"/>
        <v>#VALUE!</v>
      </c>
      <c r="Q41" s="113" t="s">
        <v>868</v>
      </c>
      <c r="R41">
        <f>'Variable Management'!B187/1000</f>
        <v>9.5238095238095237</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9.5299999999999994</v>
      </c>
      <c r="T41" s="45" t="s">
        <v>237</v>
      </c>
    </row>
    <row r="42" spans="1:20" x14ac:dyDescent="0.2">
      <c r="A42">
        <f t="shared" si="14"/>
        <v>470</v>
      </c>
      <c r="B42">
        <f t="shared" si="2"/>
        <v>0</v>
      </c>
      <c r="C42">
        <f t="shared" si="15"/>
        <v>0</v>
      </c>
      <c r="D42">
        <f t="shared" si="4"/>
        <v>0</v>
      </c>
      <c r="E42">
        <f t="shared" si="5"/>
        <v>0</v>
      </c>
      <c r="F42">
        <f t="shared" si="6"/>
        <v>0</v>
      </c>
      <c r="G42">
        <f t="shared" si="7"/>
        <v>0</v>
      </c>
      <c r="H42">
        <f t="shared" si="7"/>
        <v>0</v>
      </c>
      <c r="I42">
        <f t="shared" si="7"/>
        <v>0</v>
      </c>
      <c r="J42">
        <f t="shared" si="7"/>
        <v>0</v>
      </c>
      <c r="K42" t="e">
        <f t="shared" si="12"/>
        <v>#VALUE!</v>
      </c>
      <c r="L42" t="e">
        <f t="shared" si="12"/>
        <v>#VALUE!</v>
      </c>
      <c r="M42" t="e">
        <f t="shared" si="13"/>
        <v>#VALUE!</v>
      </c>
      <c r="N42" t="e">
        <f t="shared" si="13"/>
        <v>#VALUE!</v>
      </c>
    </row>
    <row r="43" spans="1:20" x14ac:dyDescent="0.2">
      <c r="A43">
        <f t="shared" si="14"/>
        <v>560</v>
      </c>
      <c r="B43">
        <f t="shared" si="2"/>
        <v>0</v>
      </c>
      <c r="C43">
        <f t="shared" si="15"/>
        <v>0</v>
      </c>
      <c r="D43">
        <f t="shared" si="4"/>
        <v>0</v>
      </c>
      <c r="E43">
        <f t="shared" si="5"/>
        <v>0</v>
      </c>
      <c r="F43">
        <f t="shared" si="6"/>
        <v>0</v>
      </c>
      <c r="G43">
        <f t="shared" si="7"/>
        <v>0</v>
      </c>
      <c r="H43">
        <f t="shared" si="7"/>
        <v>0</v>
      </c>
      <c r="I43">
        <f t="shared" si="7"/>
        <v>0</v>
      </c>
      <c r="J43">
        <f t="shared" si="7"/>
        <v>0</v>
      </c>
      <c r="K43" t="e">
        <f t="shared" si="12"/>
        <v>#VALUE!</v>
      </c>
      <c r="L43" t="e">
        <f t="shared" si="12"/>
        <v>#VALUE!</v>
      </c>
      <c r="M43" t="e">
        <f t="shared" ref="M43:N58" si="16">IF(IF((M$3*10^12-$A44)*(M$3*10^12-$A43)*-1&lt;0,0,1)*IF(ABS(M$3*10^12-$A44)&gt;(M$3*10^12-$A43),$A43,$A44)=M44,0,IF((M$3*10^12-$A44)*(M$3*10^12-$A43)*-1&lt;0,0,1)*IF(ABS(M$3*10^12-$A44)&gt;(M$3*10^12-$A43),$A43,$A44))</f>
        <v>#VALUE!</v>
      </c>
      <c r="N43" t="e">
        <f t="shared" si="16"/>
        <v>#VALUE!</v>
      </c>
    </row>
    <row r="44" spans="1:20" x14ac:dyDescent="0.2">
      <c r="A44">
        <f t="shared" si="14"/>
        <v>680</v>
      </c>
      <c r="B44">
        <f t="shared" si="2"/>
        <v>0</v>
      </c>
      <c r="C44">
        <f t="shared" si="15"/>
        <v>0</v>
      </c>
      <c r="D44">
        <f t="shared" si="4"/>
        <v>0</v>
      </c>
      <c r="E44">
        <f t="shared" si="5"/>
        <v>0</v>
      </c>
      <c r="F44">
        <f t="shared" si="6"/>
        <v>0</v>
      </c>
      <c r="G44">
        <f t="shared" si="7"/>
        <v>0</v>
      </c>
      <c r="H44">
        <f t="shared" si="7"/>
        <v>0</v>
      </c>
      <c r="I44">
        <f t="shared" si="7"/>
        <v>0</v>
      </c>
      <c r="J44">
        <f t="shared" si="7"/>
        <v>0</v>
      </c>
      <c r="K44" t="e">
        <f t="shared" si="12"/>
        <v>#VALUE!</v>
      </c>
      <c r="L44" t="e">
        <f t="shared" si="12"/>
        <v>#VALUE!</v>
      </c>
      <c r="M44" t="e">
        <f t="shared" si="16"/>
        <v>#VALUE!</v>
      </c>
      <c r="N44" t="e">
        <f t="shared" si="16"/>
        <v>#VALUE!</v>
      </c>
    </row>
    <row r="45" spans="1:20" x14ac:dyDescent="0.2">
      <c r="A45">
        <f>A33*10</f>
        <v>820</v>
      </c>
      <c r="B45">
        <f t="shared" si="2"/>
        <v>0</v>
      </c>
      <c r="C45">
        <f t="shared" si="15"/>
        <v>0</v>
      </c>
      <c r="D45">
        <f t="shared" si="4"/>
        <v>0</v>
      </c>
      <c r="E45">
        <f t="shared" si="5"/>
        <v>0</v>
      </c>
      <c r="F45">
        <f t="shared" si="6"/>
        <v>0</v>
      </c>
      <c r="G45">
        <f t="shared" si="7"/>
        <v>0</v>
      </c>
      <c r="H45">
        <f t="shared" si="7"/>
        <v>0</v>
      </c>
      <c r="I45">
        <f t="shared" si="7"/>
        <v>0</v>
      </c>
      <c r="J45">
        <f t="shared" si="7"/>
        <v>0</v>
      </c>
      <c r="K45" t="e">
        <f t="shared" si="12"/>
        <v>#VALUE!</v>
      </c>
      <c r="L45" t="e">
        <f t="shared" si="12"/>
        <v>#VALUE!</v>
      </c>
      <c r="M45" t="e">
        <f t="shared" si="16"/>
        <v>#VALUE!</v>
      </c>
      <c r="N45" t="e">
        <f t="shared" si="16"/>
        <v>#VALUE!</v>
      </c>
    </row>
    <row r="46" spans="1:20" x14ac:dyDescent="0.2">
      <c r="A46">
        <f t="shared" si="14"/>
        <v>1000</v>
      </c>
      <c r="B46">
        <f t="shared" si="2"/>
        <v>0</v>
      </c>
      <c r="C46">
        <f t="shared" si="15"/>
        <v>0</v>
      </c>
      <c r="D46">
        <f t="shared" si="4"/>
        <v>0</v>
      </c>
      <c r="E46">
        <f t="shared" si="5"/>
        <v>0</v>
      </c>
      <c r="F46">
        <f t="shared" si="6"/>
        <v>0</v>
      </c>
      <c r="G46">
        <f t="shared" si="7"/>
        <v>0</v>
      </c>
      <c r="H46">
        <f t="shared" si="7"/>
        <v>0</v>
      </c>
      <c r="I46">
        <f t="shared" si="7"/>
        <v>0</v>
      </c>
      <c r="J46">
        <f t="shared" si="7"/>
        <v>0</v>
      </c>
      <c r="K46" t="e">
        <f t="shared" si="12"/>
        <v>#VALUE!</v>
      </c>
      <c r="L46" t="e">
        <f t="shared" si="12"/>
        <v>#VALUE!</v>
      </c>
      <c r="M46" t="e">
        <f t="shared" si="16"/>
        <v>#VALUE!</v>
      </c>
      <c r="N46" t="e">
        <f t="shared" si="16"/>
        <v>#VALUE!</v>
      </c>
    </row>
    <row r="47" spans="1:20" x14ac:dyDescent="0.2">
      <c r="A47">
        <f t="shared" si="14"/>
        <v>1200</v>
      </c>
      <c r="B47">
        <f t="shared" si="2"/>
        <v>0</v>
      </c>
      <c r="C47">
        <f t="shared" si="15"/>
        <v>0</v>
      </c>
      <c r="D47">
        <f t="shared" si="4"/>
        <v>0</v>
      </c>
      <c r="E47">
        <f t="shared" si="5"/>
        <v>0</v>
      </c>
      <c r="F47">
        <f t="shared" si="6"/>
        <v>0</v>
      </c>
      <c r="G47">
        <f t="shared" si="7"/>
        <v>0</v>
      </c>
      <c r="H47">
        <f t="shared" si="7"/>
        <v>0</v>
      </c>
      <c r="I47">
        <f t="shared" si="7"/>
        <v>0</v>
      </c>
      <c r="J47">
        <f t="shared" si="7"/>
        <v>0</v>
      </c>
      <c r="K47" t="e">
        <f t="shared" si="12"/>
        <v>#VALUE!</v>
      </c>
      <c r="L47" t="e">
        <f t="shared" si="12"/>
        <v>#VALUE!</v>
      </c>
      <c r="M47" t="e">
        <f t="shared" si="16"/>
        <v>#VALUE!</v>
      </c>
      <c r="N47" t="e">
        <f t="shared" si="16"/>
        <v>#VALUE!</v>
      </c>
    </row>
    <row r="48" spans="1:20" x14ac:dyDescent="0.2">
      <c r="A48">
        <f t="shared" si="14"/>
        <v>1500</v>
      </c>
      <c r="B48">
        <f t="shared" si="2"/>
        <v>0</v>
      </c>
      <c r="C48">
        <f t="shared" si="15"/>
        <v>0</v>
      </c>
      <c r="D48">
        <f t="shared" si="4"/>
        <v>0</v>
      </c>
      <c r="E48">
        <f t="shared" si="5"/>
        <v>0</v>
      </c>
      <c r="F48">
        <f t="shared" si="6"/>
        <v>0</v>
      </c>
      <c r="G48">
        <f t="shared" si="7"/>
        <v>0</v>
      </c>
      <c r="H48">
        <f t="shared" si="7"/>
        <v>0</v>
      </c>
      <c r="I48">
        <f t="shared" si="7"/>
        <v>0</v>
      </c>
      <c r="J48">
        <f t="shared" si="7"/>
        <v>0</v>
      </c>
      <c r="K48" t="e">
        <f t="shared" si="12"/>
        <v>#VALUE!</v>
      </c>
      <c r="L48" t="e">
        <f t="shared" si="12"/>
        <v>#VALUE!</v>
      </c>
      <c r="M48" t="e">
        <f t="shared" si="16"/>
        <v>#VALUE!</v>
      </c>
      <c r="N48" t="e">
        <f t="shared" si="16"/>
        <v>#VALUE!</v>
      </c>
    </row>
    <row r="49" spans="1:14" x14ac:dyDescent="0.2">
      <c r="A49">
        <f t="shared" si="14"/>
        <v>1800</v>
      </c>
      <c r="B49">
        <f t="shared" si="2"/>
        <v>0</v>
      </c>
      <c r="C49">
        <f t="shared" si="15"/>
        <v>0</v>
      </c>
      <c r="D49">
        <f t="shared" si="4"/>
        <v>0</v>
      </c>
      <c r="E49">
        <f t="shared" si="5"/>
        <v>0</v>
      </c>
      <c r="F49">
        <f t="shared" si="6"/>
        <v>0</v>
      </c>
      <c r="G49">
        <f t="shared" si="7"/>
        <v>0</v>
      </c>
      <c r="H49">
        <f t="shared" si="7"/>
        <v>2200</v>
      </c>
      <c r="I49">
        <f t="shared" si="7"/>
        <v>0</v>
      </c>
      <c r="J49">
        <f t="shared" si="7"/>
        <v>0</v>
      </c>
      <c r="K49" t="e">
        <f t="shared" si="12"/>
        <v>#VALUE!</v>
      </c>
      <c r="L49" t="e">
        <f t="shared" si="12"/>
        <v>#VALUE!</v>
      </c>
      <c r="M49" t="e">
        <f t="shared" si="16"/>
        <v>#VALUE!</v>
      </c>
      <c r="N49" t="e">
        <f t="shared" si="16"/>
        <v>#VALUE!</v>
      </c>
    </row>
    <row r="50" spans="1:14" x14ac:dyDescent="0.2">
      <c r="A50">
        <f t="shared" si="14"/>
        <v>2200</v>
      </c>
      <c r="B50">
        <f t="shared" si="2"/>
        <v>0</v>
      </c>
      <c r="C50">
        <f t="shared" si="15"/>
        <v>0</v>
      </c>
      <c r="D50">
        <f t="shared" si="4"/>
        <v>0</v>
      </c>
      <c r="E50">
        <f t="shared" si="5"/>
        <v>0</v>
      </c>
      <c r="F50">
        <f t="shared" si="6"/>
        <v>0</v>
      </c>
      <c r="G50">
        <f t="shared" si="7"/>
        <v>0</v>
      </c>
      <c r="H50">
        <f t="shared" si="7"/>
        <v>0</v>
      </c>
      <c r="I50">
        <f t="shared" si="7"/>
        <v>0</v>
      </c>
      <c r="J50">
        <f t="shared" si="7"/>
        <v>0</v>
      </c>
      <c r="K50" t="e">
        <f t="shared" si="12"/>
        <v>#VALUE!</v>
      </c>
      <c r="L50" t="e">
        <f t="shared" si="12"/>
        <v>#VALUE!</v>
      </c>
      <c r="M50" t="e">
        <f t="shared" si="16"/>
        <v>#VALUE!</v>
      </c>
      <c r="N50" t="e">
        <f t="shared" si="16"/>
        <v>#VALUE!</v>
      </c>
    </row>
    <row r="51" spans="1:14" x14ac:dyDescent="0.2">
      <c r="A51">
        <f t="shared" si="14"/>
        <v>2700</v>
      </c>
      <c r="B51">
        <f t="shared" si="2"/>
        <v>0</v>
      </c>
      <c r="C51">
        <f t="shared" si="15"/>
        <v>3300</v>
      </c>
      <c r="D51">
        <f t="shared" si="4"/>
        <v>0</v>
      </c>
      <c r="E51">
        <f t="shared" si="5"/>
        <v>0</v>
      </c>
      <c r="F51">
        <f t="shared" si="6"/>
        <v>0</v>
      </c>
      <c r="G51">
        <f t="shared" si="7"/>
        <v>0</v>
      </c>
      <c r="H51">
        <f t="shared" si="7"/>
        <v>0</v>
      </c>
      <c r="I51">
        <f t="shared" si="7"/>
        <v>0</v>
      </c>
      <c r="J51">
        <f t="shared" si="7"/>
        <v>0</v>
      </c>
      <c r="K51" t="e">
        <f t="shared" si="12"/>
        <v>#VALUE!</v>
      </c>
      <c r="L51" t="e">
        <f t="shared" si="12"/>
        <v>#VALUE!</v>
      </c>
      <c r="M51" t="e">
        <f t="shared" si="16"/>
        <v>#VALUE!</v>
      </c>
      <c r="N51" t="e">
        <f t="shared" si="16"/>
        <v>#VALUE!</v>
      </c>
    </row>
    <row r="52" spans="1:14" x14ac:dyDescent="0.2">
      <c r="A52">
        <f t="shared" si="14"/>
        <v>3300</v>
      </c>
      <c r="B52">
        <f t="shared" si="2"/>
        <v>0</v>
      </c>
      <c r="C52">
        <f t="shared" si="15"/>
        <v>0</v>
      </c>
      <c r="D52">
        <f t="shared" si="4"/>
        <v>0</v>
      </c>
      <c r="E52">
        <f t="shared" si="5"/>
        <v>0</v>
      </c>
      <c r="F52">
        <f t="shared" si="6"/>
        <v>0</v>
      </c>
      <c r="G52">
        <f t="shared" si="7"/>
        <v>0</v>
      </c>
      <c r="H52">
        <f t="shared" si="7"/>
        <v>0</v>
      </c>
      <c r="I52">
        <f t="shared" si="7"/>
        <v>0</v>
      </c>
      <c r="J52">
        <f t="shared" si="7"/>
        <v>0</v>
      </c>
      <c r="K52" t="e">
        <f t="shared" si="12"/>
        <v>#VALUE!</v>
      </c>
      <c r="L52" t="e">
        <f t="shared" si="12"/>
        <v>#VALUE!</v>
      </c>
      <c r="M52" t="e">
        <f t="shared" si="16"/>
        <v>#VALUE!</v>
      </c>
      <c r="N52" t="e">
        <f t="shared" si="16"/>
        <v>#VALUE!</v>
      </c>
    </row>
    <row r="53" spans="1:14" x14ac:dyDescent="0.2">
      <c r="A53">
        <f t="shared" si="14"/>
        <v>3900</v>
      </c>
      <c r="B53">
        <f t="shared" si="2"/>
        <v>0</v>
      </c>
      <c r="C53">
        <f t="shared" si="15"/>
        <v>0</v>
      </c>
      <c r="D53">
        <f t="shared" si="4"/>
        <v>0</v>
      </c>
      <c r="E53">
        <f t="shared" si="5"/>
        <v>0</v>
      </c>
      <c r="F53">
        <f t="shared" si="6"/>
        <v>0</v>
      </c>
      <c r="G53">
        <f t="shared" si="7"/>
        <v>0</v>
      </c>
      <c r="H53">
        <f t="shared" si="7"/>
        <v>0</v>
      </c>
      <c r="I53">
        <f t="shared" si="7"/>
        <v>0</v>
      </c>
      <c r="J53">
        <f t="shared" si="7"/>
        <v>0</v>
      </c>
      <c r="K53" t="e">
        <f t="shared" si="12"/>
        <v>#VALUE!</v>
      </c>
      <c r="L53" t="e">
        <f t="shared" si="12"/>
        <v>#VALUE!</v>
      </c>
      <c r="M53" t="e">
        <f t="shared" si="16"/>
        <v>#VALUE!</v>
      </c>
      <c r="N53" t="e">
        <f t="shared" si="16"/>
        <v>#VALUE!</v>
      </c>
    </row>
    <row r="54" spans="1:14" x14ac:dyDescent="0.2">
      <c r="A54">
        <f t="shared" si="14"/>
        <v>4700</v>
      </c>
      <c r="B54">
        <f t="shared" si="2"/>
        <v>0</v>
      </c>
      <c r="C54">
        <f t="shared" si="15"/>
        <v>0</v>
      </c>
      <c r="D54">
        <f t="shared" si="4"/>
        <v>0</v>
      </c>
      <c r="E54">
        <f t="shared" si="5"/>
        <v>0</v>
      </c>
      <c r="F54">
        <f t="shared" si="6"/>
        <v>0</v>
      </c>
      <c r="G54">
        <f t="shared" si="7"/>
        <v>0</v>
      </c>
      <c r="H54">
        <f t="shared" si="7"/>
        <v>0</v>
      </c>
      <c r="I54">
        <f t="shared" si="7"/>
        <v>0</v>
      </c>
      <c r="J54">
        <f t="shared" si="7"/>
        <v>0</v>
      </c>
      <c r="K54" t="e">
        <f t="shared" si="12"/>
        <v>#VALUE!</v>
      </c>
      <c r="L54" t="e">
        <f t="shared" si="12"/>
        <v>#VALUE!</v>
      </c>
      <c r="M54" t="e">
        <f t="shared" si="16"/>
        <v>#VALUE!</v>
      </c>
      <c r="N54" t="e">
        <f t="shared" si="16"/>
        <v>#VALUE!</v>
      </c>
    </row>
    <row r="55" spans="1:14" x14ac:dyDescent="0.2">
      <c r="A55">
        <f t="shared" si="14"/>
        <v>5600</v>
      </c>
      <c r="B55">
        <f t="shared" si="2"/>
        <v>0</v>
      </c>
      <c r="C55">
        <f t="shared" si="15"/>
        <v>0</v>
      </c>
      <c r="D55">
        <f t="shared" si="4"/>
        <v>0</v>
      </c>
      <c r="E55">
        <f t="shared" si="5"/>
        <v>0</v>
      </c>
      <c r="F55">
        <f t="shared" si="6"/>
        <v>0</v>
      </c>
      <c r="G55">
        <f t="shared" si="7"/>
        <v>0</v>
      </c>
      <c r="H55">
        <f t="shared" si="7"/>
        <v>0</v>
      </c>
      <c r="I55">
        <f t="shared" si="7"/>
        <v>0</v>
      </c>
      <c r="J55">
        <f t="shared" si="7"/>
        <v>0</v>
      </c>
      <c r="K55" t="e">
        <f t="shared" si="12"/>
        <v>#VALUE!</v>
      </c>
      <c r="L55" t="e">
        <f t="shared" si="12"/>
        <v>#VALUE!</v>
      </c>
      <c r="M55" t="e">
        <f t="shared" si="16"/>
        <v>#VALUE!</v>
      </c>
      <c r="N55" t="e">
        <f t="shared" si="16"/>
        <v>#VALUE!</v>
      </c>
    </row>
    <row r="56" spans="1:14" x14ac:dyDescent="0.2">
      <c r="A56">
        <f t="shared" si="14"/>
        <v>6800</v>
      </c>
      <c r="B56">
        <f t="shared" si="2"/>
        <v>0</v>
      </c>
      <c r="C56">
        <f t="shared" si="15"/>
        <v>0</v>
      </c>
      <c r="D56">
        <f t="shared" si="4"/>
        <v>0</v>
      </c>
      <c r="E56">
        <f t="shared" si="5"/>
        <v>0</v>
      </c>
      <c r="F56">
        <f t="shared" si="6"/>
        <v>0</v>
      </c>
      <c r="G56">
        <f t="shared" si="7"/>
        <v>0</v>
      </c>
      <c r="H56">
        <f t="shared" si="7"/>
        <v>0</v>
      </c>
      <c r="I56">
        <f t="shared" si="7"/>
        <v>0</v>
      </c>
      <c r="J56">
        <f t="shared" si="7"/>
        <v>0</v>
      </c>
      <c r="K56" t="e">
        <f t="shared" si="12"/>
        <v>#VALUE!</v>
      </c>
      <c r="L56" t="e">
        <f t="shared" si="12"/>
        <v>#VALUE!</v>
      </c>
      <c r="M56" t="e">
        <f t="shared" si="16"/>
        <v>#VALUE!</v>
      </c>
      <c r="N56" t="e">
        <f t="shared" si="16"/>
        <v>#VALUE!</v>
      </c>
    </row>
    <row r="57" spans="1:14" x14ac:dyDescent="0.2">
      <c r="A57">
        <f t="shared" si="14"/>
        <v>8200</v>
      </c>
      <c r="B57">
        <f t="shared" si="2"/>
        <v>0</v>
      </c>
      <c r="C57">
        <f t="shared" si="15"/>
        <v>0</v>
      </c>
      <c r="D57">
        <f t="shared" si="4"/>
        <v>0</v>
      </c>
      <c r="E57">
        <f t="shared" si="5"/>
        <v>0</v>
      </c>
      <c r="F57">
        <f t="shared" si="6"/>
        <v>0</v>
      </c>
      <c r="G57">
        <f t="shared" si="7"/>
        <v>0</v>
      </c>
      <c r="H57">
        <f t="shared" si="7"/>
        <v>0</v>
      </c>
      <c r="I57">
        <f t="shared" si="7"/>
        <v>0</v>
      </c>
      <c r="J57">
        <f t="shared" si="7"/>
        <v>0</v>
      </c>
      <c r="K57" t="e">
        <f t="shared" si="12"/>
        <v>#VALUE!</v>
      </c>
      <c r="L57" t="e">
        <f t="shared" si="12"/>
        <v>#VALUE!</v>
      </c>
      <c r="M57" t="e">
        <f t="shared" si="16"/>
        <v>#VALUE!</v>
      </c>
      <c r="N57" t="e">
        <f t="shared" si="16"/>
        <v>#VALUE!</v>
      </c>
    </row>
    <row r="58" spans="1:14" x14ac:dyDescent="0.2">
      <c r="A58">
        <f t="shared" si="14"/>
        <v>10000</v>
      </c>
      <c r="B58">
        <f t="shared" si="2"/>
        <v>0</v>
      </c>
      <c r="C58">
        <f t="shared" si="15"/>
        <v>0</v>
      </c>
      <c r="D58">
        <f t="shared" si="4"/>
        <v>0</v>
      </c>
      <c r="E58">
        <f t="shared" si="5"/>
        <v>0</v>
      </c>
      <c r="F58">
        <f t="shared" si="6"/>
        <v>0</v>
      </c>
      <c r="G58">
        <f t="shared" si="7"/>
        <v>0</v>
      </c>
      <c r="H58">
        <f t="shared" si="7"/>
        <v>0</v>
      </c>
      <c r="I58">
        <f t="shared" si="7"/>
        <v>0</v>
      </c>
      <c r="J58">
        <f t="shared" si="7"/>
        <v>0</v>
      </c>
      <c r="K58" t="e">
        <f t="shared" si="12"/>
        <v>#VALUE!</v>
      </c>
      <c r="L58" t="e">
        <f t="shared" si="12"/>
        <v>#VALUE!</v>
      </c>
      <c r="M58" t="e">
        <f t="shared" si="16"/>
        <v>#VALUE!</v>
      </c>
      <c r="N58" t="e">
        <f t="shared" si="16"/>
        <v>#VALUE!</v>
      </c>
    </row>
    <row r="59" spans="1:14" x14ac:dyDescent="0.2">
      <c r="A59">
        <f t="shared" si="14"/>
        <v>12000</v>
      </c>
      <c r="B59">
        <f t="shared" si="2"/>
        <v>0</v>
      </c>
      <c r="C59">
        <f t="shared" si="15"/>
        <v>0</v>
      </c>
      <c r="D59">
        <f t="shared" si="4"/>
        <v>0</v>
      </c>
      <c r="E59">
        <f t="shared" si="5"/>
        <v>0</v>
      </c>
      <c r="F59">
        <f t="shared" si="6"/>
        <v>0</v>
      </c>
      <c r="G59">
        <f t="shared" si="7"/>
        <v>0</v>
      </c>
      <c r="H59">
        <f t="shared" si="7"/>
        <v>0</v>
      </c>
      <c r="I59">
        <f t="shared" si="7"/>
        <v>0</v>
      </c>
      <c r="J59">
        <f t="shared" si="7"/>
        <v>0</v>
      </c>
      <c r="K59" t="e">
        <f t="shared" si="12"/>
        <v>#VALUE!</v>
      </c>
      <c r="L59" t="e">
        <f t="shared" si="12"/>
        <v>#VALUE!</v>
      </c>
      <c r="M59" t="e">
        <f t="shared" ref="M59:N68" si="17">IF(IF((M$3*10^12-$A60)*(M$3*10^12-$A59)*-1&lt;0,0,1)*IF(ABS(M$3*10^12-$A60)&gt;(M$3*10^12-$A59),$A59,$A60)=M60,0,IF((M$3*10^12-$A60)*(M$3*10^12-$A59)*-1&lt;0,0,1)*IF(ABS(M$3*10^12-$A60)&gt;(M$3*10^12-$A59),$A59,$A60))</f>
        <v>#VALUE!</v>
      </c>
      <c r="N59" t="e">
        <f t="shared" si="17"/>
        <v>#VALUE!</v>
      </c>
    </row>
    <row r="60" spans="1:14" x14ac:dyDescent="0.2">
      <c r="A60">
        <f t="shared" si="14"/>
        <v>15000</v>
      </c>
      <c r="B60">
        <f t="shared" si="2"/>
        <v>0</v>
      </c>
      <c r="C60">
        <f t="shared" si="15"/>
        <v>0</v>
      </c>
      <c r="D60">
        <f t="shared" si="4"/>
        <v>0</v>
      </c>
      <c r="E60">
        <f t="shared" si="5"/>
        <v>0</v>
      </c>
      <c r="F60">
        <f t="shared" si="6"/>
        <v>0</v>
      </c>
      <c r="G60">
        <f t="shared" si="7"/>
        <v>0</v>
      </c>
      <c r="H60">
        <f t="shared" si="7"/>
        <v>0</v>
      </c>
      <c r="I60">
        <f t="shared" si="7"/>
        <v>0</v>
      </c>
      <c r="J60">
        <f t="shared" si="7"/>
        <v>0</v>
      </c>
      <c r="K60" t="e">
        <f t="shared" si="12"/>
        <v>#VALUE!</v>
      </c>
      <c r="L60" t="e">
        <f t="shared" si="12"/>
        <v>#VALUE!</v>
      </c>
      <c r="M60" t="e">
        <f t="shared" si="17"/>
        <v>#VALUE!</v>
      </c>
      <c r="N60" t="e">
        <f t="shared" si="17"/>
        <v>#VALUE!</v>
      </c>
    </row>
    <row r="61" spans="1:14" x14ac:dyDescent="0.2">
      <c r="A61">
        <f t="shared" si="14"/>
        <v>18000</v>
      </c>
      <c r="B61">
        <f t="shared" si="2"/>
        <v>0</v>
      </c>
      <c r="C61">
        <f t="shared" si="15"/>
        <v>0</v>
      </c>
      <c r="D61">
        <f t="shared" si="4"/>
        <v>0</v>
      </c>
      <c r="E61">
        <f t="shared" si="5"/>
        <v>0</v>
      </c>
      <c r="F61">
        <f t="shared" si="6"/>
        <v>0</v>
      </c>
      <c r="G61">
        <f t="shared" si="7"/>
        <v>0</v>
      </c>
      <c r="H61">
        <f t="shared" si="7"/>
        <v>0</v>
      </c>
      <c r="I61">
        <f t="shared" si="7"/>
        <v>0</v>
      </c>
      <c r="J61">
        <f t="shared" si="7"/>
        <v>0</v>
      </c>
      <c r="K61" t="e">
        <f t="shared" si="12"/>
        <v>#VALUE!</v>
      </c>
      <c r="L61" t="e">
        <f t="shared" si="12"/>
        <v>#VALUE!</v>
      </c>
      <c r="M61" t="e">
        <f t="shared" si="17"/>
        <v>#VALUE!</v>
      </c>
      <c r="N61" t="e">
        <f t="shared" si="17"/>
        <v>#VALUE!</v>
      </c>
    </row>
    <row r="62" spans="1:14" x14ac:dyDescent="0.2">
      <c r="A62">
        <f t="shared" si="14"/>
        <v>22000</v>
      </c>
      <c r="B62">
        <f t="shared" si="2"/>
        <v>0</v>
      </c>
      <c r="C62">
        <f t="shared" si="15"/>
        <v>0</v>
      </c>
      <c r="D62">
        <f t="shared" si="4"/>
        <v>0</v>
      </c>
      <c r="E62">
        <f t="shared" si="5"/>
        <v>0</v>
      </c>
      <c r="F62">
        <f t="shared" si="6"/>
        <v>0</v>
      </c>
      <c r="G62">
        <f t="shared" si="7"/>
        <v>0</v>
      </c>
      <c r="H62">
        <f t="shared" si="7"/>
        <v>0</v>
      </c>
      <c r="I62">
        <f t="shared" si="7"/>
        <v>0</v>
      </c>
      <c r="J62">
        <f t="shared" si="7"/>
        <v>0</v>
      </c>
      <c r="K62" t="e">
        <f t="shared" si="12"/>
        <v>#VALUE!</v>
      </c>
      <c r="L62" t="e">
        <f t="shared" si="12"/>
        <v>#VALUE!</v>
      </c>
      <c r="M62" t="e">
        <f t="shared" si="17"/>
        <v>#VALUE!</v>
      </c>
      <c r="N62" t="e">
        <f t="shared" si="17"/>
        <v>#VALUE!</v>
      </c>
    </row>
    <row r="63" spans="1:14" x14ac:dyDescent="0.2">
      <c r="A63">
        <f t="shared" si="14"/>
        <v>27000</v>
      </c>
      <c r="B63">
        <f t="shared" si="2"/>
        <v>0</v>
      </c>
      <c r="C63">
        <f t="shared" si="15"/>
        <v>0</v>
      </c>
      <c r="D63">
        <f t="shared" si="4"/>
        <v>0</v>
      </c>
      <c r="E63">
        <f t="shared" si="5"/>
        <v>0</v>
      </c>
      <c r="F63">
        <f t="shared" si="6"/>
        <v>0</v>
      </c>
      <c r="G63">
        <f t="shared" si="7"/>
        <v>0</v>
      </c>
      <c r="H63">
        <f t="shared" si="7"/>
        <v>0</v>
      </c>
      <c r="I63">
        <f t="shared" si="7"/>
        <v>0</v>
      </c>
      <c r="J63">
        <f t="shared" si="7"/>
        <v>0</v>
      </c>
      <c r="K63" t="e">
        <f t="shared" si="12"/>
        <v>#VALUE!</v>
      </c>
      <c r="L63" t="e">
        <f t="shared" si="12"/>
        <v>#VALUE!</v>
      </c>
      <c r="M63" t="e">
        <f t="shared" si="17"/>
        <v>#VALUE!</v>
      </c>
      <c r="N63" t="e">
        <f t="shared" si="17"/>
        <v>#VALUE!</v>
      </c>
    </row>
    <row r="64" spans="1:14" x14ac:dyDescent="0.2">
      <c r="A64">
        <f t="shared" si="14"/>
        <v>33000</v>
      </c>
      <c r="B64">
        <f t="shared" si="2"/>
        <v>0</v>
      </c>
      <c r="C64">
        <f t="shared" si="15"/>
        <v>0</v>
      </c>
      <c r="D64">
        <f t="shared" si="4"/>
        <v>0</v>
      </c>
      <c r="E64">
        <f t="shared" si="5"/>
        <v>0</v>
      </c>
      <c r="F64">
        <f t="shared" si="6"/>
        <v>0</v>
      </c>
      <c r="G64">
        <f t="shared" si="7"/>
        <v>0</v>
      </c>
      <c r="H64">
        <f t="shared" si="7"/>
        <v>0</v>
      </c>
      <c r="I64">
        <f t="shared" si="7"/>
        <v>0</v>
      </c>
      <c r="J64">
        <f t="shared" si="7"/>
        <v>0</v>
      </c>
      <c r="K64" t="e">
        <f t="shared" si="12"/>
        <v>#VALUE!</v>
      </c>
      <c r="L64" t="e">
        <f t="shared" si="12"/>
        <v>#VALUE!</v>
      </c>
      <c r="M64" t="e">
        <f t="shared" si="17"/>
        <v>#VALUE!</v>
      </c>
      <c r="N64" t="e">
        <f t="shared" si="17"/>
        <v>#VALUE!</v>
      </c>
    </row>
    <row r="65" spans="1:14" x14ac:dyDescent="0.2">
      <c r="A65">
        <f t="shared" si="14"/>
        <v>39000</v>
      </c>
      <c r="B65">
        <f t="shared" si="2"/>
        <v>0</v>
      </c>
      <c r="C65">
        <f t="shared" si="15"/>
        <v>0</v>
      </c>
      <c r="D65">
        <f t="shared" si="4"/>
        <v>0</v>
      </c>
      <c r="E65">
        <f t="shared" si="5"/>
        <v>0</v>
      </c>
      <c r="F65">
        <f t="shared" si="6"/>
        <v>0</v>
      </c>
      <c r="G65">
        <f t="shared" si="7"/>
        <v>0</v>
      </c>
      <c r="H65">
        <f t="shared" si="7"/>
        <v>0</v>
      </c>
      <c r="I65">
        <f t="shared" si="7"/>
        <v>0</v>
      </c>
      <c r="J65">
        <f t="shared" si="7"/>
        <v>0</v>
      </c>
      <c r="K65" t="e">
        <f t="shared" si="12"/>
        <v>#VALUE!</v>
      </c>
      <c r="L65" t="e">
        <f t="shared" si="12"/>
        <v>#VALUE!</v>
      </c>
      <c r="M65" t="e">
        <f t="shared" si="17"/>
        <v>#VALUE!</v>
      </c>
      <c r="N65" t="e">
        <f t="shared" si="17"/>
        <v>#VALUE!</v>
      </c>
    </row>
    <row r="66" spans="1:14" x14ac:dyDescent="0.2">
      <c r="A66">
        <f t="shared" si="14"/>
        <v>47000</v>
      </c>
      <c r="B66">
        <f t="shared" si="2"/>
        <v>0</v>
      </c>
      <c r="C66">
        <f t="shared" si="15"/>
        <v>0</v>
      </c>
      <c r="D66">
        <f t="shared" si="4"/>
        <v>0</v>
      </c>
      <c r="E66">
        <f t="shared" si="5"/>
        <v>0</v>
      </c>
      <c r="F66">
        <f t="shared" si="6"/>
        <v>0</v>
      </c>
      <c r="G66">
        <f t="shared" si="7"/>
        <v>0</v>
      </c>
      <c r="H66">
        <f t="shared" si="7"/>
        <v>0</v>
      </c>
      <c r="I66">
        <f t="shared" si="7"/>
        <v>0</v>
      </c>
      <c r="J66">
        <f t="shared" si="7"/>
        <v>0</v>
      </c>
      <c r="K66" t="e">
        <f t="shared" si="12"/>
        <v>#VALUE!</v>
      </c>
      <c r="L66" t="e">
        <f t="shared" si="12"/>
        <v>#VALUE!</v>
      </c>
      <c r="M66" t="e">
        <f t="shared" si="17"/>
        <v>#VALUE!</v>
      </c>
      <c r="N66" t="e">
        <f t="shared" si="17"/>
        <v>#VALUE!</v>
      </c>
    </row>
    <row r="67" spans="1:14" x14ac:dyDescent="0.2">
      <c r="A67">
        <f t="shared" si="14"/>
        <v>56000</v>
      </c>
      <c r="B67">
        <f t="shared" si="2"/>
        <v>0</v>
      </c>
      <c r="C67">
        <f t="shared" si="15"/>
        <v>0</v>
      </c>
      <c r="D67">
        <f t="shared" si="4"/>
        <v>0</v>
      </c>
      <c r="E67">
        <f t="shared" si="5"/>
        <v>0</v>
      </c>
      <c r="F67">
        <f t="shared" si="6"/>
        <v>0</v>
      </c>
      <c r="G67">
        <f t="shared" si="7"/>
        <v>0</v>
      </c>
      <c r="H67">
        <f t="shared" si="7"/>
        <v>0</v>
      </c>
      <c r="I67">
        <f t="shared" si="7"/>
        <v>0</v>
      </c>
      <c r="J67">
        <f t="shared" si="7"/>
        <v>0</v>
      </c>
      <c r="K67" t="e">
        <f t="shared" si="12"/>
        <v>#VALUE!</v>
      </c>
      <c r="L67" t="e">
        <f t="shared" si="12"/>
        <v>#VALUE!</v>
      </c>
      <c r="M67" t="e">
        <f t="shared" si="17"/>
        <v>#VALUE!</v>
      </c>
      <c r="N67" t="e">
        <f t="shared" si="17"/>
        <v>#VALUE!</v>
      </c>
    </row>
    <row r="68" spans="1:14" x14ac:dyDescent="0.2">
      <c r="A68">
        <f t="shared" si="14"/>
        <v>68000</v>
      </c>
      <c r="B68">
        <f t="shared" si="2"/>
        <v>0</v>
      </c>
      <c r="C68">
        <f t="shared" si="15"/>
        <v>0</v>
      </c>
      <c r="D68">
        <f t="shared" si="4"/>
        <v>0</v>
      </c>
      <c r="E68">
        <f t="shared" si="5"/>
        <v>0</v>
      </c>
      <c r="F68">
        <f t="shared" si="6"/>
        <v>0</v>
      </c>
      <c r="G68">
        <f t="shared" si="7"/>
        <v>0</v>
      </c>
      <c r="H68">
        <f t="shared" si="7"/>
        <v>0</v>
      </c>
      <c r="I68">
        <f t="shared" si="7"/>
        <v>0</v>
      </c>
      <c r="J68">
        <f t="shared" si="7"/>
        <v>0</v>
      </c>
      <c r="K68" t="e">
        <f t="shared" si="12"/>
        <v>#VALUE!</v>
      </c>
      <c r="L68" t="e">
        <f t="shared" si="12"/>
        <v>#VALUE!</v>
      </c>
      <c r="M68" t="e">
        <f t="shared" si="17"/>
        <v>#VALUE!</v>
      </c>
      <c r="N68" t="e">
        <f t="shared" si="17"/>
        <v>#VALUE!</v>
      </c>
    </row>
    <row r="69" spans="1:14" x14ac:dyDescent="0.2">
      <c r="A69">
        <f t="shared" si="14"/>
        <v>82000</v>
      </c>
      <c r="B69">
        <f t="shared" si="2"/>
        <v>0</v>
      </c>
      <c r="C69">
        <f t="shared" si="15"/>
        <v>0</v>
      </c>
      <c r="D69">
        <f t="shared" si="4"/>
        <v>0</v>
      </c>
      <c r="E69">
        <f t="shared" si="5"/>
        <v>0</v>
      </c>
      <c r="F69">
        <f t="shared" si="6"/>
        <v>0</v>
      </c>
      <c r="G69">
        <f t="shared" si="7"/>
        <v>0</v>
      </c>
      <c r="H69">
        <f t="shared" si="7"/>
        <v>0</v>
      </c>
      <c r="I69">
        <f t="shared" si="7"/>
        <v>0</v>
      </c>
      <c r="J69">
        <f t="shared" ref="J69:N132" si="18">IF(IF((J$3*10^12-$A70)*(J$3*10^12-$A69)*-1&lt;0,0,1)*IF(ABS(J$3*10^12-$A70)&gt;(J$3*10^12-$A69),$A69,$A70)=J70,0,IF((J$3*10^12-$A70)*(J$3*10^12-$A69)*-1&lt;0,0,1)*IF(ABS(J$3*10^12-$A70)&gt;(J$3*10^12-$A69),$A69,$A70))</f>
        <v>0</v>
      </c>
      <c r="K69" t="e">
        <f t="shared" si="18"/>
        <v>#VALUE!</v>
      </c>
      <c r="L69" t="e">
        <f t="shared" si="12"/>
        <v>#VALUE!</v>
      </c>
      <c r="M69" t="e">
        <f t="shared" si="18"/>
        <v>#VALUE!</v>
      </c>
      <c r="N69" t="e">
        <f t="shared" si="18"/>
        <v>#VALUE!</v>
      </c>
    </row>
    <row r="70" spans="1:14" x14ac:dyDescent="0.2">
      <c r="A70">
        <f t="shared" si="14"/>
        <v>100000</v>
      </c>
      <c r="B70">
        <f t="shared" si="2"/>
        <v>0</v>
      </c>
      <c r="C70">
        <f t="shared" si="15"/>
        <v>0</v>
      </c>
      <c r="D70">
        <f t="shared" ref="D70:I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8"/>
        <v>0</v>
      </c>
      <c r="K70" t="e">
        <f t="shared" si="18"/>
        <v>#VALUE!</v>
      </c>
      <c r="L70" t="e">
        <f t="shared" si="12"/>
        <v>#VALUE!</v>
      </c>
      <c r="M70" t="e">
        <f t="shared" si="18"/>
        <v>#VALUE!</v>
      </c>
      <c r="N70" t="e">
        <f t="shared" si="18"/>
        <v>#VALUE!</v>
      </c>
    </row>
    <row r="71" spans="1:14" x14ac:dyDescent="0.2">
      <c r="A71">
        <f t="shared" si="14"/>
        <v>120000</v>
      </c>
      <c r="B71">
        <f t="shared" ref="B71:B134" si="20">IF(IF((B$3*10^12-$A72)*(B$3*10^12-$A71)*-1&lt;0,0,1)*IF(ABS(B$3*10^12-$A72)&gt;(B$3*10^12-$A71),$A71,$A72)=B72,0,IF((B$3*10^12-$A72)*(B$3*10^12-$A71)*-1&lt;0,0,1)*IF(ABS(B$3*10^12-$A72)&gt;(B$3*10^12-$A71),$A71,$A72))</f>
        <v>0</v>
      </c>
      <c r="C71">
        <f t="shared" ref="C71:E134" si="21">IF(IF((C$3*10^12-$A72)*(C$3*10^12-$A71)*-1&lt;0,0,1)*IF(ABS(C$3*10^12-$A72)&gt;(C$3*10^12-$A71),$A71,$A72)=C72,0,IF((C$3*10^12-$A72)*(C$3*10^12-$A71)*-1&lt;0,0,1)*IF(ABS(C$3*10^12-$A72)&gt;(C$3*10^12-$A71),$A71,$A72))</f>
        <v>0</v>
      </c>
      <c r="D71">
        <f t="shared" si="21"/>
        <v>0</v>
      </c>
      <c r="E71">
        <f t="shared" si="21"/>
        <v>0</v>
      </c>
      <c r="F71">
        <f t="shared" ref="F71:F102" si="22">IF(IF((F$3*10^12-$A72)*(F$3*10^12-$A71)*-1&lt;0,0,1)*IF(ABS(F$3*10^12-$A72)&gt;(F$3*10^12-$A71),$A71,$A72)=F72,0,IF((F$3*10^12-$A72)*(F$3*10^12-$A71)*-1&lt;0,0,1)*IF(ABS(F$3*10^12-$A72)&gt;(F$3*10^12-$A71),$A71,$A72))</f>
        <v>0</v>
      </c>
      <c r="G71">
        <f t="shared" ref="G71:G102" si="23">IF(IF((G$3*10^12-$A72)*(G$3*10^12-$A71)*-1&lt;0,0,1)*IF(ABS(G$3*10^12-$A72)&gt;(G$3*10^12-$A71),$A71,$A72)=G72,0,IF((G$3*10^12-$A72)*(G$3*10^12-$A71)*-1&lt;0,0,1)*IF(ABS(G$3*10^12-$A72)&gt;(G$3*10^12-$A71),$A71,$A72))</f>
        <v>0</v>
      </c>
      <c r="H71">
        <f t="shared" ref="H71:H102" si="24">IF(IF((H$3*10^12-$A72)*(H$3*10^12-$A71)*-1&lt;0,0,1)*IF(ABS(H$3*10^12-$A72)&gt;(H$3*10^12-$A71),$A71,$A72)=H72,0,IF((H$3*10^12-$A72)*(H$3*10^12-$A71)*-1&lt;0,0,1)*IF(ABS(H$3*10^12-$A72)&gt;(H$3*10^12-$A71),$A71,$A72))</f>
        <v>0</v>
      </c>
      <c r="I71">
        <f t="shared" ref="I71:I102" si="25">IF(IF((I$3*10^12-$A72)*(I$3*10^12-$A71)*-1&lt;0,0,1)*IF(ABS(I$3*10^12-$A72)&gt;(I$3*10^12-$A71),$A71,$A72)=I72,0,IF((I$3*10^12-$A72)*(I$3*10^12-$A71)*-1&lt;0,0,1)*IF(ABS(I$3*10^12-$A72)&gt;(I$3*10^12-$A71),$A71,$A72))</f>
        <v>0</v>
      </c>
      <c r="J71">
        <f t="shared" si="18"/>
        <v>0</v>
      </c>
      <c r="K71" t="e">
        <f t="shared" si="18"/>
        <v>#VALUE!</v>
      </c>
      <c r="L71" t="e">
        <f t="shared" si="12"/>
        <v>#VALUE!</v>
      </c>
      <c r="M71" t="e">
        <f t="shared" si="18"/>
        <v>#VALUE!</v>
      </c>
      <c r="N71" t="e">
        <f t="shared" si="18"/>
        <v>#VALUE!</v>
      </c>
    </row>
    <row r="72" spans="1:14" x14ac:dyDescent="0.2">
      <c r="A72">
        <f t="shared" si="14"/>
        <v>150000</v>
      </c>
      <c r="B72">
        <f t="shared" si="20"/>
        <v>0</v>
      </c>
      <c r="C72">
        <f t="shared" si="21"/>
        <v>0</v>
      </c>
      <c r="D72">
        <f t="shared" si="21"/>
        <v>0</v>
      </c>
      <c r="E72">
        <f t="shared" si="21"/>
        <v>0</v>
      </c>
      <c r="F72">
        <f t="shared" si="22"/>
        <v>0</v>
      </c>
      <c r="G72">
        <f t="shared" si="23"/>
        <v>0</v>
      </c>
      <c r="H72">
        <f t="shared" si="24"/>
        <v>0</v>
      </c>
      <c r="I72">
        <f t="shared" si="25"/>
        <v>0</v>
      </c>
      <c r="J72">
        <f t="shared" si="18"/>
        <v>0</v>
      </c>
      <c r="K72" t="e">
        <f t="shared" si="18"/>
        <v>#VALUE!</v>
      </c>
      <c r="L72" t="e">
        <f t="shared" si="12"/>
        <v>#VALUE!</v>
      </c>
      <c r="M72" t="e">
        <f t="shared" si="18"/>
        <v>#VALUE!</v>
      </c>
      <c r="N72" t="e">
        <f t="shared" si="18"/>
        <v>#VALUE!</v>
      </c>
    </row>
    <row r="73" spans="1:14" x14ac:dyDescent="0.2">
      <c r="A73">
        <f t="shared" si="14"/>
        <v>180000</v>
      </c>
      <c r="B73">
        <f t="shared" si="20"/>
        <v>0</v>
      </c>
      <c r="C73">
        <f t="shared" si="21"/>
        <v>0</v>
      </c>
      <c r="D73">
        <f t="shared" si="21"/>
        <v>0</v>
      </c>
      <c r="E73">
        <f t="shared" si="21"/>
        <v>0</v>
      </c>
      <c r="F73">
        <f t="shared" si="22"/>
        <v>0</v>
      </c>
      <c r="G73">
        <f t="shared" si="23"/>
        <v>0</v>
      </c>
      <c r="H73">
        <f t="shared" si="24"/>
        <v>0</v>
      </c>
      <c r="I73">
        <f t="shared" si="25"/>
        <v>0</v>
      </c>
      <c r="J73">
        <f t="shared" si="18"/>
        <v>0</v>
      </c>
      <c r="K73" t="e">
        <f t="shared" si="18"/>
        <v>#VALUE!</v>
      </c>
      <c r="L73" t="e">
        <f t="shared" si="12"/>
        <v>#VALUE!</v>
      </c>
      <c r="M73" t="e">
        <f t="shared" si="18"/>
        <v>#VALUE!</v>
      </c>
      <c r="N73" t="e">
        <f t="shared" si="18"/>
        <v>#VALUE!</v>
      </c>
    </row>
    <row r="74" spans="1:14" x14ac:dyDescent="0.2">
      <c r="A74">
        <f t="shared" si="14"/>
        <v>220000</v>
      </c>
      <c r="B74">
        <f t="shared" si="20"/>
        <v>0</v>
      </c>
      <c r="C74">
        <f t="shared" si="21"/>
        <v>0</v>
      </c>
      <c r="D74">
        <f t="shared" si="21"/>
        <v>0</v>
      </c>
      <c r="E74">
        <f t="shared" si="21"/>
        <v>0</v>
      </c>
      <c r="F74">
        <f t="shared" si="22"/>
        <v>0</v>
      </c>
      <c r="G74">
        <f t="shared" si="23"/>
        <v>0</v>
      </c>
      <c r="H74">
        <f t="shared" si="24"/>
        <v>0</v>
      </c>
      <c r="I74">
        <f t="shared" si="25"/>
        <v>0</v>
      </c>
      <c r="J74">
        <f t="shared" si="18"/>
        <v>0</v>
      </c>
      <c r="K74" t="e">
        <f t="shared" si="18"/>
        <v>#VALUE!</v>
      </c>
      <c r="L74" t="e">
        <f t="shared" si="12"/>
        <v>#VALUE!</v>
      </c>
      <c r="M74" t="e">
        <f t="shared" si="18"/>
        <v>#VALUE!</v>
      </c>
      <c r="N74" t="e">
        <f t="shared" si="18"/>
        <v>#VALUE!</v>
      </c>
    </row>
    <row r="75" spans="1:14" x14ac:dyDescent="0.2">
      <c r="A75">
        <f t="shared" si="14"/>
        <v>270000</v>
      </c>
      <c r="B75">
        <f t="shared" si="20"/>
        <v>0</v>
      </c>
      <c r="C75">
        <f t="shared" si="21"/>
        <v>0</v>
      </c>
      <c r="D75">
        <f t="shared" si="21"/>
        <v>0</v>
      </c>
      <c r="E75">
        <f t="shared" si="21"/>
        <v>0</v>
      </c>
      <c r="F75">
        <f t="shared" si="22"/>
        <v>0</v>
      </c>
      <c r="G75">
        <f t="shared" si="23"/>
        <v>0</v>
      </c>
      <c r="H75">
        <f t="shared" si="24"/>
        <v>0</v>
      </c>
      <c r="I75">
        <f t="shared" si="25"/>
        <v>0</v>
      </c>
      <c r="J75">
        <f t="shared" si="18"/>
        <v>0</v>
      </c>
      <c r="K75" t="e">
        <f t="shared" si="18"/>
        <v>#VALUE!</v>
      </c>
      <c r="L75" t="e">
        <f t="shared" si="12"/>
        <v>#VALUE!</v>
      </c>
      <c r="M75" t="e">
        <f t="shared" si="18"/>
        <v>#VALUE!</v>
      </c>
      <c r="N75" t="e">
        <f t="shared" si="18"/>
        <v>#VALUE!</v>
      </c>
    </row>
    <row r="76" spans="1:14" x14ac:dyDescent="0.2">
      <c r="A76">
        <f t="shared" si="14"/>
        <v>330000</v>
      </c>
      <c r="B76">
        <f t="shared" si="20"/>
        <v>0</v>
      </c>
      <c r="C76">
        <f t="shared" si="21"/>
        <v>0</v>
      </c>
      <c r="D76">
        <f t="shared" si="21"/>
        <v>0</v>
      </c>
      <c r="E76">
        <f t="shared" si="21"/>
        <v>0</v>
      </c>
      <c r="F76">
        <f t="shared" si="22"/>
        <v>0</v>
      </c>
      <c r="G76">
        <f t="shared" si="23"/>
        <v>330000</v>
      </c>
      <c r="H76">
        <f t="shared" si="24"/>
        <v>0</v>
      </c>
      <c r="I76">
        <f t="shared" si="25"/>
        <v>0</v>
      </c>
      <c r="J76">
        <f t="shared" si="18"/>
        <v>0</v>
      </c>
      <c r="K76" t="e">
        <f t="shared" si="18"/>
        <v>#VALUE!</v>
      </c>
      <c r="L76" t="e">
        <f t="shared" si="12"/>
        <v>#VALUE!</v>
      </c>
      <c r="M76" t="e">
        <f t="shared" si="18"/>
        <v>#VALUE!</v>
      </c>
      <c r="N76" t="e">
        <f t="shared" si="18"/>
        <v>#VALUE!</v>
      </c>
    </row>
    <row r="77" spans="1:14" x14ac:dyDescent="0.2">
      <c r="A77">
        <f t="shared" si="14"/>
        <v>390000</v>
      </c>
      <c r="B77">
        <f t="shared" si="20"/>
        <v>0</v>
      </c>
      <c r="C77">
        <f t="shared" si="21"/>
        <v>0</v>
      </c>
      <c r="D77">
        <f t="shared" si="21"/>
        <v>0</v>
      </c>
      <c r="E77">
        <f t="shared" si="21"/>
        <v>0</v>
      </c>
      <c r="F77">
        <f t="shared" si="22"/>
        <v>0</v>
      </c>
      <c r="G77">
        <f t="shared" si="23"/>
        <v>0</v>
      </c>
      <c r="H77">
        <f t="shared" si="24"/>
        <v>0</v>
      </c>
      <c r="I77">
        <f t="shared" si="25"/>
        <v>0</v>
      </c>
      <c r="J77">
        <f t="shared" si="18"/>
        <v>0</v>
      </c>
      <c r="K77" t="e">
        <f t="shared" si="18"/>
        <v>#VALUE!</v>
      </c>
      <c r="L77" t="e">
        <f t="shared" si="12"/>
        <v>#VALUE!</v>
      </c>
      <c r="M77" t="e">
        <f t="shared" si="18"/>
        <v>#VALUE!</v>
      </c>
      <c r="N77" t="e">
        <f t="shared" si="18"/>
        <v>#VALUE!</v>
      </c>
    </row>
    <row r="78" spans="1:14" x14ac:dyDescent="0.2">
      <c r="A78">
        <f t="shared" si="14"/>
        <v>470000</v>
      </c>
      <c r="B78">
        <f t="shared" si="20"/>
        <v>0</v>
      </c>
      <c r="C78">
        <f t="shared" si="21"/>
        <v>0</v>
      </c>
      <c r="D78">
        <f t="shared" si="21"/>
        <v>0</v>
      </c>
      <c r="E78">
        <f t="shared" si="21"/>
        <v>0</v>
      </c>
      <c r="F78">
        <f t="shared" si="22"/>
        <v>0</v>
      </c>
      <c r="G78">
        <f t="shared" si="23"/>
        <v>0</v>
      </c>
      <c r="H78">
        <f t="shared" si="24"/>
        <v>0</v>
      </c>
      <c r="I78">
        <f t="shared" si="25"/>
        <v>0</v>
      </c>
      <c r="J78">
        <f t="shared" si="18"/>
        <v>0</v>
      </c>
      <c r="K78" t="e">
        <f t="shared" si="18"/>
        <v>#VALUE!</v>
      </c>
      <c r="L78" t="e">
        <f t="shared" si="12"/>
        <v>#VALUE!</v>
      </c>
      <c r="M78" t="e">
        <f t="shared" si="18"/>
        <v>#VALUE!</v>
      </c>
      <c r="N78" t="e">
        <f t="shared" si="18"/>
        <v>#VALUE!</v>
      </c>
    </row>
    <row r="79" spans="1:14" x14ac:dyDescent="0.2">
      <c r="A79">
        <f t="shared" si="14"/>
        <v>560000</v>
      </c>
      <c r="B79">
        <f t="shared" si="20"/>
        <v>0</v>
      </c>
      <c r="C79">
        <f t="shared" si="21"/>
        <v>0</v>
      </c>
      <c r="D79">
        <f t="shared" si="21"/>
        <v>0</v>
      </c>
      <c r="E79">
        <f t="shared" si="21"/>
        <v>0</v>
      </c>
      <c r="F79">
        <f t="shared" si="22"/>
        <v>0</v>
      </c>
      <c r="G79">
        <f t="shared" si="23"/>
        <v>0</v>
      </c>
      <c r="H79">
        <f t="shared" si="24"/>
        <v>0</v>
      </c>
      <c r="I79">
        <f t="shared" si="25"/>
        <v>0</v>
      </c>
      <c r="J79">
        <f t="shared" si="18"/>
        <v>0</v>
      </c>
      <c r="K79" t="e">
        <f t="shared" si="18"/>
        <v>#VALUE!</v>
      </c>
      <c r="L79" t="e">
        <f t="shared" si="12"/>
        <v>#VALUE!</v>
      </c>
      <c r="M79" t="e">
        <f t="shared" si="18"/>
        <v>#VALUE!</v>
      </c>
      <c r="N79" t="e">
        <f t="shared" si="18"/>
        <v>#VALUE!</v>
      </c>
    </row>
    <row r="80" spans="1:14" x14ac:dyDescent="0.2">
      <c r="A80">
        <f t="shared" si="14"/>
        <v>680000</v>
      </c>
      <c r="B80">
        <f t="shared" si="20"/>
        <v>0</v>
      </c>
      <c r="C80">
        <f t="shared" si="21"/>
        <v>0</v>
      </c>
      <c r="D80">
        <f t="shared" si="21"/>
        <v>0</v>
      </c>
      <c r="E80">
        <f t="shared" si="21"/>
        <v>0</v>
      </c>
      <c r="F80">
        <f t="shared" si="22"/>
        <v>0</v>
      </c>
      <c r="G80">
        <f t="shared" si="23"/>
        <v>0</v>
      </c>
      <c r="H80">
        <f t="shared" si="24"/>
        <v>0</v>
      </c>
      <c r="I80">
        <f t="shared" si="25"/>
        <v>0</v>
      </c>
      <c r="J80">
        <f t="shared" si="18"/>
        <v>0</v>
      </c>
      <c r="K80" t="e">
        <f t="shared" si="18"/>
        <v>#VALUE!</v>
      </c>
      <c r="L80" t="e">
        <f t="shared" si="12"/>
        <v>#VALUE!</v>
      </c>
      <c r="M80" t="e">
        <f t="shared" si="18"/>
        <v>#VALUE!</v>
      </c>
      <c r="N80" t="e">
        <f t="shared" si="18"/>
        <v>#VALUE!</v>
      </c>
    </row>
    <row r="81" spans="1:14" x14ac:dyDescent="0.2">
      <c r="A81">
        <f t="shared" si="14"/>
        <v>820000</v>
      </c>
      <c r="B81">
        <f t="shared" si="20"/>
        <v>0</v>
      </c>
      <c r="C81">
        <f t="shared" si="21"/>
        <v>0</v>
      </c>
      <c r="D81">
        <f t="shared" si="21"/>
        <v>0</v>
      </c>
      <c r="E81">
        <f t="shared" si="21"/>
        <v>0</v>
      </c>
      <c r="F81">
        <f t="shared" si="22"/>
        <v>0</v>
      </c>
      <c r="G81">
        <f t="shared" si="23"/>
        <v>0</v>
      </c>
      <c r="H81">
        <f t="shared" si="24"/>
        <v>0</v>
      </c>
      <c r="I81">
        <f t="shared" si="25"/>
        <v>0</v>
      </c>
      <c r="J81">
        <f t="shared" si="18"/>
        <v>0</v>
      </c>
      <c r="K81" t="e">
        <f t="shared" si="18"/>
        <v>#VALUE!</v>
      </c>
      <c r="L81" t="e">
        <f t="shared" si="12"/>
        <v>#VALUE!</v>
      </c>
      <c r="M81" t="e">
        <f t="shared" si="18"/>
        <v>#VALUE!</v>
      </c>
      <c r="N81" t="e">
        <f t="shared" si="18"/>
        <v>#VALUE!</v>
      </c>
    </row>
    <row r="82" spans="1:14" x14ac:dyDescent="0.2">
      <c r="A82">
        <f t="shared" si="14"/>
        <v>1000000</v>
      </c>
      <c r="B82">
        <f t="shared" si="20"/>
        <v>0</v>
      </c>
      <c r="C82">
        <f t="shared" si="21"/>
        <v>0</v>
      </c>
      <c r="D82">
        <f t="shared" si="21"/>
        <v>0</v>
      </c>
      <c r="E82">
        <f t="shared" si="21"/>
        <v>0</v>
      </c>
      <c r="F82">
        <f t="shared" si="22"/>
        <v>0</v>
      </c>
      <c r="G82">
        <f t="shared" si="23"/>
        <v>0</v>
      </c>
      <c r="H82">
        <f t="shared" si="24"/>
        <v>0</v>
      </c>
      <c r="I82">
        <f t="shared" si="25"/>
        <v>0</v>
      </c>
      <c r="J82">
        <f t="shared" si="18"/>
        <v>0</v>
      </c>
      <c r="K82" t="e">
        <f t="shared" si="18"/>
        <v>#VALUE!</v>
      </c>
      <c r="L82" t="e">
        <f t="shared" si="12"/>
        <v>#VALUE!</v>
      </c>
      <c r="M82" t="e">
        <f t="shared" si="18"/>
        <v>#VALUE!</v>
      </c>
      <c r="N82" t="e">
        <f t="shared" si="18"/>
        <v>#VALUE!</v>
      </c>
    </row>
    <row r="83" spans="1:14" x14ac:dyDescent="0.2">
      <c r="A83">
        <f t="shared" si="14"/>
        <v>1200000</v>
      </c>
      <c r="B83">
        <f t="shared" si="20"/>
        <v>0</v>
      </c>
      <c r="C83">
        <f t="shared" si="21"/>
        <v>0</v>
      </c>
      <c r="D83">
        <f t="shared" si="21"/>
        <v>0</v>
      </c>
      <c r="E83">
        <f t="shared" si="21"/>
        <v>0</v>
      </c>
      <c r="F83">
        <f t="shared" si="22"/>
        <v>0</v>
      </c>
      <c r="G83">
        <f t="shared" si="23"/>
        <v>0</v>
      </c>
      <c r="H83">
        <f t="shared" si="24"/>
        <v>0</v>
      </c>
      <c r="I83">
        <f t="shared" si="25"/>
        <v>0</v>
      </c>
      <c r="J83">
        <f t="shared" si="18"/>
        <v>0</v>
      </c>
      <c r="K83" t="e">
        <f t="shared" si="18"/>
        <v>#VALUE!</v>
      </c>
      <c r="L83" t="e">
        <f t="shared" si="12"/>
        <v>#VALUE!</v>
      </c>
      <c r="M83" t="e">
        <f t="shared" si="18"/>
        <v>#VALUE!</v>
      </c>
      <c r="N83" t="e">
        <f t="shared" si="18"/>
        <v>#VALUE!</v>
      </c>
    </row>
    <row r="84" spans="1:14" x14ac:dyDescent="0.2">
      <c r="A84">
        <f t="shared" si="14"/>
        <v>1500000</v>
      </c>
      <c r="B84">
        <f t="shared" si="20"/>
        <v>0</v>
      </c>
      <c r="C84">
        <f t="shared" si="21"/>
        <v>0</v>
      </c>
      <c r="D84">
        <f t="shared" si="21"/>
        <v>0</v>
      </c>
      <c r="E84">
        <f t="shared" si="21"/>
        <v>0</v>
      </c>
      <c r="F84">
        <f t="shared" si="22"/>
        <v>0</v>
      </c>
      <c r="G84">
        <f t="shared" si="23"/>
        <v>0</v>
      </c>
      <c r="H84">
        <f t="shared" si="24"/>
        <v>0</v>
      </c>
      <c r="I84">
        <f t="shared" si="25"/>
        <v>0</v>
      </c>
      <c r="J84">
        <f t="shared" si="18"/>
        <v>0</v>
      </c>
      <c r="K84" t="e">
        <f t="shared" si="18"/>
        <v>#VALUE!</v>
      </c>
      <c r="L84" t="e">
        <f t="shared" si="12"/>
        <v>#VALUE!</v>
      </c>
      <c r="M84" t="e">
        <f t="shared" si="18"/>
        <v>#VALUE!</v>
      </c>
      <c r="N84" t="e">
        <f t="shared" si="18"/>
        <v>#VALUE!</v>
      </c>
    </row>
    <row r="85" spans="1:14" x14ac:dyDescent="0.2">
      <c r="A85">
        <f t="shared" si="14"/>
        <v>1800000</v>
      </c>
      <c r="B85">
        <f t="shared" si="20"/>
        <v>0</v>
      </c>
      <c r="C85">
        <f t="shared" si="21"/>
        <v>0</v>
      </c>
      <c r="D85">
        <f t="shared" si="21"/>
        <v>0</v>
      </c>
      <c r="E85">
        <f t="shared" si="21"/>
        <v>0</v>
      </c>
      <c r="F85">
        <f t="shared" si="22"/>
        <v>0</v>
      </c>
      <c r="G85">
        <f t="shared" si="23"/>
        <v>0</v>
      </c>
      <c r="H85">
        <f t="shared" si="24"/>
        <v>0</v>
      </c>
      <c r="I85">
        <f t="shared" si="25"/>
        <v>0</v>
      </c>
      <c r="J85">
        <f t="shared" si="18"/>
        <v>0</v>
      </c>
      <c r="K85" t="e">
        <f t="shared" si="18"/>
        <v>#VALUE!</v>
      </c>
      <c r="L85" t="e">
        <f t="shared" ref="L85:L131" si="26">IF(IF((L$3*10^12-$A86)*(L$3*10^12-$A85)*-1&lt;0,0,1)*IF(ABS(L$3*10^12-$A86)&gt;(L$3*10^12-$A85),$A85,$A86)=L86,0,IF((L$3*10^12-$A86)*(L$3*10^12-$A85)*-1&lt;0,0,1)*IF(ABS(L$3*10^12-$A86)&gt;(L$3*10^12-$A85),$A85,$A86))</f>
        <v>#VALUE!</v>
      </c>
      <c r="M85" t="e">
        <f t="shared" si="18"/>
        <v>#VALUE!</v>
      </c>
      <c r="N85" t="e">
        <f t="shared" si="18"/>
        <v>#VALUE!</v>
      </c>
    </row>
    <row r="86" spans="1:14" x14ac:dyDescent="0.2">
      <c r="A86">
        <f t="shared" si="14"/>
        <v>2200000</v>
      </c>
      <c r="B86">
        <f t="shared" si="20"/>
        <v>0</v>
      </c>
      <c r="C86">
        <f t="shared" si="21"/>
        <v>0</v>
      </c>
      <c r="D86">
        <f t="shared" si="21"/>
        <v>0</v>
      </c>
      <c r="E86">
        <f t="shared" si="21"/>
        <v>0</v>
      </c>
      <c r="F86">
        <f t="shared" si="22"/>
        <v>0</v>
      </c>
      <c r="G86">
        <f t="shared" si="23"/>
        <v>0</v>
      </c>
      <c r="H86">
        <f t="shared" si="24"/>
        <v>0</v>
      </c>
      <c r="I86">
        <f t="shared" si="25"/>
        <v>0</v>
      </c>
      <c r="J86">
        <f t="shared" si="18"/>
        <v>0</v>
      </c>
      <c r="K86" t="e">
        <f t="shared" si="18"/>
        <v>#VALUE!</v>
      </c>
      <c r="L86" t="e">
        <f t="shared" si="26"/>
        <v>#VALUE!</v>
      </c>
      <c r="M86" t="e">
        <f t="shared" si="18"/>
        <v>#VALUE!</v>
      </c>
      <c r="N86" t="e">
        <f t="shared" si="18"/>
        <v>#VALUE!</v>
      </c>
    </row>
    <row r="87" spans="1:14" x14ac:dyDescent="0.2">
      <c r="A87">
        <f t="shared" si="14"/>
        <v>2700000</v>
      </c>
      <c r="B87">
        <f t="shared" si="20"/>
        <v>0</v>
      </c>
      <c r="C87">
        <f t="shared" si="21"/>
        <v>0</v>
      </c>
      <c r="D87">
        <f t="shared" si="21"/>
        <v>0</v>
      </c>
      <c r="E87">
        <f t="shared" si="21"/>
        <v>0</v>
      </c>
      <c r="F87">
        <f t="shared" si="22"/>
        <v>0</v>
      </c>
      <c r="G87">
        <f t="shared" si="23"/>
        <v>0</v>
      </c>
      <c r="H87">
        <f t="shared" si="24"/>
        <v>0</v>
      </c>
      <c r="I87">
        <f t="shared" si="25"/>
        <v>0</v>
      </c>
      <c r="J87">
        <f t="shared" si="18"/>
        <v>0</v>
      </c>
      <c r="K87" t="e">
        <f t="shared" si="18"/>
        <v>#VALUE!</v>
      </c>
      <c r="L87" t="e">
        <f t="shared" si="26"/>
        <v>#VALUE!</v>
      </c>
      <c r="M87" t="e">
        <f t="shared" si="18"/>
        <v>#VALUE!</v>
      </c>
      <c r="N87" t="e">
        <f t="shared" si="18"/>
        <v>#VALUE!</v>
      </c>
    </row>
    <row r="88" spans="1:14" x14ac:dyDescent="0.2">
      <c r="A88">
        <f t="shared" si="14"/>
        <v>3300000</v>
      </c>
      <c r="B88">
        <f t="shared" si="20"/>
        <v>0</v>
      </c>
      <c r="C88">
        <f t="shared" si="21"/>
        <v>0</v>
      </c>
      <c r="D88">
        <f t="shared" si="21"/>
        <v>0</v>
      </c>
      <c r="E88">
        <f t="shared" si="21"/>
        <v>0</v>
      </c>
      <c r="F88">
        <f t="shared" si="22"/>
        <v>0</v>
      </c>
      <c r="G88">
        <f t="shared" si="23"/>
        <v>0</v>
      </c>
      <c r="H88">
        <f t="shared" si="24"/>
        <v>0</v>
      </c>
      <c r="I88">
        <f t="shared" si="25"/>
        <v>0</v>
      </c>
      <c r="J88">
        <f t="shared" si="18"/>
        <v>0</v>
      </c>
      <c r="K88" t="e">
        <f t="shared" si="18"/>
        <v>#VALUE!</v>
      </c>
      <c r="L88" t="e">
        <f t="shared" si="26"/>
        <v>#VALUE!</v>
      </c>
      <c r="M88" t="e">
        <f t="shared" si="18"/>
        <v>#VALUE!</v>
      </c>
      <c r="N88" t="e">
        <f t="shared" si="18"/>
        <v>#VALUE!</v>
      </c>
    </row>
    <row r="89" spans="1:14" x14ac:dyDescent="0.2">
      <c r="A89">
        <f t="shared" si="14"/>
        <v>3900000</v>
      </c>
      <c r="B89">
        <f t="shared" si="20"/>
        <v>0</v>
      </c>
      <c r="C89">
        <f t="shared" si="21"/>
        <v>0</v>
      </c>
      <c r="D89">
        <f t="shared" si="21"/>
        <v>0</v>
      </c>
      <c r="E89">
        <f t="shared" si="21"/>
        <v>0</v>
      </c>
      <c r="F89">
        <f t="shared" si="22"/>
        <v>0</v>
      </c>
      <c r="G89">
        <f t="shared" si="23"/>
        <v>0</v>
      </c>
      <c r="H89">
        <f t="shared" si="24"/>
        <v>0</v>
      </c>
      <c r="I89">
        <f t="shared" si="25"/>
        <v>0</v>
      </c>
      <c r="J89">
        <f t="shared" si="18"/>
        <v>0</v>
      </c>
      <c r="K89" t="e">
        <f t="shared" si="18"/>
        <v>#VALUE!</v>
      </c>
      <c r="L89" t="e">
        <f t="shared" si="26"/>
        <v>#VALUE!</v>
      </c>
      <c r="M89" t="e">
        <f t="shared" si="18"/>
        <v>#VALUE!</v>
      </c>
      <c r="N89" t="e">
        <f t="shared" si="18"/>
        <v>#VALUE!</v>
      </c>
    </row>
    <row r="90" spans="1:14" x14ac:dyDescent="0.2">
      <c r="A90">
        <f t="shared" si="14"/>
        <v>4700000</v>
      </c>
      <c r="B90">
        <f t="shared" si="20"/>
        <v>0</v>
      </c>
      <c r="C90">
        <f t="shared" si="21"/>
        <v>0</v>
      </c>
      <c r="D90">
        <f t="shared" si="21"/>
        <v>0</v>
      </c>
      <c r="E90">
        <f t="shared" si="21"/>
        <v>0</v>
      </c>
      <c r="F90">
        <f t="shared" si="22"/>
        <v>0</v>
      </c>
      <c r="G90">
        <f t="shared" si="23"/>
        <v>0</v>
      </c>
      <c r="H90">
        <f t="shared" si="24"/>
        <v>0</v>
      </c>
      <c r="I90">
        <f t="shared" si="25"/>
        <v>0</v>
      </c>
      <c r="J90">
        <f t="shared" si="18"/>
        <v>0</v>
      </c>
      <c r="K90" t="e">
        <f t="shared" si="18"/>
        <v>#VALUE!</v>
      </c>
      <c r="L90" t="e">
        <f t="shared" si="26"/>
        <v>#VALUE!</v>
      </c>
      <c r="M90" t="e">
        <f t="shared" si="18"/>
        <v>#VALUE!</v>
      </c>
      <c r="N90" t="e">
        <f t="shared" si="18"/>
        <v>#VALUE!</v>
      </c>
    </row>
    <row r="91" spans="1:14" x14ac:dyDescent="0.2">
      <c r="A91">
        <f t="shared" si="14"/>
        <v>5600000</v>
      </c>
      <c r="B91">
        <f t="shared" si="20"/>
        <v>0</v>
      </c>
      <c r="C91">
        <f t="shared" si="21"/>
        <v>0</v>
      </c>
      <c r="D91">
        <f t="shared" si="21"/>
        <v>0</v>
      </c>
      <c r="E91">
        <f t="shared" si="21"/>
        <v>0</v>
      </c>
      <c r="F91">
        <f t="shared" si="22"/>
        <v>0</v>
      </c>
      <c r="G91">
        <f t="shared" si="23"/>
        <v>0</v>
      </c>
      <c r="H91">
        <f t="shared" si="24"/>
        <v>0</v>
      </c>
      <c r="I91">
        <f t="shared" si="25"/>
        <v>0</v>
      </c>
      <c r="J91">
        <f t="shared" si="18"/>
        <v>0</v>
      </c>
      <c r="K91" t="e">
        <f t="shared" si="18"/>
        <v>#VALUE!</v>
      </c>
      <c r="L91" t="e">
        <f t="shared" si="26"/>
        <v>#VALUE!</v>
      </c>
      <c r="M91" t="e">
        <f t="shared" si="18"/>
        <v>#VALUE!</v>
      </c>
      <c r="N91" t="e">
        <f t="shared" si="18"/>
        <v>#VALUE!</v>
      </c>
    </row>
    <row r="92" spans="1:14" x14ac:dyDescent="0.2">
      <c r="A92">
        <f t="shared" si="14"/>
        <v>6800000</v>
      </c>
      <c r="B92">
        <f t="shared" si="20"/>
        <v>0</v>
      </c>
      <c r="C92">
        <f t="shared" si="21"/>
        <v>0</v>
      </c>
      <c r="D92">
        <f t="shared" si="21"/>
        <v>0</v>
      </c>
      <c r="E92">
        <f t="shared" si="21"/>
        <v>0</v>
      </c>
      <c r="F92">
        <f t="shared" si="22"/>
        <v>0</v>
      </c>
      <c r="G92">
        <f t="shared" si="23"/>
        <v>0</v>
      </c>
      <c r="H92">
        <f t="shared" si="24"/>
        <v>0</v>
      </c>
      <c r="I92">
        <f t="shared" si="25"/>
        <v>0</v>
      </c>
      <c r="J92">
        <f t="shared" si="18"/>
        <v>0</v>
      </c>
      <c r="K92" t="e">
        <f t="shared" si="18"/>
        <v>#VALUE!</v>
      </c>
      <c r="L92" t="e">
        <f t="shared" si="26"/>
        <v>#VALUE!</v>
      </c>
      <c r="M92" t="e">
        <f t="shared" si="18"/>
        <v>#VALUE!</v>
      </c>
      <c r="N92" t="e">
        <f t="shared" si="18"/>
        <v>#VALUE!</v>
      </c>
    </row>
    <row r="93" spans="1:14" x14ac:dyDescent="0.2">
      <c r="A93">
        <f t="shared" si="14"/>
        <v>8200000</v>
      </c>
      <c r="B93">
        <f t="shared" si="20"/>
        <v>0</v>
      </c>
      <c r="C93">
        <f t="shared" si="21"/>
        <v>0</v>
      </c>
      <c r="D93">
        <f t="shared" si="21"/>
        <v>0</v>
      </c>
      <c r="E93">
        <f t="shared" si="21"/>
        <v>0</v>
      </c>
      <c r="F93">
        <f t="shared" si="22"/>
        <v>0</v>
      </c>
      <c r="G93">
        <f t="shared" si="23"/>
        <v>0</v>
      </c>
      <c r="H93">
        <f t="shared" si="24"/>
        <v>0</v>
      </c>
      <c r="I93">
        <f t="shared" si="25"/>
        <v>0</v>
      </c>
      <c r="J93">
        <f t="shared" si="18"/>
        <v>0</v>
      </c>
      <c r="K93" t="e">
        <f t="shared" si="18"/>
        <v>#VALUE!</v>
      </c>
      <c r="L93" t="e">
        <f t="shared" si="26"/>
        <v>#VALUE!</v>
      </c>
      <c r="M93" t="e">
        <f t="shared" si="18"/>
        <v>#VALUE!</v>
      </c>
      <c r="N93" t="e">
        <f t="shared" si="18"/>
        <v>#VALUE!</v>
      </c>
    </row>
    <row r="94" spans="1:14" x14ac:dyDescent="0.2">
      <c r="A94">
        <f t="shared" si="14"/>
        <v>10000000</v>
      </c>
      <c r="B94">
        <f t="shared" si="20"/>
        <v>0</v>
      </c>
      <c r="C94">
        <f t="shared" si="21"/>
        <v>0</v>
      </c>
      <c r="D94">
        <f t="shared" si="21"/>
        <v>0</v>
      </c>
      <c r="E94">
        <f t="shared" si="21"/>
        <v>0</v>
      </c>
      <c r="F94">
        <f t="shared" si="22"/>
        <v>0</v>
      </c>
      <c r="G94">
        <f t="shared" si="23"/>
        <v>0</v>
      </c>
      <c r="H94">
        <f t="shared" si="24"/>
        <v>0</v>
      </c>
      <c r="I94">
        <f t="shared" si="25"/>
        <v>0</v>
      </c>
      <c r="J94">
        <f t="shared" si="18"/>
        <v>0</v>
      </c>
      <c r="K94" t="e">
        <f t="shared" si="18"/>
        <v>#VALUE!</v>
      </c>
      <c r="L94" t="e">
        <f t="shared" si="26"/>
        <v>#VALUE!</v>
      </c>
      <c r="M94" t="e">
        <f t="shared" si="18"/>
        <v>#VALUE!</v>
      </c>
      <c r="N94" t="e">
        <f t="shared" si="18"/>
        <v>#VALUE!</v>
      </c>
    </row>
    <row r="95" spans="1:14" x14ac:dyDescent="0.2">
      <c r="A95">
        <f t="shared" si="14"/>
        <v>12000000</v>
      </c>
      <c r="B95">
        <f t="shared" si="20"/>
        <v>0</v>
      </c>
      <c r="C95">
        <f t="shared" si="21"/>
        <v>0</v>
      </c>
      <c r="D95">
        <f t="shared" si="21"/>
        <v>0</v>
      </c>
      <c r="E95">
        <f t="shared" si="21"/>
        <v>0</v>
      </c>
      <c r="F95">
        <f t="shared" si="22"/>
        <v>0</v>
      </c>
      <c r="G95">
        <f t="shared" si="23"/>
        <v>0</v>
      </c>
      <c r="H95">
        <f t="shared" si="24"/>
        <v>0</v>
      </c>
      <c r="I95">
        <f t="shared" si="25"/>
        <v>0</v>
      </c>
      <c r="J95">
        <f t="shared" si="18"/>
        <v>0</v>
      </c>
      <c r="K95" t="e">
        <f t="shared" si="18"/>
        <v>#VALUE!</v>
      </c>
      <c r="L95" t="e">
        <f t="shared" si="26"/>
        <v>#VALUE!</v>
      </c>
      <c r="M95" t="e">
        <f t="shared" si="18"/>
        <v>#VALUE!</v>
      </c>
      <c r="N95" t="e">
        <f t="shared" si="18"/>
        <v>#VALUE!</v>
      </c>
    </row>
    <row r="96" spans="1:14" x14ac:dyDescent="0.2">
      <c r="A96">
        <f t="shared" si="14"/>
        <v>15000000</v>
      </c>
      <c r="B96">
        <f t="shared" si="20"/>
        <v>0</v>
      </c>
      <c r="C96">
        <f t="shared" si="21"/>
        <v>0</v>
      </c>
      <c r="D96">
        <f t="shared" si="21"/>
        <v>0</v>
      </c>
      <c r="E96">
        <f t="shared" si="21"/>
        <v>0</v>
      </c>
      <c r="F96">
        <f t="shared" si="22"/>
        <v>0</v>
      </c>
      <c r="G96">
        <f t="shared" si="23"/>
        <v>0</v>
      </c>
      <c r="H96">
        <f t="shared" si="24"/>
        <v>0</v>
      </c>
      <c r="I96">
        <f t="shared" si="25"/>
        <v>0</v>
      </c>
      <c r="J96">
        <f t="shared" si="18"/>
        <v>0</v>
      </c>
      <c r="K96" t="e">
        <f t="shared" si="18"/>
        <v>#VALUE!</v>
      </c>
      <c r="L96" t="e">
        <f t="shared" si="26"/>
        <v>#VALUE!</v>
      </c>
      <c r="M96" t="e">
        <f t="shared" si="18"/>
        <v>#VALUE!</v>
      </c>
      <c r="N96" t="e">
        <f t="shared" si="18"/>
        <v>#VALUE!</v>
      </c>
    </row>
    <row r="97" spans="1:14" x14ac:dyDescent="0.2">
      <c r="A97">
        <f t="shared" si="14"/>
        <v>18000000</v>
      </c>
      <c r="B97">
        <f t="shared" si="20"/>
        <v>0</v>
      </c>
      <c r="C97">
        <f t="shared" si="21"/>
        <v>0</v>
      </c>
      <c r="D97">
        <f t="shared" si="21"/>
        <v>0</v>
      </c>
      <c r="E97">
        <f t="shared" si="21"/>
        <v>0</v>
      </c>
      <c r="F97">
        <f t="shared" si="22"/>
        <v>0</v>
      </c>
      <c r="G97">
        <f t="shared" si="23"/>
        <v>0</v>
      </c>
      <c r="H97">
        <f t="shared" si="24"/>
        <v>0</v>
      </c>
      <c r="I97">
        <f t="shared" si="25"/>
        <v>0</v>
      </c>
      <c r="J97">
        <f t="shared" si="18"/>
        <v>0</v>
      </c>
      <c r="K97" t="e">
        <f t="shared" si="18"/>
        <v>#VALUE!</v>
      </c>
      <c r="L97" t="e">
        <f t="shared" si="26"/>
        <v>#VALUE!</v>
      </c>
      <c r="M97" t="e">
        <f t="shared" si="18"/>
        <v>#VALUE!</v>
      </c>
      <c r="N97" t="e">
        <f t="shared" si="18"/>
        <v>#VALUE!</v>
      </c>
    </row>
    <row r="98" spans="1:14" x14ac:dyDescent="0.2">
      <c r="A98">
        <f t="shared" si="14"/>
        <v>22000000</v>
      </c>
      <c r="B98">
        <f t="shared" si="20"/>
        <v>0</v>
      </c>
      <c r="C98">
        <f t="shared" si="21"/>
        <v>0</v>
      </c>
      <c r="D98">
        <f t="shared" si="21"/>
        <v>0</v>
      </c>
      <c r="E98">
        <f t="shared" si="21"/>
        <v>0</v>
      </c>
      <c r="F98">
        <f t="shared" si="22"/>
        <v>0</v>
      </c>
      <c r="G98">
        <f t="shared" si="23"/>
        <v>0</v>
      </c>
      <c r="H98">
        <f t="shared" si="24"/>
        <v>0</v>
      </c>
      <c r="I98">
        <f t="shared" si="25"/>
        <v>0</v>
      </c>
      <c r="J98">
        <f t="shared" si="18"/>
        <v>0</v>
      </c>
      <c r="K98" t="e">
        <f t="shared" si="18"/>
        <v>#VALUE!</v>
      </c>
      <c r="L98" t="e">
        <f t="shared" si="26"/>
        <v>#VALUE!</v>
      </c>
      <c r="M98" t="e">
        <f t="shared" si="18"/>
        <v>#VALUE!</v>
      </c>
      <c r="N98" t="e">
        <f t="shared" si="18"/>
        <v>#VALUE!</v>
      </c>
    </row>
    <row r="99" spans="1:14" x14ac:dyDescent="0.2">
      <c r="A99">
        <f t="shared" ref="A99:A159" si="27">A87*10</f>
        <v>27000000</v>
      </c>
      <c r="B99">
        <f t="shared" si="20"/>
        <v>0</v>
      </c>
      <c r="C99">
        <f t="shared" si="21"/>
        <v>0</v>
      </c>
      <c r="D99">
        <f t="shared" si="21"/>
        <v>0</v>
      </c>
      <c r="E99">
        <f t="shared" si="21"/>
        <v>0</v>
      </c>
      <c r="F99">
        <f t="shared" si="22"/>
        <v>33000000</v>
      </c>
      <c r="G99">
        <f t="shared" si="23"/>
        <v>0</v>
      </c>
      <c r="H99">
        <f t="shared" si="24"/>
        <v>0</v>
      </c>
      <c r="I99">
        <f t="shared" si="25"/>
        <v>0</v>
      </c>
      <c r="J99">
        <f t="shared" si="18"/>
        <v>0</v>
      </c>
      <c r="K99" t="e">
        <f t="shared" si="18"/>
        <v>#VALUE!</v>
      </c>
      <c r="L99" t="e">
        <f t="shared" si="26"/>
        <v>#VALUE!</v>
      </c>
      <c r="M99" t="e">
        <f t="shared" si="18"/>
        <v>#VALUE!</v>
      </c>
      <c r="N99" t="e">
        <f t="shared" si="18"/>
        <v>#VALUE!</v>
      </c>
    </row>
    <row r="100" spans="1:14" x14ac:dyDescent="0.2">
      <c r="A100">
        <f t="shared" si="27"/>
        <v>33000000</v>
      </c>
      <c r="B100">
        <f t="shared" si="20"/>
        <v>0</v>
      </c>
      <c r="C100">
        <f t="shared" si="21"/>
        <v>0</v>
      </c>
      <c r="D100">
        <f t="shared" si="21"/>
        <v>0</v>
      </c>
      <c r="E100">
        <f t="shared" si="21"/>
        <v>0</v>
      </c>
      <c r="F100">
        <f t="shared" si="22"/>
        <v>0</v>
      </c>
      <c r="G100">
        <f t="shared" si="23"/>
        <v>0</v>
      </c>
      <c r="H100">
        <f t="shared" si="24"/>
        <v>0</v>
      </c>
      <c r="I100">
        <f t="shared" si="25"/>
        <v>0</v>
      </c>
      <c r="J100">
        <f t="shared" si="18"/>
        <v>0</v>
      </c>
      <c r="K100" t="e">
        <f t="shared" si="18"/>
        <v>#VALUE!</v>
      </c>
      <c r="L100" t="e">
        <f t="shared" si="26"/>
        <v>#VALUE!</v>
      </c>
      <c r="M100" t="e">
        <f t="shared" si="18"/>
        <v>#VALUE!</v>
      </c>
      <c r="N100" t="e">
        <f t="shared" si="18"/>
        <v>#VALUE!</v>
      </c>
    </row>
    <row r="101" spans="1:14" x14ac:dyDescent="0.2">
      <c r="A101">
        <f t="shared" si="27"/>
        <v>39000000</v>
      </c>
      <c r="B101">
        <f t="shared" si="20"/>
        <v>0</v>
      </c>
      <c r="C101">
        <f t="shared" si="21"/>
        <v>0</v>
      </c>
      <c r="D101">
        <f t="shared" si="21"/>
        <v>0</v>
      </c>
      <c r="E101">
        <f t="shared" si="21"/>
        <v>0</v>
      </c>
      <c r="F101">
        <f t="shared" si="22"/>
        <v>0</v>
      </c>
      <c r="G101">
        <f t="shared" si="23"/>
        <v>0</v>
      </c>
      <c r="H101">
        <f t="shared" si="24"/>
        <v>0</v>
      </c>
      <c r="I101">
        <f t="shared" si="25"/>
        <v>0</v>
      </c>
      <c r="J101">
        <f t="shared" si="18"/>
        <v>0</v>
      </c>
      <c r="K101" t="e">
        <f t="shared" si="18"/>
        <v>#VALUE!</v>
      </c>
      <c r="L101" t="e">
        <f t="shared" si="26"/>
        <v>#VALUE!</v>
      </c>
      <c r="M101" t="e">
        <f t="shared" si="18"/>
        <v>#VALUE!</v>
      </c>
      <c r="N101" t="e">
        <f t="shared" si="18"/>
        <v>#VALUE!</v>
      </c>
    </row>
    <row r="102" spans="1:14" x14ac:dyDescent="0.2">
      <c r="A102">
        <f t="shared" si="27"/>
        <v>47000000</v>
      </c>
      <c r="B102">
        <f t="shared" si="20"/>
        <v>0</v>
      </c>
      <c r="C102">
        <f t="shared" si="21"/>
        <v>0</v>
      </c>
      <c r="D102">
        <f t="shared" si="21"/>
        <v>0</v>
      </c>
      <c r="E102">
        <f t="shared" si="21"/>
        <v>0</v>
      </c>
      <c r="F102">
        <f t="shared" si="22"/>
        <v>0</v>
      </c>
      <c r="G102">
        <f t="shared" si="23"/>
        <v>0</v>
      </c>
      <c r="H102">
        <f t="shared" si="24"/>
        <v>0</v>
      </c>
      <c r="I102">
        <f t="shared" si="25"/>
        <v>0</v>
      </c>
      <c r="J102">
        <f t="shared" si="18"/>
        <v>0</v>
      </c>
      <c r="K102" t="e">
        <f t="shared" si="18"/>
        <v>#VALUE!</v>
      </c>
      <c r="L102" t="e">
        <f t="shared" si="26"/>
        <v>#VALUE!</v>
      </c>
      <c r="M102" t="e">
        <f t="shared" si="18"/>
        <v>#VALUE!</v>
      </c>
      <c r="N102" t="e">
        <f t="shared" si="18"/>
        <v>#VALUE!</v>
      </c>
    </row>
    <row r="103" spans="1:14" x14ac:dyDescent="0.2">
      <c r="A103">
        <f t="shared" si="27"/>
        <v>56000000</v>
      </c>
      <c r="B103">
        <f t="shared" si="20"/>
        <v>0</v>
      </c>
      <c r="C103">
        <f t="shared" si="21"/>
        <v>0</v>
      </c>
      <c r="D103">
        <f t="shared" si="21"/>
        <v>0</v>
      </c>
      <c r="E103">
        <f t="shared" si="21"/>
        <v>0</v>
      </c>
      <c r="F103">
        <f t="shared" ref="F103:F134" si="28">IF(IF((F$3*10^12-$A104)*(F$3*10^12-$A103)*-1&lt;0,0,1)*IF(ABS(F$3*10^12-$A104)&gt;(F$3*10^12-$A103),$A103,$A104)=F104,0,IF((F$3*10^12-$A104)*(F$3*10^12-$A103)*-1&lt;0,0,1)*IF(ABS(F$3*10^12-$A104)&gt;(F$3*10^12-$A103),$A103,$A104))</f>
        <v>0</v>
      </c>
      <c r="G103">
        <f t="shared" ref="G103:G134" si="29">IF(IF((G$3*10^12-$A104)*(G$3*10^12-$A103)*-1&lt;0,0,1)*IF(ABS(G$3*10^12-$A104)&gt;(G$3*10^12-$A103),$A103,$A104)=G104,0,IF((G$3*10^12-$A104)*(G$3*10^12-$A103)*-1&lt;0,0,1)*IF(ABS(G$3*10^12-$A104)&gt;(G$3*10^12-$A103),$A103,$A104))</f>
        <v>0</v>
      </c>
      <c r="H103">
        <f t="shared" ref="H103:H134" si="30">IF(IF((H$3*10^12-$A104)*(H$3*10^12-$A103)*-1&lt;0,0,1)*IF(ABS(H$3*10^12-$A104)&gt;(H$3*10^12-$A103),$A103,$A104)=H104,0,IF((H$3*10^12-$A104)*(H$3*10^12-$A103)*-1&lt;0,0,1)*IF(ABS(H$3*10^12-$A104)&gt;(H$3*10^12-$A103),$A103,$A104))</f>
        <v>0</v>
      </c>
      <c r="I103">
        <f t="shared" ref="I103:I134" si="31">IF(IF((I$3*10^12-$A104)*(I$3*10^12-$A103)*-1&lt;0,0,1)*IF(ABS(I$3*10^12-$A104)&gt;(I$3*10^12-$A103),$A103,$A104)=I104,0,IF((I$3*10^12-$A104)*(I$3*10^12-$A103)*-1&lt;0,0,1)*IF(ABS(I$3*10^12-$A104)&gt;(I$3*10^12-$A103),$A103,$A104))</f>
        <v>0</v>
      </c>
      <c r="J103">
        <f t="shared" si="18"/>
        <v>0</v>
      </c>
      <c r="K103" t="e">
        <f t="shared" si="18"/>
        <v>#VALUE!</v>
      </c>
      <c r="L103" t="e">
        <f t="shared" si="26"/>
        <v>#VALUE!</v>
      </c>
      <c r="M103" t="e">
        <f t="shared" si="18"/>
        <v>#VALUE!</v>
      </c>
      <c r="N103" t="e">
        <f t="shared" si="18"/>
        <v>#VALUE!</v>
      </c>
    </row>
    <row r="104" spans="1:14" x14ac:dyDescent="0.2">
      <c r="A104">
        <f t="shared" si="27"/>
        <v>68000000</v>
      </c>
      <c r="B104">
        <f t="shared" si="20"/>
        <v>0</v>
      </c>
      <c r="C104">
        <f t="shared" si="21"/>
        <v>0</v>
      </c>
      <c r="D104">
        <f t="shared" si="21"/>
        <v>0</v>
      </c>
      <c r="E104">
        <f t="shared" si="21"/>
        <v>0</v>
      </c>
      <c r="F104">
        <f t="shared" si="28"/>
        <v>0</v>
      </c>
      <c r="G104">
        <f t="shared" si="29"/>
        <v>0</v>
      </c>
      <c r="H104">
        <f t="shared" si="30"/>
        <v>0</v>
      </c>
      <c r="I104">
        <f t="shared" si="31"/>
        <v>0</v>
      </c>
      <c r="J104">
        <f t="shared" si="18"/>
        <v>0</v>
      </c>
      <c r="K104" t="e">
        <f t="shared" si="18"/>
        <v>#VALUE!</v>
      </c>
      <c r="L104" t="e">
        <f t="shared" si="26"/>
        <v>#VALUE!</v>
      </c>
      <c r="M104" t="e">
        <f t="shared" si="18"/>
        <v>#VALUE!</v>
      </c>
      <c r="N104" t="e">
        <f t="shared" si="18"/>
        <v>#VALUE!</v>
      </c>
    </row>
    <row r="105" spans="1:14" x14ac:dyDescent="0.2">
      <c r="A105">
        <f t="shared" si="27"/>
        <v>82000000</v>
      </c>
      <c r="B105">
        <f t="shared" si="20"/>
        <v>0</v>
      </c>
      <c r="C105">
        <f t="shared" si="21"/>
        <v>0</v>
      </c>
      <c r="D105">
        <f t="shared" si="21"/>
        <v>0</v>
      </c>
      <c r="E105">
        <f t="shared" si="21"/>
        <v>0</v>
      </c>
      <c r="F105">
        <f t="shared" si="28"/>
        <v>0</v>
      </c>
      <c r="G105">
        <f t="shared" si="29"/>
        <v>0</v>
      </c>
      <c r="H105">
        <f t="shared" si="30"/>
        <v>0</v>
      </c>
      <c r="I105">
        <f t="shared" si="31"/>
        <v>0</v>
      </c>
      <c r="J105">
        <f t="shared" si="18"/>
        <v>0</v>
      </c>
      <c r="K105" t="e">
        <f t="shared" si="18"/>
        <v>#VALUE!</v>
      </c>
      <c r="L105" t="e">
        <f t="shared" si="26"/>
        <v>#VALUE!</v>
      </c>
      <c r="M105" t="e">
        <f t="shared" si="18"/>
        <v>#VALUE!</v>
      </c>
      <c r="N105" t="e">
        <f t="shared" si="18"/>
        <v>#VALUE!</v>
      </c>
    </row>
    <row r="106" spans="1:14" x14ac:dyDescent="0.2">
      <c r="A106">
        <f t="shared" si="27"/>
        <v>100000000</v>
      </c>
      <c r="B106">
        <f t="shared" si="20"/>
        <v>0</v>
      </c>
      <c r="C106">
        <f t="shared" si="21"/>
        <v>0</v>
      </c>
      <c r="D106">
        <f t="shared" si="21"/>
        <v>0</v>
      </c>
      <c r="E106">
        <f t="shared" si="21"/>
        <v>0</v>
      </c>
      <c r="F106">
        <f t="shared" si="28"/>
        <v>0</v>
      </c>
      <c r="G106">
        <f t="shared" si="29"/>
        <v>0</v>
      </c>
      <c r="H106">
        <f t="shared" si="30"/>
        <v>0</v>
      </c>
      <c r="I106">
        <f t="shared" si="31"/>
        <v>0</v>
      </c>
      <c r="J106">
        <f t="shared" si="18"/>
        <v>0</v>
      </c>
      <c r="K106" t="e">
        <f t="shared" si="18"/>
        <v>#VALUE!</v>
      </c>
      <c r="L106" t="e">
        <f t="shared" si="26"/>
        <v>#VALUE!</v>
      </c>
      <c r="M106" t="e">
        <f t="shared" si="18"/>
        <v>#VALUE!</v>
      </c>
      <c r="N106" t="e">
        <f t="shared" si="18"/>
        <v>#VALUE!</v>
      </c>
    </row>
    <row r="107" spans="1:14" x14ac:dyDescent="0.2">
      <c r="A107">
        <f t="shared" si="27"/>
        <v>120000000</v>
      </c>
      <c r="B107">
        <f t="shared" si="20"/>
        <v>0</v>
      </c>
      <c r="C107">
        <f t="shared" si="21"/>
        <v>0</v>
      </c>
      <c r="D107">
        <f t="shared" si="21"/>
        <v>0</v>
      </c>
      <c r="E107">
        <f t="shared" si="21"/>
        <v>0</v>
      </c>
      <c r="F107">
        <f t="shared" si="28"/>
        <v>0</v>
      </c>
      <c r="G107">
        <f t="shared" si="29"/>
        <v>0</v>
      </c>
      <c r="H107">
        <f t="shared" si="30"/>
        <v>0</v>
      </c>
      <c r="I107">
        <f t="shared" si="31"/>
        <v>0</v>
      </c>
      <c r="J107">
        <f t="shared" si="18"/>
        <v>0</v>
      </c>
      <c r="K107" t="e">
        <f t="shared" si="18"/>
        <v>#VALUE!</v>
      </c>
      <c r="L107" t="e">
        <f t="shared" si="26"/>
        <v>#VALUE!</v>
      </c>
      <c r="M107" t="e">
        <f t="shared" si="18"/>
        <v>#VALUE!</v>
      </c>
      <c r="N107" t="e">
        <f t="shared" si="18"/>
        <v>#VALUE!</v>
      </c>
    </row>
    <row r="108" spans="1:14" x14ac:dyDescent="0.2">
      <c r="A108">
        <f t="shared" si="27"/>
        <v>150000000</v>
      </c>
      <c r="B108">
        <f t="shared" si="20"/>
        <v>0</v>
      </c>
      <c r="C108">
        <f t="shared" si="21"/>
        <v>0</v>
      </c>
      <c r="D108">
        <f t="shared" si="21"/>
        <v>0</v>
      </c>
      <c r="E108">
        <f t="shared" si="21"/>
        <v>0</v>
      </c>
      <c r="F108">
        <f t="shared" si="28"/>
        <v>0</v>
      </c>
      <c r="G108">
        <f t="shared" si="29"/>
        <v>0</v>
      </c>
      <c r="H108">
        <f t="shared" si="30"/>
        <v>0</v>
      </c>
      <c r="I108">
        <f t="shared" si="31"/>
        <v>0</v>
      </c>
      <c r="J108">
        <f t="shared" si="18"/>
        <v>0</v>
      </c>
      <c r="K108" t="e">
        <f t="shared" si="18"/>
        <v>#VALUE!</v>
      </c>
      <c r="L108" t="e">
        <f t="shared" si="26"/>
        <v>#VALUE!</v>
      </c>
      <c r="M108" t="e">
        <f t="shared" si="18"/>
        <v>#VALUE!</v>
      </c>
      <c r="N108" t="e">
        <f t="shared" si="18"/>
        <v>#VALUE!</v>
      </c>
    </row>
    <row r="109" spans="1:14" x14ac:dyDescent="0.2">
      <c r="A109">
        <f t="shared" si="27"/>
        <v>180000000</v>
      </c>
      <c r="B109">
        <f t="shared" si="20"/>
        <v>0</v>
      </c>
      <c r="C109">
        <f t="shared" si="21"/>
        <v>0</v>
      </c>
      <c r="D109">
        <f t="shared" si="21"/>
        <v>0</v>
      </c>
      <c r="E109">
        <f t="shared" si="21"/>
        <v>220000000</v>
      </c>
      <c r="F109">
        <f t="shared" si="28"/>
        <v>0</v>
      </c>
      <c r="G109">
        <f t="shared" si="29"/>
        <v>0</v>
      </c>
      <c r="H109">
        <f t="shared" si="30"/>
        <v>0</v>
      </c>
      <c r="I109">
        <f t="shared" si="31"/>
        <v>0</v>
      </c>
      <c r="J109">
        <f t="shared" si="18"/>
        <v>0</v>
      </c>
      <c r="K109" t="e">
        <f t="shared" si="18"/>
        <v>#VALUE!</v>
      </c>
      <c r="L109" t="e">
        <f t="shared" si="26"/>
        <v>#VALUE!</v>
      </c>
      <c r="M109" t="e">
        <f t="shared" si="18"/>
        <v>#VALUE!</v>
      </c>
      <c r="N109" t="e">
        <f t="shared" si="18"/>
        <v>#VALUE!</v>
      </c>
    </row>
    <row r="110" spans="1:14" x14ac:dyDescent="0.2">
      <c r="A110">
        <f t="shared" si="27"/>
        <v>220000000</v>
      </c>
      <c r="B110">
        <f t="shared" si="20"/>
        <v>0</v>
      </c>
      <c r="C110">
        <f t="shared" si="21"/>
        <v>0</v>
      </c>
      <c r="D110">
        <f t="shared" si="21"/>
        <v>0</v>
      </c>
      <c r="E110">
        <f t="shared" si="21"/>
        <v>0</v>
      </c>
      <c r="F110">
        <f t="shared" si="28"/>
        <v>0</v>
      </c>
      <c r="G110">
        <f t="shared" si="29"/>
        <v>0</v>
      </c>
      <c r="H110">
        <f t="shared" si="30"/>
        <v>0</v>
      </c>
      <c r="I110">
        <f t="shared" si="31"/>
        <v>0</v>
      </c>
      <c r="J110">
        <f t="shared" si="18"/>
        <v>0</v>
      </c>
      <c r="K110" t="e">
        <f t="shared" si="18"/>
        <v>#VALUE!</v>
      </c>
      <c r="L110" t="e">
        <f t="shared" si="26"/>
        <v>#VALUE!</v>
      </c>
      <c r="M110" t="e">
        <f t="shared" si="18"/>
        <v>#VALUE!</v>
      </c>
      <c r="N110" t="e">
        <f t="shared" si="18"/>
        <v>#VALUE!</v>
      </c>
    </row>
    <row r="111" spans="1:14" x14ac:dyDescent="0.2">
      <c r="A111">
        <f t="shared" si="27"/>
        <v>270000000</v>
      </c>
      <c r="B111">
        <f t="shared" si="20"/>
        <v>0</v>
      </c>
      <c r="C111">
        <f t="shared" si="21"/>
        <v>0</v>
      </c>
      <c r="D111">
        <f t="shared" si="21"/>
        <v>0</v>
      </c>
      <c r="E111">
        <f t="shared" si="21"/>
        <v>0</v>
      </c>
      <c r="F111">
        <f t="shared" si="28"/>
        <v>0</v>
      </c>
      <c r="G111">
        <f t="shared" si="29"/>
        <v>0</v>
      </c>
      <c r="H111">
        <f t="shared" si="30"/>
        <v>0</v>
      </c>
      <c r="I111">
        <f t="shared" si="31"/>
        <v>0</v>
      </c>
      <c r="J111">
        <f t="shared" si="18"/>
        <v>0</v>
      </c>
      <c r="K111" t="e">
        <f t="shared" si="18"/>
        <v>#VALUE!</v>
      </c>
      <c r="L111" t="e">
        <f t="shared" si="26"/>
        <v>#VALUE!</v>
      </c>
      <c r="M111" t="e">
        <f t="shared" si="18"/>
        <v>#VALUE!</v>
      </c>
      <c r="N111" t="e">
        <f t="shared" si="18"/>
        <v>#VALUE!</v>
      </c>
    </row>
    <row r="112" spans="1:14" x14ac:dyDescent="0.2">
      <c r="A112">
        <f t="shared" si="27"/>
        <v>330000000</v>
      </c>
      <c r="B112">
        <f t="shared" si="20"/>
        <v>0</v>
      </c>
      <c r="C112">
        <f t="shared" si="21"/>
        <v>0</v>
      </c>
      <c r="D112">
        <f t="shared" si="21"/>
        <v>0</v>
      </c>
      <c r="E112">
        <f t="shared" si="21"/>
        <v>0</v>
      </c>
      <c r="F112">
        <f t="shared" si="28"/>
        <v>0</v>
      </c>
      <c r="G112">
        <f t="shared" si="29"/>
        <v>0</v>
      </c>
      <c r="H112">
        <f t="shared" si="30"/>
        <v>0</v>
      </c>
      <c r="I112">
        <f t="shared" si="31"/>
        <v>0</v>
      </c>
      <c r="J112">
        <f t="shared" si="18"/>
        <v>0</v>
      </c>
      <c r="K112" t="e">
        <f t="shared" si="18"/>
        <v>#VALUE!</v>
      </c>
      <c r="L112" t="e">
        <f t="shared" si="26"/>
        <v>#VALUE!</v>
      </c>
      <c r="M112" t="e">
        <f t="shared" si="18"/>
        <v>#VALUE!</v>
      </c>
      <c r="N112" t="e">
        <f t="shared" si="18"/>
        <v>#VALUE!</v>
      </c>
    </row>
    <row r="113" spans="1:14" x14ac:dyDescent="0.2">
      <c r="A113">
        <f t="shared" si="27"/>
        <v>390000000</v>
      </c>
      <c r="B113">
        <f t="shared" si="20"/>
        <v>0</v>
      </c>
      <c r="C113">
        <f t="shared" si="21"/>
        <v>0</v>
      </c>
      <c r="D113">
        <f t="shared" si="21"/>
        <v>0</v>
      </c>
      <c r="E113">
        <f t="shared" si="21"/>
        <v>0</v>
      </c>
      <c r="F113">
        <f t="shared" si="28"/>
        <v>0</v>
      </c>
      <c r="G113">
        <f t="shared" si="29"/>
        <v>0</v>
      </c>
      <c r="H113">
        <f t="shared" si="30"/>
        <v>0</v>
      </c>
      <c r="I113">
        <f t="shared" si="31"/>
        <v>0</v>
      </c>
      <c r="J113">
        <f t="shared" si="18"/>
        <v>0</v>
      </c>
      <c r="K113" t="e">
        <f t="shared" si="18"/>
        <v>#VALUE!</v>
      </c>
      <c r="L113" t="e">
        <f t="shared" si="26"/>
        <v>#VALUE!</v>
      </c>
      <c r="M113" t="e">
        <f t="shared" si="18"/>
        <v>#VALUE!</v>
      </c>
      <c r="N113" t="e">
        <f t="shared" si="18"/>
        <v>#VALUE!</v>
      </c>
    </row>
    <row r="114" spans="1:14" x14ac:dyDescent="0.2">
      <c r="A114">
        <f t="shared" si="27"/>
        <v>470000000</v>
      </c>
      <c r="B114">
        <f t="shared" si="20"/>
        <v>0</v>
      </c>
      <c r="C114">
        <f t="shared" si="21"/>
        <v>0</v>
      </c>
      <c r="D114">
        <f t="shared" si="21"/>
        <v>0</v>
      </c>
      <c r="E114">
        <f t="shared" si="21"/>
        <v>0</v>
      </c>
      <c r="F114">
        <f t="shared" si="28"/>
        <v>0</v>
      </c>
      <c r="G114">
        <f t="shared" si="29"/>
        <v>0</v>
      </c>
      <c r="H114">
        <f t="shared" si="30"/>
        <v>0</v>
      </c>
      <c r="I114">
        <f t="shared" si="31"/>
        <v>0</v>
      </c>
      <c r="J114">
        <f t="shared" si="18"/>
        <v>0</v>
      </c>
      <c r="K114" t="e">
        <f t="shared" si="18"/>
        <v>#VALUE!</v>
      </c>
      <c r="L114" t="e">
        <f t="shared" si="26"/>
        <v>#VALUE!</v>
      </c>
      <c r="M114" t="e">
        <f t="shared" si="18"/>
        <v>#VALUE!</v>
      </c>
      <c r="N114" t="e">
        <f t="shared" si="18"/>
        <v>#VALUE!</v>
      </c>
    </row>
    <row r="115" spans="1:14" x14ac:dyDescent="0.2">
      <c r="A115">
        <f t="shared" si="27"/>
        <v>560000000</v>
      </c>
      <c r="B115">
        <f t="shared" si="20"/>
        <v>0</v>
      </c>
      <c r="C115">
        <f t="shared" si="21"/>
        <v>0</v>
      </c>
      <c r="D115">
        <f t="shared" si="21"/>
        <v>0</v>
      </c>
      <c r="E115">
        <f t="shared" si="21"/>
        <v>0</v>
      </c>
      <c r="F115">
        <f t="shared" si="28"/>
        <v>0</v>
      </c>
      <c r="G115">
        <f t="shared" si="29"/>
        <v>0</v>
      </c>
      <c r="H115">
        <f t="shared" si="30"/>
        <v>0</v>
      </c>
      <c r="I115">
        <f t="shared" si="31"/>
        <v>0</v>
      </c>
      <c r="J115">
        <f t="shared" si="18"/>
        <v>0</v>
      </c>
      <c r="K115" t="e">
        <f t="shared" si="18"/>
        <v>#VALUE!</v>
      </c>
      <c r="L115" t="e">
        <f t="shared" si="26"/>
        <v>#VALUE!</v>
      </c>
      <c r="M115" t="e">
        <f t="shared" si="18"/>
        <v>#VALUE!</v>
      </c>
      <c r="N115" t="e">
        <f t="shared" si="18"/>
        <v>#VALUE!</v>
      </c>
    </row>
    <row r="116" spans="1:14" x14ac:dyDescent="0.2">
      <c r="A116">
        <f t="shared" si="27"/>
        <v>680000000</v>
      </c>
      <c r="B116">
        <f t="shared" si="20"/>
        <v>0</v>
      </c>
      <c r="C116">
        <f t="shared" si="21"/>
        <v>0</v>
      </c>
      <c r="D116">
        <f t="shared" si="21"/>
        <v>0</v>
      </c>
      <c r="E116">
        <f t="shared" si="21"/>
        <v>0</v>
      </c>
      <c r="F116">
        <f t="shared" si="28"/>
        <v>0</v>
      </c>
      <c r="G116">
        <f t="shared" si="29"/>
        <v>0</v>
      </c>
      <c r="H116">
        <f t="shared" si="30"/>
        <v>0</v>
      </c>
      <c r="I116">
        <f t="shared" si="31"/>
        <v>0</v>
      </c>
      <c r="J116">
        <f t="shared" si="18"/>
        <v>0</v>
      </c>
      <c r="K116" t="e">
        <f t="shared" si="18"/>
        <v>#VALUE!</v>
      </c>
      <c r="L116" t="e">
        <f t="shared" si="26"/>
        <v>#VALUE!</v>
      </c>
      <c r="M116" t="e">
        <f t="shared" si="18"/>
        <v>#VALUE!</v>
      </c>
      <c r="N116" t="e">
        <f t="shared" si="18"/>
        <v>#VALUE!</v>
      </c>
    </row>
    <row r="117" spans="1:14" x14ac:dyDescent="0.2">
      <c r="A117">
        <f t="shared" si="27"/>
        <v>820000000</v>
      </c>
      <c r="B117">
        <f t="shared" si="20"/>
        <v>0</v>
      </c>
      <c r="C117">
        <f t="shared" si="21"/>
        <v>0</v>
      </c>
      <c r="D117">
        <f t="shared" si="21"/>
        <v>0</v>
      </c>
      <c r="E117">
        <f t="shared" si="21"/>
        <v>0</v>
      </c>
      <c r="F117">
        <f t="shared" si="28"/>
        <v>0</v>
      </c>
      <c r="G117">
        <f t="shared" si="29"/>
        <v>0</v>
      </c>
      <c r="H117">
        <f t="shared" si="30"/>
        <v>0</v>
      </c>
      <c r="I117">
        <f t="shared" si="31"/>
        <v>0</v>
      </c>
      <c r="J117">
        <f t="shared" si="18"/>
        <v>0</v>
      </c>
      <c r="K117" t="e">
        <f t="shared" si="18"/>
        <v>#VALUE!</v>
      </c>
      <c r="L117" t="e">
        <f t="shared" si="26"/>
        <v>#VALUE!</v>
      </c>
      <c r="M117" t="e">
        <f t="shared" si="18"/>
        <v>#VALUE!</v>
      </c>
      <c r="N117" t="e">
        <f t="shared" si="18"/>
        <v>#VALUE!</v>
      </c>
    </row>
    <row r="118" spans="1:14" x14ac:dyDescent="0.2">
      <c r="A118">
        <f t="shared" si="27"/>
        <v>1000000000</v>
      </c>
      <c r="B118">
        <f t="shared" si="20"/>
        <v>0</v>
      </c>
      <c r="C118">
        <f t="shared" si="21"/>
        <v>0</v>
      </c>
      <c r="D118">
        <f t="shared" si="21"/>
        <v>0</v>
      </c>
      <c r="E118">
        <f t="shared" si="21"/>
        <v>0</v>
      </c>
      <c r="F118">
        <f t="shared" si="28"/>
        <v>0</v>
      </c>
      <c r="G118">
        <f t="shared" si="29"/>
        <v>0</v>
      </c>
      <c r="H118">
        <f t="shared" si="30"/>
        <v>0</v>
      </c>
      <c r="I118">
        <f t="shared" si="31"/>
        <v>0</v>
      </c>
      <c r="J118">
        <f t="shared" si="18"/>
        <v>0</v>
      </c>
      <c r="K118" t="e">
        <f t="shared" si="18"/>
        <v>#VALUE!</v>
      </c>
      <c r="L118" t="e">
        <f t="shared" si="26"/>
        <v>#VALUE!</v>
      </c>
      <c r="M118" t="e">
        <f t="shared" si="18"/>
        <v>#VALUE!</v>
      </c>
      <c r="N118" t="e">
        <f t="shared" si="18"/>
        <v>#VALUE!</v>
      </c>
    </row>
    <row r="119" spans="1:14" x14ac:dyDescent="0.2">
      <c r="A119">
        <f t="shared" si="27"/>
        <v>1200000000</v>
      </c>
      <c r="B119">
        <f t="shared" si="20"/>
        <v>0</v>
      </c>
      <c r="C119">
        <f t="shared" si="21"/>
        <v>0</v>
      </c>
      <c r="D119">
        <f t="shared" si="21"/>
        <v>0</v>
      </c>
      <c r="E119">
        <f t="shared" si="21"/>
        <v>0</v>
      </c>
      <c r="F119">
        <f t="shared" si="28"/>
        <v>0</v>
      </c>
      <c r="G119">
        <f t="shared" si="29"/>
        <v>0</v>
      </c>
      <c r="H119">
        <f t="shared" si="30"/>
        <v>0</v>
      </c>
      <c r="I119">
        <f t="shared" si="31"/>
        <v>0</v>
      </c>
      <c r="J119">
        <f t="shared" si="18"/>
        <v>0</v>
      </c>
      <c r="K119" t="e">
        <f t="shared" si="18"/>
        <v>#VALUE!</v>
      </c>
      <c r="L119" t="e">
        <f t="shared" si="26"/>
        <v>#VALUE!</v>
      </c>
      <c r="M119" t="e">
        <f t="shared" si="18"/>
        <v>#VALUE!</v>
      </c>
      <c r="N119" t="e">
        <f t="shared" si="18"/>
        <v>#VALUE!</v>
      </c>
    </row>
    <row r="120" spans="1:14" x14ac:dyDescent="0.2">
      <c r="A120">
        <f t="shared" si="27"/>
        <v>1500000000</v>
      </c>
      <c r="B120">
        <f t="shared" si="20"/>
        <v>0</v>
      </c>
      <c r="C120">
        <f t="shared" si="21"/>
        <v>0</v>
      </c>
      <c r="D120">
        <f t="shared" si="21"/>
        <v>0</v>
      </c>
      <c r="E120">
        <f t="shared" si="21"/>
        <v>0</v>
      </c>
      <c r="F120">
        <f t="shared" si="28"/>
        <v>0</v>
      </c>
      <c r="G120">
        <f t="shared" si="29"/>
        <v>0</v>
      </c>
      <c r="H120">
        <f t="shared" si="30"/>
        <v>0</v>
      </c>
      <c r="I120">
        <f t="shared" si="31"/>
        <v>0</v>
      </c>
      <c r="J120">
        <f t="shared" si="18"/>
        <v>0</v>
      </c>
      <c r="K120" t="e">
        <f t="shared" si="18"/>
        <v>#VALUE!</v>
      </c>
      <c r="L120" t="e">
        <f t="shared" si="26"/>
        <v>#VALUE!</v>
      </c>
      <c r="M120" t="e">
        <f t="shared" si="18"/>
        <v>#VALUE!</v>
      </c>
      <c r="N120" t="e">
        <f t="shared" si="18"/>
        <v>#VALUE!</v>
      </c>
    </row>
    <row r="121" spans="1:14" x14ac:dyDescent="0.2">
      <c r="A121">
        <f t="shared" si="27"/>
        <v>1800000000</v>
      </c>
      <c r="B121">
        <f t="shared" si="20"/>
        <v>0</v>
      </c>
      <c r="C121">
        <f t="shared" si="21"/>
        <v>0</v>
      </c>
      <c r="D121">
        <f t="shared" si="21"/>
        <v>0</v>
      </c>
      <c r="E121">
        <f t="shared" si="21"/>
        <v>0</v>
      </c>
      <c r="F121">
        <f t="shared" si="28"/>
        <v>0</v>
      </c>
      <c r="G121">
        <f t="shared" si="29"/>
        <v>0</v>
      </c>
      <c r="H121">
        <f t="shared" si="30"/>
        <v>0</v>
      </c>
      <c r="I121">
        <f t="shared" si="31"/>
        <v>0</v>
      </c>
      <c r="J121">
        <f t="shared" si="18"/>
        <v>0</v>
      </c>
      <c r="K121" t="e">
        <f t="shared" si="18"/>
        <v>#VALUE!</v>
      </c>
      <c r="L121" t="e">
        <f t="shared" si="26"/>
        <v>#VALUE!</v>
      </c>
      <c r="M121" t="e">
        <f t="shared" si="18"/>
        <v>#VALUE!</v>
      </c>
      <c r="N121" t="e">
        <f t="shared" si="18"/>
        <v>#VALUE!</v>
      </c>
    </row>
    <row r="122" spans="1:14" x14ac:dyDescent="0.2">
      <c r="A122">
        <f t="shared" si="27"/>
        <v>2200000000</v>
      </c>
      <c r="B122">
        <f t="shared" si="20"/>
        <v>0</v>
      </c>
      <c r="C122">
        <f t="shared" si="21"/>
        <v>0</v>
      </c>
      <c r="D122">
        <f t="shared" si="21"/>
        <v>0</v>
      </c>
      <c r="E122">
        <f t="shared" si="21"/>
        <v>0</v>
      </c>
      <c r="F122">
        <f t="shared" si="28"/>
        <v>0</v>
      </c>
      <c r="G122">
        <f t="shared" si="29"/>
        <v>0</v>
      </c>
      <c r="H122">
        <f t="shared" si="30"/>
        <v>0</v>
      </c>
      <c r="I122">
        <f t="shared" si="31"/>
        <v>0</v>
      </c>
      <c r="J122">
        <f t="shared" si="18"/>
        <v>0</v>
      </c>
      <c r="K122" t="e">
        <f t="shared" si="18"/>
        <v>#VALUE!</v>
      </c>
      <c r="L122" t="e">
        <f t="shared" si="26"/>
        <v>#VALUE!</v>
      </c>
      <c r="M122" t="e">
        <f t="shared" si="18"/>
        <v>#VALUE!</v>
      </c>
      <c r="N122" t="e">
        <f t="shared" si="18"/>
        <v>#VALUE!</v>
      </c>
    </row>
    <row r="123" spans="1:14" x14ac:dyDescent="0.2">
      <c r="A123">
        <f t="shared" si="27"/>
        <v>2700000000</v>
      </c>
      <c r="B123">
        <f t="shared" si="20"/>
        <v>0</v>
      </c>
      <c r="C123">
        <f t="shared" si="21"/>
        <v>0</v>
      </c>
      <c r="D123">
        <f t="shared" si="21"/>
        <v>0</v>
      </c>
      <c r="E123">
        <f t="shared" si="21"/>
        <v>0</v>
      </c>
      <c r="F123">
        <f t="shared" si="28"/>
        <v>0</v>
      </c>
      <c r="G123">
        <f t="shared" si="29"/>
        <v>0</v>
      </c>
      <c r="H123">
        <f t="shared" si="30"/>
        <v>0</v>
      </c>
      <c r="I123">
        <f t="shared" si="31"/>
        <v>0</v>
      </c>
      <c r="J123">
        <f t="shared" si="18"/>
        <v>0</v>
      </c>
      <c r="K123" t="e">
        <f t="shared" si="18"/>
        <v>#VALUE!</v>
      </c>
      <c r="L123" t="e">
        <f t="shared" si="26"/>
        <v>#VALUE!</v>
      </c>
      <c r="M123" t="e">
        <f t="shared" si="18"/>
        <v>#VALUE!</v>
      </c>
      <c r="N123" t="e">
        <f t="shared" si="18"/>
        <v>#VALUE!</v>
      </c>
    </row>
    <row r="124" spans="1:14" x14ac:dyDescent="0.2">
      <c r="A124">
        <f t="shared" si="27"/>
        <v>3300000000</v>
      </c>
      <c r="B124">
        <f t="shared" si="20"/>
        <v>0</v>
      </c>
      <c r="C124">
        <f t="shared" si="21"/>
        <v>0</v>
      </c>
      <c r="D124">
        <f t="shared" si="21"/>
        <v>0</v>
      </c>
      <c r="E124">
        <f t="shared" si="21"/>
        <v>0</v>
      </c>
      <c r="F124">
        <f t="shared" si="28"/>
        <v>0</v>
      </c>
      <c r="G124">
        <f t="shared" si="29"/>
        <v>0</v>
      </c>
      <c r="H124">
        <f t="shared" si="30"/>
        <v>0</v>
      </c>
      <c r="I124">
        <f t="shared" si="31"/>
        <v>0</v>
      </c>
      <c r="J124">
        <f t="shared" si="18"/>
        <v>0</v>
      </c>
      <c r="K124" t="e">
        <f t="shared" si="18"/>
        <v>#VALUE!</v>
      </c>
      <c r="L124" t="e">
        <f t="shared" si="26"/>
        <v>#VALUE!</v>
      </c>
      <c r="M124" t="e">
        <f t="shared" si="18"/>
        <v>#VALUE!</v>
      </c>
      <c r="N124" t="e">
        <f t="shared" si="18"/>
        <v>#VALUE!</v>
      </c>
    </row>
    <row r="125" spans="1:14" x14ac:dyDescent="0.2">
      <c r="A125">
        <f t="shared" si="27"/>
        <v>3900000000</v>
      </c>
      <c r="B125">
        <f t="shared" si="20"/>
        <v>0</v>
      </c>
      <c r="C125">
        <f t="shared" si="21"/>
        <v>0</v>
      </c>
      <c r="D125">
        <f t="shared" si="21"/>
        <v>0</v>
      </c>
      <c r="E125">
        <f t="shared" si="21"/>
        <v>0</v>
      </c>
      <c r="F125">
        <f t="shared" si="28"/>
        <v>0</v>
      </c>
      <c r="G125">
        <f t="shared" si="29"/>
        <v>0</v>
      </c>
      <c r="H125">
        <f t="shared" si="30"/>
        <v>0</v>
      </c>
      <c r="I125">
        <f t="shared" si="31"/>
        <v>0</v>
      </c>
      <c r="J125">
        <f t="shared" si="18"/>
        <v>0</v>
      </c>
      <c r="K125" t="e">
        <f t="shared" si="18"/>
        <v>#VALUE!</v>
      </c>
      <c r="L125" t="e">
        <f t="shared" si="26"/>
        <v>#VALUE!</v>
      </c>
      <c r="M125" t="e">
        <f t="shared" si="18"/>
        <v>#VALUE!</v>
      </c>
      <c r="N125" t="e">
        <f t="shared" si="18"/>
        <v>#VALUE!</v>
      </c>
    </row>
    <row r="126" spans="1:14" x14ac:dyDescent="0.2">
      <c r="A126">
        <f t="shared" si="27"/>
        <v>4700000000</v>
      </c>
      <c r="B126">
        <f t="shared" si="20"/>
        <v>0</v>
      </c>
      <c r="C126">
        <f t="shared" si="21"/>
        <v>0</v>
      </c>
      <c r="D126">
        <f t="shared" si="21"/>
        <v>0</v>
      </c>
      <c r="E126">
        <f t="shared" si="21"/>
        <v>0</v>
      </c>
      <c r="F126">
        <f t="shared" si="28"/>
        <v>0</v>
      </c>
      <c r="G126">
        <f t="shared" si="29"/>
        <v>0</v>
      </c>
      <c r="H126">
        <f t="shared" si="30"/>
        <v>0</v>
      </c>
      <c r="I126">
        <f t="shared" si="31"/>
        <v>0</v>
      </c>
      <c r="J126">
        <f t="shared" si="18"/>
        <v>0</v>
      </c>
      <c r="K126" t="e">
        <f t="shared" si="18"/>
        <v>#VALUE!</v>
      </c>
      <c r="L126" t="e">
        <f t="shared" si="26"/>
        <v>#VALUE!</v>
      </c>
      <c r="M126" t="e">
        <f t="shared" si="18"/>
        <v>#VALUE!</v>
      </c>
      <c r="N126" t="e">
        <f t="shared" si="18"/>
        <v>#VALUE!</v>
      </c>
    </row>
    <row r="127" spans="1:14" x14ac:dyDescent="0.2">
      <c r="A127">
        <f t="shared" si="27"/>
        <v>5600000000</v>
      </c>
      <c r="B127">
        <f t="shared" si="20"/>
        <v>0</v>
      </c>
      <c r="C127">
        <f t="shared" si="21"/>
        <v>0</v>
      </c>
      <c r="D127">
        <f t="shared" si="21"/>
        <v>0</v>
      </c>
      <c r="E127">
        <f t="shared" si="21"/>
        <v>0</v>
      </c>
      <c r="F127">
        <f t="shared" si="28"/>
        <v>0</v>
      </c>
      <c r="G127">
        <f t="shared" si="29"/>
        <v>0</v>
      </c>
      <c r="H127">
        <f t="shared" si="30"/>
        <v>0</v>
      </c>
      <c r="I127">
        <f t="shared" si="31"/>
        <v>0</v>
      </c>
      <c r="J127">
        <f t="shared" si="18"/>
        <v>0</v>
      </c>
      <c r="K127" t="e">
        <f t="shared" si="18"/>
        <v>#VALUE!</v>
      </c>
      <c r="L127" t="e">
        <f t="shared" si="26"/>
        <v>#VALUE!</v>
      </c>
      <c r="M127" t="e">
        <f t="shared" si="18"/>
        <v>#VALUE!</v>
      </c>
      <c r="N127" t="e">
        <f t="shared" si="18"/>
        <v>#VALUE!</v>
      </c>
    </row>
    <row r="128" spans="1:14" x14ac:dyDescent="0.2">
      <c r="A128">
        <f t="shared" si="27"/>
        <v>6800000000</v>
      </c>
      <c r="B128">
        <f t="shared" si="20"/>
        <v>0</v>
      </c>
      <c r="C128">
        <f t="shared" si="21"/>
        <v>0</v>
      </c>
      <c r="D128">
        <f t="shared" si="21"/>
        <v>0</v>
      </c>
      <c r="E128">
        <f t="shared" si="21"/>
        <v>0</v>
      </c>
      <c r="F128">
        <f t="shared" si="28"/>
        <v>0</v>
      </c>
      <c r="G128">
        <f t="shared" si="29"/>
        <v>0</v>
      </c>
      <c r="H128">
        <f t="shared" si="30"/>
        <v>0</v>
      </c>
      <c r="I128">
        <f t="shared" si="31"/>
        <v>0</v>
      </c>
      <c r="J128">
        <f t="shared" si="18"/>
        <v>0</v>
      </c>
      <c r="K128" t="e">
        <f t="shared" si="18"/>
        <v>#VALUE!</v>
      </c>
      <c r="L128" t="e">
        <f t="shared" si="26"/>
        <v>#VALUE!</v>
      </c>
      <c r="M128" t="e">
        <f t="shared" si="18"/>
        <v>#VALUE!</v>
      </c>
      <c r="N128" t="e">
        <f t="shared" si="18"/>
        <v>#VALUE!</v>
      </c>
    </row>
    <row r="129" spans="1:14" x14ac:dyDescent="0.2">
      <c r="A129">
        <f t="shared" si="27"/>
        <v>8200000000</v>
      </c>
      <c r="B129">
        <f t="shared" si="20"/>
        <v>0</v>
      </c>
      <c r="C129">
        <f t="shared" si="21"/>
        <v>0</v>
      </c>
      <c r="D129">
        <f t="shared" si="21"/>
        <v>0</v>
      </c>
      <c r="E129">
        <f t="shared" si="21"/>
        <v>0</v>
      </c>
      <c r="F129">
        <f t="shared" si="28"/>
        <v>0</v>
      </c>
      <c r="G129">
        <f t="shared" si="29"/>
        <v>0</v>
      </c>
      <c r="H129">
        <f t="shared" si="30"/>
        <v>0</v>
      </c>
      <c r="I129">
        <f t="shared" si="31"/>
        <v>0</v>
      </c>
      <c r="J129">
        <f t="shared" si="18"/>
        <v>0</v>
      </c>
      <c r="K129" t="e">
        <f t="shared" si="18"/>
        <v>#VALUE!</v>
      </c>
      <c r="L129" t="e">
        <f t="shared" si="26"/>
        <v>#VALUE!</v>
      </c>
      <c r="M129" t="e">
        <f t="shared" si="18"/>
        <v>#VALUE!</v>
      </c>
      <c r="N129" t="e">
        <f t="shared" si="18"/>
        <v>#VALUE!</v>
      </c>
    </row>
    <row r="130" spans="1:14" x14ac:dyDescent="0.2">
      <c r="A130">
        <f t="shared" si="27"/>
        <v>10000000000</v>
      </c>
      <c r="B130">
        <f t="shared" si="20"/>
        <v>0</v>
      </c>
      <c r="C130">
        <f t="shared" si="21"/>
        <v>0</v>
      </c>
      <c r="D130">
        <f t="shared" si="21"/>
        <v>0</v>
      </c>
      <c r="E130">
        <f t="shared" si="21"/>
        <v>0</v>
      </c>
      <c r="F130">
        <f t="shared" si="28"/>
        <v>0</v>
      </c>
      <c r="G130">
        <f t="shared" si="29"/>
        <v>0</v>
      </c>
      <c r="H130">
        <f t="shared" si="30"/>
        <v>0</v>
      </c>
      <c r="I130">
        <f t="shared" si="31"/>
        <v>0</v>
      </c>
      <c r="J130">
        <f t="shared" si="18"/>
        <v>0</v>
      </c>
      <c r="K130" t="e">
        <f t="shared" si="18"/>
        <v>#VALUE!</v>
      </c>
      <c r="L130" t="e">
        <f t="shared" si="26"/>
        <v>#VALUE!</v>
      </c>
      <c r="M130" t="e">
        <f t="shared" si="18"/>
        <v>#VALUE!</v>
      </c>
      <c r="N130" t="e">
        <f t="shared" si="18"/>
        <v>#VALUE!</v>
      </c>
    </row>
    <row r="131" spans="1:14" x14ac:dyDescent="0.2">
      <c r="A131">
        <f t="shared" si="27"/>
        <v>12000000000</v>
      </c>
      <c r="B131">
        <f t="shared" si="20"/>
        <v>0</v>
      </c>
      <c r="C131">
        <f t="shared" si="21"/>
        <v>0</v>
      </c>
      <c r="D131">
        <f t="shared" si="21"/>
        <v>0</v>
      </c>
      <c r="E131">
        <f t="shared" si="21"/>
        <v>0</v>
      </c>
      <c r="F131">
        <f t="shared" si="28"/>
        <v>0</v>
      </c>
      <c r="G131">
        <f t="shared" si="29"/>
        <v>0</v>
      </c>
      <c r="H131">
        <f t="shared" si="30"/>
        <v>0</v>
      </c>
      <c r="I131">
        <f t="shared" si="31"/>
        <v>0</v>
      </c>
      <c r="J131">
        <f t="shared" si="18"/>
        <v>0</v>
      </c>
      <c r="K131" t="e">
        <f t="shared" si="18"/>
        <v>#VALUE!</v>
      </c>
      <c r="L131" t="e">
        <f t="shared" si="26"/>
        <v>#VALUE!</v>
      </c>
      <c r="M131" t="e">
        <f t="shared" si="18"/>
        <v>#VALUE!</v>
      </c>
      <c r="N131" t="e">
        <f t="shared" si="18"/>
        <v>#VALUE!</v>
      </c>
    </row>
    <row r="132" spans="1:14" x14ac:dyDescent="0.2">
      <c r="A132">
        <f t="shared" si="27"/>
        <v>15000000000</v>
      </c>
      <c r="B132">
        <f t="shared" si="20"/>
        <v>0</v>
      </c>
      <c r="C132">
        <f t="shared" si="21"/>
        <v>0</v>
      </c>
      <c r="D132">
        <f t="shared" si="21"/>
        <v>0</v>
      </c>
      <c r="E132">
        <f t="shared" si="21"/>
        <v>0</v>
      </c>
      <c r="F132">
        <f t="shared" si="28"/>
        <v>0</v>
      </c>
      <c r="G132">
        <f t="shared" si="29"/>
        <v>0</v>
      </c>
      <c r="H132">
        <f t="shared" si="30"/>
        <v>0</v>
      </c>
      <c r="I132">
        <f t="shared" si="31"/>
        <v>0</v>
      </c>
      <c r="J132">
        <f t="shared" si="18"/>
        <v>0</v>
      </c>
      <c r="K132" t="e">
        <f>IF(IF((K$3*10^12-$A133)*(K$3*10^12-$A132)*-1&lt;0,0,1)*IF(ABS(K$3*10^12-$A133)&gt;(K$3*10^12-$A132),$A132,$A133)=K133,0,IF((K$3*10^12-$A133)*(K$3*10^12-$A132)*-1&lt;0,0,1)*IF(ABS(K$3*10^12-$A133)&gt;(K$3*10^12-$A132),$A132,$A133))</f>
        <v>#VALUE!</v>
      </c>
      <c r="L132" t="e">
        <f>IF(IF((L$3*10^12-$A133)*(L$3*10^12-$A132)*-1&lt;0,0,1)*IF(ABS(L$3*10^12-$A133)&gt;(L$3*10^12-$A132),$A132,$A133)=L133,0,IF((L$3*10^12-$A133)*(L$3*10^12-$A132)*-1&lt;0,0,1)*IF(ABS(L$3*10^12-$A133)&gt;(L$3*10^12-$A132),$A132,$A133))</f>
        <v>#VALUE!</v>
      </c>
      <c r="M132" t="e">
        <f t="shared" si="18"/>
        <v>#VALUE!</v>
      </c>
      <c r="N132" t="e">
        <f t="shared" si="18"/>
        <v>#VALUE!</v>
      </c>
    </row>
    <row r="133" spans="1:14" x14ac:dyDescent="0.2">
      <c r="A133">
        <f t="shared" si="27"/>
        <v>18000000000</v>
      </c>
      <c r="B133">
        <f t="shared" si="20"/>
        <v>0</v>
      </c>
      <c r="C133">
        <f t="shared" si="21"/>
        <v>0</v>
      </c>
      <c r="D133">
        <f t="shared" si="21"/>
        <v>0</v>
      </c>
      <c r="E133">
        <f t="shared" si="21"/>
        <v>0</v>
      </c>
      <c r="F133">
        <f t="shared" si="28"/>
        <v>0</v>
      </c>
      <c r="G133">
        <f t="shared" si="29"/>
        <v>0</v>
      </c>
      <c r="H133">
        <f t="shared" si="30"/>
        <v>0</v>
      </c>
      <c r="I133">
        <f t="shared" si="31"/>
        <v>0</v>
      </c>
      <c r="J133">
        <f t="shared" ref="J133:L134" si="32">IF(IF((J$3*10^12-$A134)*(J$3*10^12-$A133)*-1&lt;0,0,1)*IF(ABS(J$3*10^12-$A134)&gt;(J$3*10^12-$A133),$A133,$A134)=J134,0,IF((J$3*10^12-$A134)*(J$3*10^12-$A133)*-1&lt;0,0,1)*IF(ABS(J$3*10^12-$A134)&gt;(J$3*10^12-$A133),$A133,$A134))</f>
        <v>0</v>
      </c>
      <c r="K133" t="e">
        <f t="shared" si="32"/>
        <v>#VALUE!</v>
      </c>
      <c r="L133" t="e">
        <f t="shared" si="32"/>
        <v>#VALUE!</v>
      </c>
      <c r="M133" t="e">
        <f>IF(IF((M$3*10^12-$A134)*(M$3*10^12-$A133)*-1&lt;0,0,1)*IF(ABS(M$3*10^12-$A134)&gt;(M$3*10^12-$A133),$A133,$A134)=M134,0,IF((M$3*10^12-$A134)*(M$3*10^12-$A133)*-1&lt;0,0,1)*IF(ABS(M$3*10^12-$A134)&gt;(M$3*10^12-$A133),$A133,$A134))</f>
        <v>#VALUE!</v>
      </c>
      <c r="N133" t="e">
        <f>IF(IF((N$3*10^12-$A134)*(N$3*10^12-$A133)*-1&lt;0,0,1)*IF(ABS(N$3*10^12-$A134)&gt;(N$3*10^12-$A133),$A133,$A134)=N134,0,IF((N$3*10^12-$A134)*(N$3*10^12-$A133)*-1&lt;0,0,1)*IF(ABS(N$3*10^12-$A134)&gt;(N$3*10^12-$A133),$A133,$A134))</f>
        <v>#VALUE!</v>
      </c>
    </row>
    <row r="134" spans="1:14" x14ac:dyDescent="0.2">
      <c r="A134">
        <f t="shared" si="27"/>
        <v>22000000000</v>
      </c>
      <c r="B134">
        <f t="shared" si="20"/>
        <v>0</v>
      </c>
      <c r="C134">
        <f t="shared" si="21"/>
        <v>0</v>
      </c>
      <c r="D134">
        <f t="shared" si="21"/>
        <v>0</v>
      </c>
      <c r="E134">
        <f t="shared" ref="E134:N159" si="33">IF(IF((E$3*10^12-$A135)*(E$3*10^12-$A134)*-1&lt;0,0,1)*IF(ABS(E$3*10^12-$A135)&gt;(E$3*10^12-$A134),$A134,$A135)=E135,0,IF((E$3*10^12-$A135)*(E$3*10^12-$A134)*-1&lt;0,0,1)*IF(ABS(E$3*10^12-$A135)&gt;(E$3*10^12-$A134),$A134,$A135))</f>
        <v>0</v>
      </c>
      <c r="F134">
        <f t="shared" si="28"/>
        <v>0</v>
      </c>
      <c r="G134">
        <f t="shared" si="29"/>
        <v>0</v>
      </c>
      <c r="H134">
        <f t="shared" si="30"/>
        <v>0</v>
      </c>
      <c r="I134">
        <f t="shared" si="31"/>
        <v>0</v>
      </c>
      <c r="J134">
        <f t="shared" si="32"/>
        <v>0</v>
      </c>
      <c r="K134" t="e">
        <f t="shared" si="32"/>
        <v>#VALUE!</v>
      </c>
      <c r="L134" t="e">
        <f t="shared" si="32"/>
        <v>#VALUE!</v>
      </c>
      <c r="M134" t="e">
        <f>IF(IF((M$3*10^12-$A135)*(M$3*10^12-$A134)*-1&lt;0,0,1)*IF(ABS(M$3*10^12-$A135)&gt;(M$3*10^12-$A134),$A134,$A135)=M135,0,IF((M$3*10^12-$A135)*(M$3*10^12-$A134)*-1&lt;0,0,1)*IF(ABS(M$3*10^12-$A135)&gt;(M$3*10^12-$A134),$A134,$A135))</f>
        <v>#VALUE!</v>
      </c>
      <c r="N134" t="e">
        <f>IF(IF((N$3*10^12-$A135)*(N$3*10^12-$A134)*-1&lt;0,0,1)*IF(ABS(N$3*10^12-$A135)&gt;(N$3*10^12-$A134),$A134,$A135)=N135,0,IF((N$3*10^12-$A135)*(N$3*10^12-$A134)*-1&lt;0,0,1)*IF(ABS(N$3*10^12-$A135)&gt;(N$3*10^12-$A134),$A134,$A135))</f>
        <v>#VALUE!</v>
      </c>
    </row>
    <row r="135" spans="1:14" x14ac:dyDescent="0.2">
      <c r="A135">
        <f t="shared" si="27"/>
        <v>27000000000</v>
      </c>
      <c r="B135">
        <f t="shared" ref="B135:B159" si="34">IF(IF((B$3*10^12-$A136)*(B$3*10^12-$A135)*-1&lt;0,0,1)*IF(ABS(B$3*10^12-$A136)&gt;(B$3*10^12-$A135),$A135,$A136)=B136,0,IF((B$3*10^12-$A136)*(B$3*10^12-$A135)*-1&lt;0,0,1)*IF(ABS(B$3*10^12-$A136)&gt;(B$3*10^12-$A135),$A135,$A136))</f>
        <v>0</v>
      </c>
      <c r="C135">
        <f t="shared" ref="C135:D159" si="35">IF(IF((C$3*10^12-$A136)*(C$3*10^12-$A135)*-1&lt;0,0,1)*IF(ABS(C$3*10^12-$A136)&gt;(C$3*10^12-$A135),$A135,$A136)=C136,0,IF((C$3*10^12-$A136)*(C$3*10^12-$A135)*-1&lt;0,0,1)*IF(ABS(C$3*10^12-$A136)&gt;(C$3*10^12-$A135),$A135,$A136))</f>
        <v>0</v>
      </c>
      <c r="D135">
        <f t="shared" si="35"/>
        <v>0</v>
      </c>
      <c r="E135">
        <f t="shared" si="33"/>
        <v>0</v>
      </c>
      <c r="F135">
        <f t="shared" si="33"/>
        <v>0</v>
      </c>
      <c r="G135">
        <f t="shared" si="33"/>
        <v>0</v>
      </c>
      <c r="H135">
        <f t="shared" si="33"/>
        <v>0</v>
      </c>
      <c r="I135">
        <f t="shared" si="33"/>
        <v>0</v>
      </c>
      <c r="J135">
        <f t="shared" si="33"/>
        <v>0</v>
      </c>
      <c r="K135" t="e">
        <f t="shared" si="33"/>
        <v>#VALUE!</v>
      </c>
      <c r="L135" t="e">
        <f t="shared" si="33"/>
        <v>#VALUE!</v>
      </c>
      <c r="M135" t="e">
        <f t="shared" si="33"/>
        <v>#VALUE!</v>
      </c>
      <c r="N135" t="e">
        <f t="shared" si="33"/>
        <v>#VALUE!</v>
      </c>
    </row>
    <row r="136" spans="1:14" x14ac:dyDescent="0.2">
      <c r="A136">
        <f t="shared" si="27"/>
        <v>33000000000</v>
      </c>
      <c r="B136">
        <f t="shared" si="34"/>
        <v>0</v>
      </c>
      <c r="C136">
        <f t="shared" si="35"/>
        <v>0</v>
      </c>
      <c r="D136">
        <f t="shared" si="35"/>
        <v>0</v>
      </c>
      <c r="E136">
        <f t="shared" si="33"/>
        <v>0</v>
      </c>
      <c r="F136">
        <f t="shared" si="33"/>
        <v>0</v>
      </c>
      <c r="G136">
        <f t="shared" si="33"/>
        <v>0</v>
      </c>
      <c r="H136">
        <f t="shared" si="33"/>
        <v>0</v>
      </c>
      <c r="I136">
        <f t="shared" si="33"/>
        <v>0</v>
      </c>
      <c r="J136">
        <f t="shared" si="33"/>
        <v>0</v>
      </c>
      <c r="K136" t="e">
        <f t="shared" si="33"/>
        <v>#VALUE!</v>
      </c>
      <c r="L136" t="e">
        <f t="shared" si="33"/>
        <v>#VALUE!</v>
      </c>
      <c r="M136" t="e">
        <f t="shared" si="33"/>
        <v>#VALUE!</v>
      </c>
      <c r="N136" t="e">
        <f t="shared" si="33"/>
        <v>#VALUE!</v>
      </c>
    </row>
    <row r="137" spans="1:14" x14ac:dyDescent="0.2">
      <c r="A137">
        <f t="shared" si="27"/>
        <v>39000000000</v>
      </c>
      <c r="B137">
        <f t="shared" si="34"/>
        <v>0</v>
      </c>
      <c r="C137">
        <f t="shared" si="35"/>
        <v>0</v>
      </c>
      <c r="D137">
        <f t="shared" si="35"/>
        <v>0</v>
      </c>
      <c r="E137">
        <f t="shared" si="33"/>
        <v>0</v>
      </c>
      <c r="F137">
        <f t="shared" si="33"/>
        <v>0</v>
      </c>
      <c r="G137">
        <f t="shared" si="33"/>
        <v>0</v>
      </c>
      <c r="H137">
        <f t="shared" si="33"/>
        <v>0</v>
      </c>
      <c r="I137">
        <f t="shared" si="33"/>
        <v>0</v>
      </c>
      <c r="J137">
        <f t="shared" si="33"/>
        <v>0</v>
      </c>
      <c r="K137" t="e">
        <f t="shared" si="33"/>
        <v>#VALUE!</v>
      </c>
      <c r="L137" t="e">
        <f t="shared" si="33"/>
        <v>#VALUE!</v>
      </c>
      <c r="M137" t="e">
        <f t="shared" si="33"/>
        <v>#VALUE!</v>
      </c>
      <c r="N137" t="e">
        <f t="shared" si="33"/>
        <v>#VALUE!</v>
      </c>
    </row>
    <row r="138" spans="1:14" x14ac:dyDescent="0.2">
      <c r="A138">
        <f t="shared" si="27"/>
        <v>47000000000</v>
      </c>
      <c r="B138">
        <f t="shared" si="34"/>
        <v>0</v>
      </c>
      <c r="C138">
        <f t="shared" si="35"/>
        <v>0</v>
      </c>
      <c r="D138">
        <f t="shared" si="35"/>
        <v>0</v>
      </c>
      <c r="E138">
        <f t="shared" si="33"/>
        <v>0</v>
      </c>
      <c r="F138">
        <f t="shared" si="33"/>
        <v>0</v>
      </c>
      <c r="G138">
        <f t="shared" si="33"/>
        <v>0</v>
      </c>
      <c r="H138">
        <f t="shared" si="33"/>
        <v>0</v>
      </c>
      <c r="I138">
        <f t="shared" si="33"/>
        <v>0</v>
      </c>
      <c r="J138">
        <f t="shared" si="33"/>
        <v>0</v>
      </c>
      <c r="K138" t="e">
        <f t="shared" si="33"/>
        <v>#VALUE!</v>
      </c>
      <c r="L138" t="e">
        <f t="shared" si="33"/>
        <v>#VALUE!</v>
      </c>
      <c r="M138" t="e">
        <f t="shared" si="33"/>
        <v>#VALUE!</v>
      </c>
      <c r="N138" t="e">
        <f t="shared" si="33"/>
        <v>#VALUE!</v>
      </c>
    </row>
    <row r="139" spans="1:14" x14ac:dyDescent="0.2">
      <c r="A139">
        <f t="shared" si="27"/>
        <v>56000000000</v>
      </c>
      <c r="B139">
        <f t="shared" si="34"/>
        <v>0</v>
      </c>
      <c r="C139">
        <f t="shared" si="35"/>
        <v>0</v>
      </c>
      <c r="D139">
        <f t="shared" si="35"/>
        <v>0</v>
      </c>
      <c r="E139">
        <f t="shared" si="33"/>
        <v>0</v>
      </c>
      <c r="F139">
        <f t="shared" si="33"/>
        <v>0</v>
      </c>
      <c r="G139">
        <f t="shared" si="33"/>
        <v>0</v>
      </c>
      <c r="H139">
        <f t="shared" si="33"/>
        <v>0</v>
      </c>
      <c r="I139">
        <f t="shared" si="33"/>
        <v>0</v>
      </c>
      <c r="J139">
        <f t="shared" si="33"/>
        <v>0</v>
      </c>
      <c r="K139" t="e">
        <f t="shared" si="33"/>
        <v>#VALUE!</v>
      </c>
      <c r="L139" t="e">
        <f t="shared" si="33"/>
        <v>#VALUE!</v>
      </c>
      <c r="M139" t="e">
        <f t="shared" si="33"/>
        <v>#VALUE!</v>
      </c>
      <c r="N139" t="e">
        <f t="shared" si="33"/>
        <v>#VALUE!</v>
      </c>
    </row>
    <row r="140" spans="1:14" x14ac:dyDescent="0.2">
      <c r="A140">
        <f t="shared" si="27"/>
        <v>68000000000</v>
      </c>
      <c r="B140">
        <f t="shared" si="34"/>
        <v>0</v>
      </c>
      <c r="C140">
        <f t="shared" si="35"/>
        <v>0</v>
      </c>
      <c r="D140">
        <f t="shared" si="35"/>
        <v>0</v>
      </c>
      <c r="E140">
        <f t="shared" si="33"/>
        <v>0</v>
      </c>
      <c r="F140">
        <f t="shared" si="33"/>
        <v>0</v>
      </c>
      <c r="G140">
        <f t="shared" si="33"/>
        <v>0</v>
      </c>
      <c r="H140">
        <f t="shared" si="33"/>
        <v>0</v>
      </c>
      <c r="I140">
        <f t="shared" si="33"/>
        <v>0</v>
      </c>
      <c r="J140">
        <f t="shared" si="33"/>
        <v>0</v>
      </c>
      <c r="K140" t="e">
        <f t="shared" si="33"/>
        <v>#VALUE!</v>
      </c>
      <c r="L140" t="e">
        <f t="shared" si="33"/>
        <v>#VALUE!</v>
      </c>
      <c r="M140" t="e">
        <f t="shared" si="33"/>
        <v>#VALUE!</v>
      </c>
      <c r="N140" t="e">
        <f t="shared" si="33"/>
        <v>#VALUE!</v>
      </c>
    </row>
    <row r="141" spans="1:14" x14ac:dyDescent="0.2">
      <c r="A141">
        <f t="shared" si="27"/>
        <v>82000000000</v>
      </c>
      <c r="B141">
        <f t="shared" si="34"/>
        <v>0</v>
      </c>
      <c r="C141">
        <f t="shared" si="35"/>
        <v>0</v>
      </c>
      <c r="D141">
        <f t="shared" si="35"/>
        <v>0</v>
      </c>
      <c r="E141">
        <f t="shared" si="33"/>
        <v>0</v>
      </c>
      <c r="F141">
        <f t="shared" si="33"/>
        <v>0</v>
      </c>
      <c r="G141">
        <f t="shared" si="33"/>
        <v>0</v>
      </c>
      <c r="H141">
        <f t="shared" si="33"/>
        <v>0</v>
      </c>
      <c r="I141">
        <f t="shared" si="33"/>
        <v>0</v>
      </c>
      <c r="J141">
        <f t="shared" si="33"/>
        <v>0</v>
      </c>
      <c r="K141" t="e">
        <f t="shared" si="33"/>
        <v>#VALUE!</v>
      </c>
      <c r="L141" t="e">
        <f t="shared" si="33"/>
        <v>#VALUE!</v>
      </c>
      <c r="M141" t="e">
        <f t="shared" si="33"/>
        <v>#VALUE!</v>
      </c>
      <c r="N141" t="e">
        <f t="shared" si="33"/>
        <v>#VALUE!</v>
      </c>
    </row>
    <row r="142" spans="1:14" x14ac:dyDescent="0.2">
      <c r="A142">
        <f t="shared" si="27"/>
        <v>100000000000</v>
      </c>
      <c r="B142">
        <f t="shared" si="34"/>
        <v>0</v>
      </c>
      <c r="C142">
        <f t="shared" si="35"/>
        <v>0</v>
      </c>
      <c r="D142">
        <f t="shared" si="35"/>
        <v>0</v>
      </c>
      <c r="E142">
        <f t="shared" si="33"/>
        <v>0</v>
      </c>
      <c r="F142">
        <f t="shared" si="33"/>
        <v>0</v>
      </c>
      <c r="G142">
        <f t="shared" si="33"/>
        <v>0</v>
      </c>
      <c r="H142">
        <f t="shared" si="33"/>
        <v>0</v>
      </c>
      <c r="I142">
        <f t="shared" si="33"/>
        <v>0</v>
      </c>
      <c r="J142">
        <f t="shared" si="33"/>
        <v>0</v>
      </c>
      <c r="K142" t="e">
        <f t="shared" si="33"/>
        <v>#VALUE!</v>
      </c>
      <c r="L142" t="e">
        <f t="shared" si="33"/>
        <v>#VALUE!</v>
      </c>
      <c r="M142" t="e">
        <f t="shared" si="33"/>
        <v>#VALUE!</v>
      </c>
      <c r="N142" t="e">
        <f t="shared" si="33"/>
        <v>#VALUE!</v>
      </c>
    </row>
    <row r="143" spans="1:14" x14ac:dyDescent="0.2">
      <c r="A143">
        <f t="shared" si="27"/>
        <v>120000000000</v>
      </c>
      <c r="B143">
        <f t="shared" si="34"/>
        <v>0</v>
      </c>
      <c r="C143">
        <f t="shared" si="35"/>
        <v>0</v>
      </c>
      <c r="D143">
        <f t="shared" si="35"/>
        <v>0</v>
      </c>
      <c r="E143">
        <f t="shared" si="33"/>
        <v>0</v>
      </c>
      <c r="F143">
        <f t="shared" si="33"/>
        <v>0</v>
      </c>
      <c r="G143">
        <f t="shared" si="33"/>
        <v>0</v>
      </c>
      <c r="H143">
        <f t="shared" si="33"/>
        <v>0</v>
      </c>
      <c r="I143">
        <f t="shared" si="33"/>
        <v>0</v>
      </c>
      <c r="J143">
        <f t="shared" si="33"/>
        <v>0</v>
      </c>
      <c r="K143" t="e">
        <f t="shared" si="33"/>
        <v>#VALUE!</v>
      </c>
      <c r="L143" t="e">
        <f t="shared" si="33"/>
        <v>#VALUE!</v>
      </c>
      <c r="M143" t="e">
        <f t="shared" si="33"/>
        <v>#VALUE!</v>
      </c>
      <c r="N143" t="e">
        <f t="shared" si="33"/>
        <v>#VALUE!</v>
      </c>
    </row>
    <row r="144" spans="1:14" x14ac:dyDescent="0.2">
      <c r="A144">
        <f t="shared" si="27"/>
        <v>150000000000</v>
      </c>
      <c r="B144">
        <f t="shared" si="34"/>
        <v>0</v>
      </c>
      <c r="C144">
        <f t="shared" si="35"/>
        <v>0</v>
      </c>
      <c r="D144">
        <f t="shared" si="35"/>
        <v>0</v>
      </c>
      <c r="E144">
        <f t="shared" si="33"/>
        <v>0</v>
      </c>
      <c r="F144">
        <f t="shared" si="33"/>
        <v>0</v>
      </c>
      <c r="G144">
        <f t="shared" si="33"/>
        <v>0</v>
      </c>
      <c r="H144">
        <f t="shared" si="33"/>
        <v>0</v>
      </c>
      <c r="I144">
        <f t="shared" si="33"/>
        <v>0</v>
      </c>
      <c r="J144">
        <f t="shared" si="33"/>
        <v>0</v>
      </c>
      <c r="K144" t="e">
        <f t="shared" si="33"/>
        <v>#VALUE!</v>
      </c>
      <c r="L144" t="e">
        <f t="shared" si="33"/>
        <v>#VALUE!</v>
      </c>
      <c r="M144" t="e">
        <f t="shared" si="33"/>
        <v>#VALUE!</v>
      </c>
      <c r="N144" t="e">
        <f t="shared" si="33"/>
        <v>#VALUE!</v>
      </c>
    </row>
    <row r="145" spans="1:14" x14ac:dyDescent="0.2">
      <c r="A145">
        <f t="shared" si="27"/>
        <v>180000000000</v>
      </c>
      <c r="B145">
        <f t="shared" si="34"/>
        <v>0</v>
      </c>
      <c r="C145">
        <f t="shared" si="35"/>
        <v>0</v>
      </c>
      <c r="D145">
        <f t="shared" si="35"/>
        <v>0</v>
      </c>
      <c r="E145">
        <f t="shared" si="33"/>
        <v>0</v>
      </c>
      <c r="F145">
        <f t="shared" si="33"/>
        <v>0</v>
      </c>
      <c r="G145">
        <f t="shared" si="33"/>
        <v>0</v>
      </c>
      <c r="H145">
        <f t="shared" si="33"/>
        <v>0</v>
      </c>
      <c r="I145">
        <f t="shared" si="33"/>
        <v>0</v>
      </c>
      <c r="J145">
        <f t="shared" si="33"/>
        <v>0</v>
      </c>
      <c r="K145" t="e">
        <f t="shared" si="33"/>
        <v>#VALUE!</v>
      </c>
      <c r="L145" t="e">
        <f t="shared" si="33"/>
        <v>#VALUE!</v>
      </c>
      <c r="M145" t="e">
        <f t="shared" si="33"/>
        <v>#VALUE!</v>
      </c>
      <c r="N145" t="e">
        <f t="shared" si="33"/>
        <v>#VALUE!</v>
      </c>
    </row>
    <row r="146" spans="1:14" x14ac:dyDescent="0.2">
      <c r="A146">
        <f t="shared" si="27"/>
        <v>220000000000</v>
      </c>
      <c r="B146">
        <f t="shared" si="34"/>
        <v>0</v>
      </c>
      <c r="C146">
        <f t="shared" si="35"/>
        <v>0</v>
      </c>
      <c r="D146">
        <f t="shared" si="35"/>
        <v>0</v>
      </c>
      <c r="E146">
        <f t="shared" si="33"/>
        <v>0</v>
      </c>
      <c r="F146">
        <f t="shared" si="33"/>
        <v>0</v>
      </c>
      <c r="G146">
        <f t="shared" si="33"/>
        <v>0</v>
      </c>
      <c r="H146">
        <f t="shared" si="33"/>
        <v>0</v>
      </c>
      <c r="I146">
        <f t="shared" si="33"/>
        <v>0</v>
      </c>
      <c r="J146">
        <f t="shared" si="33"/>
        <v>0</v>
      </c>
      <c r="K146" t="e">
        <f t="shared" si="33"/>
        <v>#VALUE!</v>
      </c>
      <c r="L146" t="e">
        <f t="shared" si="33"/>
        <v>#VALUE!</v>
      </c>
      <c r="M146" t="e">
        <f t="shared" si="33"/>
        <v>#VALUE!</v>
      </c>
      <c r="N146" t="e">
        <f t="shared" si="33"/>
        <v>#VALUE!</v>
      </c>
    </row>
    <row r="147" spans="1:14" x14ac:dyDescent="0.2">
      <c r="A147">
        <f t="shared" si="27"/>
        <v>270000000000</v>
      </c>
      <c r="B147">
        <f t="shared" si="34"/>
        <v>0</v>
      </c>
      <c r="C147">
        <f t="shared" si="35"/>
        <v>0</v>
      </c>
      <c r="D147">
        <f t="shared" si="35"/>
        <v>0</v>
      </c>
      <c r="E147">
        <f t="shared" si="33"/>
        <v>0</v>
      </c>
      <c r="F147">
        <f t="shared" si="33"/>
        <v>0</v>
      </c>
      <c r="G147">
        <f t="shared" si="33"/>
        <v>0</v>
      </c>
      <c r="H147">
        <f t="shared" si="33"/>
        <v>0</v>
      </c>
      <c r="I147">
        <f t="shared" si="33"/>
        <v>0</v>
      </c>
      <c r="J147">
        <f t="shared" si="33"/>
        <v>0</v>
      </c>
      <c r="K147" t="e">
        <f t="shared" si="33"/>
        <v>#VALUE!</v>
      </c>
      <c r="L147" t="e">
        <f t="shared" si="33"/>
        <v>#VALUE!</v>
      </c>
      <c r="M147" t="e">
        <f t="shared" si="33"/>
        <v>#VALUE!</v>
      </c>
      <c r="N147" t="e">
        <f t="shared" si="33"/>
        <v>#VALUE!</v>
      </c>
    </row>
    <row r="148" spans="1:14" x14ac:dyDescent="0.2">
      <c r="A148">
        <f t="shared" si="27"/>
        <v>330000000000</v>
      </c>
      <c r="B148">
        <f t="shared" si="34"/>
        <v>0</v>
      </c>
      <c r="C148">
        <f t="shared" si="35"/>
        <v>0</v>
      </c>
      <c r="D148">
        <f t="shared" si="35"/>
        <v>0</v>
      </c>
      <c r="E148">
        <f t="shared" si="33"/>
        <v>0</v>
      </c>
      <c r="F148">
        <f t="shared" si="33"/>
        <v>0</v>
      </c>
      <c r="G148">
        <f t="shared" si="33"/>
        <v>0</v>
      </c>
      <c r="H148">
        <f t="shared" si="33"/>
        <v>0</v>
      </c>
      <c r="I148">
        <f t="shared" si="33"/>
        <v>0</v>
      </c>
      <c r="J148">
        <f t="shared" si="33"/>
        <v>0</v>
      </c>
      <c r="K148" t="e">
        <f t="shared" si="33"/>
        <v>#VALUE!</v>
      </c>
      <c r="L148" t="e">
        <f t="shared" si="33"/>
        <v>#VALUE!</v>
      </c>
      <c r="M148" t="e">
        <f t="shared" si="33"/>
        <v>#VALUE!</v>
      </c>
      <c r="N148" t="e">
        <f t="shared" si="33"/>
        <v>#VALUE!</v>
      </c>
    </row>
    <row r="149" spans="1:14" x14ac:dyDescent="0.2">
      <c r="A149">
        <f t="shared" si="27"/>
        <v>390000000000</v>
      </c>
      <c r="B149">
        <f t="shared" si="34"/>
        <v>0</v>
      </c>
      <c r="C149">
        <f t="shared" si="35"/>
        <v>0</v>
      </c>
      <c r="D149">
        <f t="shared" si="35"/>
        <v>0</v>
      </c>
      <c r="E149">
        <f t="shared" si="33"/>
        <v>0</v>
      </c>
      <c r="F149">
        <f t="shared" si="33"/>
        <v>0</v>
      </c>
      <c r="G149">
        <f t="shared" si="33"/>
        <v>0</v>
      </c>
      <c r="H149">
        <f t="shared" si="33"/>
        <v>0</v>
      </c>
      <c r="I149">
        <f t="shared" si="33"/>
        <v>0</v>
      </c>
      <c r="J149">
        <f t="shared" si="33"/>
        <v>0</v>
      </c>
      <c r="K149" t="e">
        <f t="shared" si="33"/>
        <v>#VALUE!</v>
      </c>
      <c r="L149" t="e">
        <f t="shared" si="33"/>
        <v>#VALUE!</v>
      </c>
      <c r="M149" t="e">
        <f t="shared" si="33"/>
        <v>#VALUE!</v>
      </c>
      <c r="N149" t="e">
        <f t="shared" si="33"/>
        <v>#VALUE!</v>
      </c>
    </row>
    <row r="150" spans="1:14" x14ac:dyDescent="0.2">
      <c r="A150">
        <f t="shared" si="27"/>
        <v>470000000000</v>
      </c>
      <c r="B150">
        <f t="shared" si="34"/>
        <v>0</v>
      </c>
      <c r="C150">
        <f t="shared" si="35"/>
        <v>0</v>
      </c>
      <c r="D150">
        <f t="shared" si="35"/>
        <v>0</v>
      </c>
      <c r="E150">
        <f t="shared" si="33"/>
        <v>0</v>
      </c>
      <c r="F150">
        <f t="shared" si="33"/>
        <v>0</v>
      </c>
      <c r="G150">
        <f t="shared" si="33"/>
        <v>0</v>
      </c>
      <c r="H150">
        <f t="shared" si="33"/>
        <v>0</v>
      </c>
      <c r="I150">
        <f t="shared" si="33"/>
        <v>0</v>
      </c>
      <c r="J150">
        <f t="shared" si="33"/>
        <v>0</v>
      </c>
      <c r="K150" t="e">
        <f t="shared" si="33"/>
        <v>#VALUE!</v>
      </c>
      <c r="L150" t="e">
        <f t="shared" si="33"/>
        <v>#VALUE!</v>
      </c>
      <c r="M150" t="e">
        <f t="shared" si="33"/>
        <v>#VALUE!</v>
      </c>
      <c r="N150" t="e">
        <f t="shared" si="33"/>
        <v>#VALUE!</v>
      </c>
    </row>
    <row r="151" spans="1:14" x14ac:dyDescent="0.2">
      <c r="A151">
        <f t="shared" si="27"/>
        <v>560000000000</v>
      </c>
      <c r="B151">
        <f t="shared" si="34"/>
        <v>0</v>
      </c>
      <c r="C151">
        <f t="shared" si="35"/>
        <v>0</v>
      </c>
      <c r="D151">
        <f t="shared" si="35"/>
        <v>0</v>
      </c>
      <c r="E151">
        <f t="shared" si="33"/>
        <v>0</v>
      </c>
      <c r="F151">
        <f t="shared" si="33"/>
        <v>0</v>
      </c>
      <c r="G151">
        <f t="shared" si="33"/>
        <v>0</v>
      </c>
      <c r="H151">
        <f t="shared" si="33"/>
        <v>0</v>
      </c>
      <c r="I151">
        <f t="shared" si="33"/>
        <v>0</v>
      </c>
      <c r="J151">
        <f t="shared" si="33"/>
        <v>0</v>
      </c>
      <c r="K151" t="e">
        <f t="shared" si="33"/>
        <v>#VALUE!</v>
      </c>
      <c r="L151" t="e">
        <f t="shared" si="33"/>
        <v>#VALUE!</v>
      </c>
      <c r="M151" t="e">
        <f t="shared" si="33"/>
        <v>#VALUE!</v>
      </c>
      <c r="N151" t="e">
        <f t="shared" si="33"/>
        <v>#VALUE!</v>
      </c>
    </row>
    <row r="152" spans="1:14" x14ac:dyDescent="0.2">
      <c r="A152">
        <f t="shared" si="27"/>
        <v>680000000000</v>
      </c>
      <c r="B152">
        <f t="shared" si="34"/>
        <v>0</v>
      </c>
      <c r="C152">
        <f t="shared" si="35"/>
        <v>0</v>
      </c>
      <c r="D152">
        <f t="shared" si="35"/>
        <v>0</v>
      </c>
      <c r="E152">
        <f t="shared" si="33"/>
        <v>0</v>
      </c>
      <c r="F152">
        <f t="shared" si="33"/>
        <v>0</v>
      </c>
      <c r="G152">
        <f t="shared" si="33"/>
        <v>0</v>
      </c>
      <c r="H152">
        <f t="shared" si="33"/>
        <v>0</v>
      </c>
      <c r="I152">
        <f t="shared" si="33"/>
        <v>0</v>
      </c>
      <c r="J152">
        <f t="shared" si="33"/>
        <v>0</v>
      </c>
      <c r="K152" t="e">
        <f t="shared" si="33"/>
        <v>#VALUE!</v>
      </c>
      <c r="L152" t="e">
        <f t="shared" si="33"/>
        <v>#VALUE!</v>
      </c>
      <c r="M152" t="e">
        <f t="shared" si="33"/>
        <v>#VALUE!</v>
      </c>
      <c r="N152" t="e">
        <f t="shared" si="33"/>
        <v>#VALUE!</v>
      </c>
    </row>
    <row r="153" spans="1:14" x14ac:dyDescent="0.2">
      <c r="A153">
        <f t="shared" si="27"/>
        <v>820000000000</v>
      </c>
      <c r="B153">
        <f t="shared" si="34"/>
        <v>0</v>
      </c>
      <c r="C153">
        <f t="shared" si="35"/>
        <v>0</v>
      </c>
      <c r="D153">
        <f t="shared" si="35"/>
        <v>0</v>
      </c>
      <c r="E153">
        <f t="shared" si="33"/>
        <v>0</v>
      </c>
      <c r="F153">
        <f t="shared" si="33"/>
        <v>0</v>
      </c>
      <c r="G153">
        <f t="shared" si="33"/>
        <v>0</v>
      </c>
      <c r="H153">
        <f t="shared" si="33"/>
        <v>0</v>
      </c>
      <c r="I153">
        <f t="shared" si="33"/>
        <v>0</v>
      </c>
      <c r="J153">
        <f t="shared" si="33"/>
        <v>0</v>
      </c>
      <c r="K153" t="e">
        <f t="shared" si="33"/>
        <v>#VALUE!</v>
      </c>
      <c r="L153" t="e">
        <f t="shared" si="33"/>
        <v>#VALUE!</v>
      </c>
      <c r="M153" t="e">
        <f t="shared" si="33"/>
        <v>#VALUE!</v>
      </c>
      <c r="N153" t="e">
        <f t="shared" si="33"/>
        <v>#VALUE!</v>
      </c>
    </row>
    <row r="154" spans="1:14" x14ac:dyDescent="0.2">
      <c r="A154">
        <f t="shared" si="27"/>
        <v>1000000000000</v>
      </c>
      <c r="B154">
        <f t="shared" si="34"/>
        <v>0</v>
      </c>
      <c r="C154">
        <f t="shared" si="35"/>
        <v>0</v>
      </c>
      <c r="D154">
        <f t="shared" si="35"/>
        <v>0</v>
      </c>
      <c r="E154">
        <f t="shared" si="33"/>
        <v>0</v>
      </c>
      <c r="F154">
        <f t="shared" si="33"/>
        <v>0</v>
      </c>
      <c r="G154">
        <f t="shared" si="33"/>
        <v>0</v>
      </c>
      <c r="H154">
        <f t="shared" si="33"/>
        <v>0</v>
      </c>
      <c r="I154">
        <f t="shared" si="33"/>
        <v>0</v>
      </c>
      <c r="J154">
        <f t="shared" si="33"/>
        <v>0</v>
      </c>
      <c r="K154" t="e">
        <f t="shared" si="33"/>
        <v>#VALUE!</v>
      </c>
      <c r="L154" t="e">
        <f t="shared" si="33"/>
        <v>#VALUE!</v>
      </c>
      <c r="M154" t="e">
        <f t="shared" si="33"/>
        <v>#VALUE!</v>
      </c>
      <c r="N154" t="e">
        <f t="shared" si="33"/>
        <v>#VALUE!</v>
      </c>
    </row>
    <row r="155" spans="1:14" x14ac:dyDescent="0.2">
      <c r="A155">
        <f t="shared" si="27"/>
        <v>1200000000000</v>
      </c>
      <c r="B155">
        <f t="shared" si="34"/>
        <v>0</v>
      </c>
      <c r="C155">
        <f t="shared" si="35"/>
        <v>0</v>
      </c>
      <c r="D155">
        <f t="shared" si="35"/>
        <v>0</v>
      </c>
      <c r="E155">
        <f t="shared" si="33"/>
        <v>0</v>
      </c>
      <c r="F155">
        <f t="shared" si="33"/>
        <v>0</v>
      </c>
      <c r="G155">
        <f t="shared" si="33"/>
        <v>0</v>
      </c>
      <c r="H155">
        <f t="shared" si="33"/>
        <v>0</v>
      </c>
      <c r="I155">
        <f t="shared" si="33"/>
        <v>0</v>
      </c>
      <c r="J155">
        <f t="shared" si="33"/>
        <v>0</v>
      </c>
      <c r="K155" t="e">
        <f t="shared" si="33"/>
        <v>#VALUE!</v>
      </c>
      <c r="L155" t="e">
        <f t="shared" si="33"/>
        <v>#VALUE!</v>
      </c>
      <c r="M155" t="e">
        <f t="shared" si="33"/>
        <v>#VALUE!</v>
      </c>
      <c r="N155" t="e">
        <f t="shared" si="33"/>
        <v>#VALUE!</v>
      </c>
    </row>
    <row r="156" spans="1:14" x14ac:dyDescent="0.2">
      <c r="A156">
        <f t="shared" si="27"/>
        <v>1500000000000</v>
      </c>
      <c r="B156">
        <f t="shared" si="34"/>
        <v>0</v>
      </c>
      <c r="C156">
        <f t="shared" si="35"/>
        <v>0</v>
      </c>
      <c r="D156">
        <f t="shared" si="35"/>
        <v>0</v>
      </c>
      <c r="E156">
        <f t="shared" si="33"/>
        <v>0</v>
      </c>
      <c r="F156">
        <f t="shared" si="33"/>
        <v>0</v>
      </c>
      <c r="G156">
        <f t="shared" si="33"/>
        <v>0</v>
      </c>
      <c r="H156">
        <f t="shared" si="33"/>
        <v>0</v>
      </c>
      <c r="I156">
        <f t="shared" si="33"/>
        <v>0</v>
      </c>
      <c r="J156">
        <f t="shared" si="33"/>
        <v>0</v>
      </c>
      <c r="K156" t="e">
        <f t="shared" si="33"/>
        <v>#VALUE!</v>
      </c>
      <c r="L156" t="e">
        <f t="shared" si="33"/>
        <v>#VALUE!</v>
      </c>
      <c r="M156" t="e">
        <f t="shared" si="33"/>
        <v>#VALUE!</v>
      </c>
      <c r="N156" t="e">
        <f t="shared" si="33"/>
        <v>#VALUE!</v>
      </c>
    </row>
    <row r="157" spans="1:14" x14ac:dyDescent="0.2">
      <c r="A157">
        <f t="shared" si="27"/>
        <v>1800000000000</v>
      </c>
      <c r="B157">
        <f t="shared" si="34"/>
        <v>0</v>
      </c>
      <c r="C157">
        <f t="shared" si="35"/>
        <v>0</v>
      </c>
      <c r="D157">
        <f t="shared" si="35"/>
        <v>0</v>
      </c>
      <c r="E157">
        <f t="shared" si="33"/>
        <v>0</v>
      </c>
      <c r="F157">
        <f t="shared" si="33"/>
        <v>0</v>
      </c>
      <c r="G157">
        <f t="shared" si="33"/>
        <v>0</v>
      </c>
      <c r="H157">
        <f t="shared" si="33"/>
        <v>0</v>
      </c>
      <c r="I157">
        <f t="shared" si="33"/>
        <v>0</v>
      </c>
      <c r="J157">
        <f t="shared" si="33"/>
        <v>0</v>
      </c>
      <c r="K157" t="e">
        <f t="shared" si="33"/>
        <v>#VALUE!</v>
      </c>
      <c r="L157" t="e">
        <f t="shared" si="33"/>
        <v>#VALUE!</v>
      </c>
      <c r="M157" t="e">
        <f t="shared" si="33"/>
        <v>#VALUE!</v>
      </c>
      <c r="N157" t="e">
        <f t="shared" si="33"/>
        <v>#VALUE!</v>
      </c>
    </row>
    <row r="158" spans="1:14" x14ac:dyDescent="0.2">
      <c r="A158">
        <f t="shared" si="27"/>
        <v>2200000000000</v>
      </c>
      <c r="B158">
        <f t="shared" si="34"/>
        <v>0</v>
      </c>
      <c r="C158">
        <f t="shared" si="35"/>
        <v>0</v>
      </c>
      <c r="D158">
        <f t="shared" si="35"/>
        <v>0</v>
      </c>
      <c r="E158">
        <f t="shared" si="33"/>
        <v>0</v>
      </c>
      <c r="F158">
        <f t="shared" si="33"/>
        <v>0</v>
      </c>
      <c r="G158">
        <f t="shared" si="33"/>
        <v>0</v>
      </c>
      <c r="H158">
        <f t="shared" si="33"/>
        <v>0</v>
      </c>
      <c r="I158">
        <f t="shared" si="33"/>
        <v>0</v>
      </c>
      <c r="J158">
        <f t="shared" si="33"/>
        <v>0</v>
      </c>
      <c r="K158" t="e">
        <f t="shared" si="33"/>
        <v>#VALUE!</v>
      </c>
      <c r="L158" t="e">
        <f t="shared" si="33"/>
        <v>#VALUE!</v>
      </c>
      <c r="M158" t="e">
        <f t="shared" si="33"/>
        <v>#VALUE!</v>
      </c>
      <c r="N158" t="e">
        <f t="shared" si="33"/>
        <v>#VALUE!</v>
      </c>
    </row>
    <row r="159" spans="1:14" x14ac:dyDescent="0.2">
      <c r="A159" s="43">
        <f t="shared" si="27"/>
        <v>2700000000000</v>
      </c>
      <c r="B159">
        <f t="shared" si="34"/>
        <v>2700000000000</v>
      </c>
      <c r="C159">
        <f t="shared" si="35"/>
        <v>2700000000000</v>
      </c>
      <c r="D159">
        <f t="shared" si="35"/>
        <v>2700000000000</v>
      </c>
      <c r="E159">
        <f t="shared" si="33"/>
        <v>2700000000000</v>
      </c>
      <c r="F159">
        <f t="shared" si="33"/>
        <v>2700000000000</v>
      </c>
      <c r="G159">
        <f t="shared" si="33"/>
        <v>2700000000000</v>
      </c>
      <c r="H159">
        <f t="shared" si="33"/>
        <v>2700000000000</v>
      </c>
      <c r="I159">
        <f t="shared" si="33"/>
        <v>2700000000000</v>
      </c>
      <c r="J159">
        <f t="shared" si="33"/>
        <v>2700000000000</v>
      </c>
      <c r="K159" t="e">
        <f t="shared" si="33"/>
        <v>#VALUE!</v>
      </c>
      <c r="L159" t="e">
        <f t="shared" si="33"/>
        <v>#VALUE!</v>
      </c>
      <c r="M159" t="e">
        <f t="shared" si="33"/>
        <v>#VALUE!</v>
      </c>
      <c r="N159" t="e">
        <f t="shared" si="33"/>
        <v>#VALUE!</v>
      </c>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7"/>
  <sheetViews>
    <sheetView workbookViewId="0">
      <selection activeCell="B6" sqref="B6"/>
    </sheetView>
  </sheetViews>
  <sheetFormatPr defaultRowHeight="12.75" x14ac:dyDescent="0.2"/>
  <cols>
    <col min="1" max="1" width="18.5703125" customWidth="1"/>
    <col min="2" max="2" width="9.28515625" customWidth="1"/>
    <col min="4" max="4" width="11.140625" customWidth="1"/>
  </cols>
  <sheetData>
    <row r="1" spans="1:5" x14ac:dyDescent="0.2">
      <c r="C1" t="s">
        <v>180</v>
      </c>
      <c r="D1" t="s">
        <v>179</v>
      </c>
    </row>
    <row r="2" spans="1:5" x14ac:dyDescent="0.2">
      <c r="A2" t="s">
        <v>177</v>
      </c>
      <c r="B2" s="47">
        <v>85</v>
      </c>
      <c r="C2" t="s">
        <v>178</v>
      </c>
      <c r="D2">
        <f>B2*1000000</f>
        <v>85000000</v>
      </c>
      <c r="E2" t="s">
        <v>9</v>
      </c>
    </row>
    <row r="3" spans="1:5" x14ac:dyDescent="0.2">
      <c r="A3" t="s">
        <v>181</v>
      </c>
      <c r="B3" s="47">
        <v>3000</v>
      </c>
      <c r="C3" t="s">
        <v>30</v>
      </c>
      <c r="D3">
        <f>B3*0.000000000001</f>
        <v>3E-9</v>
      </c>
      <c r="E3" t="s">
        <v>24</v>
      </c>
    </row>
    <row r="4" spans="1:5" x14ac:dyDescent="0.2">
      <c r="A4" t="s">
        <v>183</v>
      </c>
      <c r="B4" s="48">
        <f>1000000000*1/((D2*2*3.14159)^2*D3)</f>
        <v>1.1686430773614742</v>
      </c>
      <c r="C4" t="s">
        <v>184</v>
      </c>
      <c r="D4">
        <f>B4/1000000000</f>
        <v>1.1686430773614743E-9</v>
      </c>
      <c r="E4" t="s">
        <v>19</v>
      </c>
    </row>
    <row r="5" spans="1:5" x14ac:dyDescent="0.2">
      <c r="A5" t="s">
        <v>182</v>
      </c>
      <c r="B5">
        <f>4*B3</f>
        <v>12000</v>
      </c>
      <c r="C5" t="s">
        <v>30</v>
      </c>
      <c r="D5">
        <f>B5*0.000000000001</f>
        <v>1.2E-8</v>
      </c>
      <c r="E5" t="s">
        <v>24</v>
      </c>
    </row>
    <row r="6" spans="1:5" x14ac:dyDescent="0.2">
      <c r="A6" t="s">
        <v>185</v>
      </c>
      <c r="B6" s="4">
        <f>SQRT(D4/D3)</f>
        <v>0.62413755891936573</v>
      </c>
      <c r="C6" s="4" t="s">
        <v>138</v>
      </c>
      <c r="D6" s="4">
        <f>B6</f>
        <v>0.62413755891936573</v>
      </c>
      <c r="E6" t="s">
        <v>138</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4:E17"/>
  <sheetViews>
    <sheetView workbookViewId="0">
      <selection activeCell="U50" sqref="U50"/>
    </sheetView>
  </sheetViews>
  <sheetFormatPr defaultRowHeight="12.75" x14ac:dyDescent="0.2"/>
  <sheetData>
    <row r="4" spans="1:5" x14ac:dyDescent="0.2">
      <c r="A4" t="s">
        <v>6</v>
      </c>
      <c r="B4">
        <f>Fsw</f>
        <v>340000</v>
      </c>
    </row>
    <row r="6" spans="1:5" x14ac:dyDescent="0.2">
      <c r="A6" t="s">
        <v>151</v>
      </c>
      <c r="B6" s="41">
        <v>20</v>
      </c>
      <c r="C6" t="s">
        <v>23</v>
      </c>
      <c r="D6">
        <f>B6/1000000</f>
        <v>2.0000000000000002E-5</v>
      </c>
      <c r="E6" t="s">
        <v>24</v>
      </c>
    </row>
    <row r="7" spans="1:5" x14ac:dyDescent="0.2">
      <c r="A7" t="s">
        <v>142</v>
      </c>
      <c r="B7" s="41">
        <v>0.5</v>
      </c>
      <c r="C7" t="s">
        <v>63</v>
      </c>
      <c r="D7">
        <f>B7/1000</f>
        <v>5.0000000000000001E-4</v>
      </c>
      <c r="E7" t="s">
        <v>20</v>
      </c>
    </row>
    <row r="9" spans="1:5" x14ac:dyDescent="0.2">
      <c r="A9" t="s">
        <v>152</v>
      </c>
      <c r="B9" s="41">
        <v>68</v>
      </c>
      <c r="C9" t="s">
        <v>23</v>
      </c>
      <c r="D9">
        <f>B9/1000000</f>
        <v>6.7999999999999999E-5</v>
      </c>
      <c r="E9" t="s">
        <v>24</v>
      </c>
    </row>
    <row r="10" spans="1:5" x14ac:dyDescent="0.2">
      <c r="A10" t="s">
        <v>143</v>
      </c>
      <c r="B10" s="41">
        <v>20</v>
      </c>
      <c r="C10" t="s">
        <v>63</v>
      </c>
      <c r="D10">
        <f>B10/1000</f>
        <v>0.02</v>
      </c>
      <c r="E10" t="s">
        <v>20</v>
      </c>
    </row>
    <row r="13" spans="1:5" x14ac:dyDescent="0.2">
      <c r="A13" t="s">
        <v>154</v>
      </c>
      <c r="B13">
        <f>(D6/(D6+D9))*SQRT((D10*D9*B4)^2+1)/SQRT((((D7+D10)*D6*D9/(D9+D6))*B4)^2+1)</f>
        <v>0.24895350958022175</v>
      </c>
      <c r="C13" t="s">
        <v>153</v>
      </c>
    </row>
    <row r="14" spans="1:5" x14ac:dyDescent="0.2">
      <c r="A14" t="s">
        <v>155</v>
      </c>
      <c r="B14">
        <f>1-B13</f>
        <v>0.75104649041977822</v>
      </c>
      <c r="C14" t="s">
        <v>153</v>
      </c>
    </row>
    <row r="16" spans="1:5" x14ac:dyDescent="0.2">
      <c r="A16" t="s">
        <v>154</v>
      </c>
      <c r="B16" t="e">
        <f>B13*(Iripple1/(2*SQRT(3)))</f>
        <v>#NAME?</v>
      </c>
      <c r="C16" t="s">
        <v>1</v>
      </c>
    </row>
    <row r="17" spans="1:3" x14ac:dyDescent="0.2">
      <c r="A17" t="s">
        <v>155</v>
      </c>
      <c r="B17" t="e">
        <f>B14*(Iripple1/(2*SQRT(3)))</f>
        <v>#NAME?</v>
      </c>
      <c r="C17"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297</vt:i4>
      </vt:variant>
    </vt:vector>
  </HeadingPairs>
  <TitlesOfParts>
    <vt:vector size="312" baseType="lpstr">
      <vt:lpstr>Design Regulator</vt:lpstr>
      <vt:lpstr>Input Filters</vt:lpstr>
      <vt:lpstr>Design Input Filter</vt:lpstr>
      <vt:lpstr>BOM &amp; Schematic</vt:lpstr>
      <vt:lpstr>EVM</vt:lpstr>
      <vt:lpstr>Variable Management</vt:lpstr>
      <vt:lpstr>Schematic Management</vt:lpstr>
      <vt:lpstr>Stability Calculations</vt:lpstr>
      <vt:lpstr>Bode Plot Management</vt:lpstr>
      <vt:lpstr>Efficiency Calculations</vt:lpstr>
      <vt:lpstr>Efficiency Plot Management</vt:lpstr>
      <vt:lpstr>Input Filter Calculations</vt:lpstr>
      <vt:lpstr>Standard Value Calculator</vt:lpstr>
      <vt:lpstr>Snubber</vt:lpstr>
      <vt:lpstr>Parallel Output Caps</vt:lpstr>
      <vt:lpstr>_Don1</vt:lpstr>
      <vt:lpstr>_Don2</vt:lpstr>
      <vt:lpstr>Acs</vt:lpstr>
      <vt:lpstr>Acs_Ch2</vt:lpstr>
      <vt:lpstr>Adc</vt:lpstr>
      <vt:lpstr>AEA</vt:lpstr>
      <vt:lpstr>Afb</vt:lpstr>
      <vt:lpstr>Afb_Ch2</vt:lpstr>
      <vt:lpstr>Afbr</vt:lpstr>
      <vt:lpstr>Am</vt:lpstr>
      <vt:lpstr>Am_buck</vt:lpstr>
      <vt:lpstr>Am_buck_Ch2</vt:lpstr>
      <vt:lpstr>Am_Ch2</vt:lpstr>
      <vt:lpstr>Attn_req</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Ccomp_AEF</vt:lpstr>
      <vt:lpstr>Cdamp_AEFstd</vt:lpstr>
      <vt:lpstr>Cdamp_PassiveStd</vt:lpstr>
      <vt:lpstr>CdampCom</vt:lpstr>
      <vt:lpstr>CdampPssv</vt:lpstr>
      <vt:lpstr>CdampSel</vt:lpstr>
      <vt:lpstr>Cdither</vt:lpstr>
      <vt:lpstr>Cdither_init</vt:lpstr>
      <vt:lpstr>Cfb</vt:lpstr>
      <vt:lpstr>Cff</vt:lpstr>
      <vt:lpstr>CfilterPssv</vt:lpstr>
      <vt:lpstr>Ch2_VOUT</vt:lpstr>
      <vt:lpstr>Cin</vt:lpstr>
      <vt:lpstr>Cin_PassiveStd</vt:lpstr>
      <vt:lpstr>CinEsrMax</vt:lpstr>
      <vt:lpstr>Cinj_AEF</vt:lpstr>
      <vt:lpstr>Cinj_AEFstd</vt:lpstr>
      <vt:lpstr>CinjCom</vt:lpstr>
      <vt:lpstr>CinjSel</vt:lpstr>
      <vt:lpstr>Cinmin</vt:lpstr>
      <vt:lpstr>COMP_TYPE</vt:lpstr>
      <vt:lpstr>Core_Loss_Ch1</vt:lpstr>
      <vt:lpstr>Coss_Q1</vt:lpstr>
      <vt:lpstr>Coss_Q2</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Csen_AEF</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Fx_infilter</vt:lpstr>
      <vt:lpstr>Fz1_u</vt:lpstr>
      <vt:lpstr>Fz1_u_Ch2</vt:lpstr>
      <vt:lpstr>GBW</vt:lpstr>
      <vt:lpstr>Gfs_Q1</vt:lpstr>
      <vt:lpstr>Gfs_Q2</vt:lpstr>
      <vt:lpstr>gm</vt:lpstr>
      <vt:lpstr>Gop_AEF</vt:lpstr>
      <vt:lpstr>Icoutrms</vt:lpstr>
      <vt:lpstr>Iin_Vinmax</vt:lpstr>
      <vt:lpstr>Iin_Vinmin</vt:lpstr>
      <vt:lpstr>Iin_Vinnom</vt:lpstr>
      <vt:lpstr>Ilimit_DC</vt:lpstr>
      <vt:lpstr>Ilimit2_DC</vt:lpstr>
      <vt:lpstr>INFILTER_TYPE</vt:lpstr>
      <vt:lpstr>Iout</vt:lpstr>
      <vt:lpstr>Iout_OCP_Vinmax</vt:lpstr>
      <vt:lpstr>Iout_OCP_Vinmin</vt:lpstr>
      <vt:lpstr>Iout_OCP_Vinnom</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L_infilter</vt:lpstr>
      <vt:lpstr>L_infilterStd</vt:lpstr>
      <vt:lpstr>LAEFCom</vt:lpstr>
      <vt:lpstr>Lf</vt:lpstr>
      <vt:lpstr>LinfilterPssv</vt:lpstr>
      <vt:lpstr>Lo_2</vt:lpstr>
      <vt:lpstr>loopPM</vt:lpstr>
      <vt:lpstr>loopxover</vt:lpstr>
      <vt:lpstr>Lopt</vt:lpstr>
      <vt:lpstr>Lopt2</vt:lpstr>
      <vt:lpstr>Ltc</vt:lpstr>
      <vt:lpstr>mc</vt:lpstr>
      <vt:lpstr>mc_buck</vt:lpstr>
      <vt:lpstr>mc_buck_Ch2</vt:lpstr>
      <vt:lpstr>mc_Ch2</vt:lpstr>
      <vt:lpstr>MODE</vt:lpstr>
      <vt:lpstr>nAEF</vt:lpstr>
      <vt:lpstr>No_RT</vt:lpstr>
      <vt:lpstr>Number_of_Phases</vt:lpstr>
      <vt:lpstr>OSC</vt:lpstr>
      <vt:lpstr>Pi</vt:lpstr>
      <vt:lpstr>Pin</vt:lpstr>
      <vt:lpstr>PLOT_TYPE</vt:lpstr>
      <vt:lpstr>pole1</vt:lpstr>
      <vt:lpstr>Pole2</vt:lpstr>
      <vt:lpstr>pole3</vt:lpstr>
      <vt:lpstr>pole4</vt:lpstr>
      <vt:lpstr>Pout</vt:lpstr>
      <vt:lpstr>'BOM &amp; Schematic'!Print_Area</vt:lpstr>
      <vt:lpstr>'Design Regulator'!Print_Area</vt:lpstr>
      <vt:lpstr>pterm1</vt:lpstr>
      <vt:lpstr>pterm2</vt:lpstr>
      <vt:lpstr>pterm3</vt:lpstr>
      <vt:lpstr>pterm4</vt:lpstr>
      <vt:lpstr>Q</vt:lpstr>
      <vt:lpstr>Q_Ch2</vt:lpstr>
      <vt:lpstr>Qg_Q1</vt:lpstr>
      <vt:lpstr>Qg_Q2</vt:lpstr>
      <vt:lpstr>Qgd_Q1</vt:lpstr>
      <vt:lpstr>Qgd_Q2</vt:lpstr>
      <vt:lpstr>Qgs_Q1</vt:lpstr>
      <vt:lpstr>Qgs_Q2</vt:lpstr>
      <vt:lpstr>Qoss_Q1</vt:lpstr>
      <vt:lpstr>Qoss_Q2</vt:lpstr>
      <vt:lpstr>Qrr_Q2</vt:lpstr>
      <vt:lpstr>QrrSky_Q2</vt:lpstr>
      <vt:lpstr>radconv</vt:lpstr>
      <vt:lpstr>Rcea1</vt:lpstr>
      <vt:lpstr>Rcea1_u</vt:lpstr>
      <vt:lpstr>Rcea2</vt:lpstr>
      <vt:lpstr>RCinEsr</vt:lpstr>
      <vt:lpstr>Rcomp_AEF</vt:lpstr>
      <vt:lpstr>RCoutEsr</vt:lpstr>
      <vt:lpstr>Rdamp_AEFstd</vt:lpstr>
      <vt:lpstr>Rdamp_PassiveStd</vt:lpstr>
      <vt:lpstr>RdampCom</vt:lpstr>
      <vt:lpstr>RdampPssv</vt:lpstr>
      <vt:lpstr>RdampSel</vt:lpstr>
      <vt:lpstr>Rdcr</vt:lpstr>
      <vt:lpstr>Rdcr2</vt:lpstr>
      <vt:lpstr>Rdson1</vt:lpstr>
      <vt:lpstr>Rdson2</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Rff</vt:lpstr>
      <vt:lpstr>Rgate1</vt:lpstr>
      <vt:lpstr>Rgate2</vt:lpstr>
      <vt:lpstr>Ri</vt:lpstr>
      <vt:lpstr>Ri_Ch2</vt:lpstr>
      <vt:lpstr>Ro</vt:lpstr>
      <vt:lpstr>Ro_Ch2</vt:lpstr>
      <vt:lpstr>RoEA</vt:lpstr>
      <vt:lpstr>Rout</vt:lpstr>
      <vt:lpstr>Rout2</vt:lpstr>
      <vt:lpstr>Rpg</vt:lpstr>
      <vt:lpstr>Rs</vt:lpstr>
      <vt:lpstr>Rs_Ch2</vt:lpstr>
      <vt:lpstr>Rs_ideal</vt:lpstr>
      <vt:lpstr>Rs2_ideal</vt:lpstr>
      <vt:lpstr>Sch_AdjVout_ExtComp_AEF</vt:lpstr>
      <vt:lpstr>Sch_AdjVout_ExtComp_nAEF</vt:lpstr>
      <vt:lpstr>Sch_AdjVout_IntComp_AEF</vt:lpstr>
      <vt:lpstr>Sch_AdjVout_IntComp_nAEF</vt:lpstr>
      <vt:lpstr>SCH_MODE</vt:lpstr>
      <vt:lpstr>SCH_SETTING</vt:lpstr>
      <vt:lpstr>Sch_SetVout_ExtComp_AEF</vt:lpstr>
      <vt:lpstr>Sch_SetVout_ExtComp_nAEF</vt:lpstr>
      <vt:lpstr>Sch_SetVout_IntComp_AEF</vt:lpstr>
      <vt:lpstr>Sch_SetVout_IntComp_nAEF</vt:lpstr>
      <vt:lpstr>Se_ext</vt:lpstr>
      <vt:lpstr>Sf</vt:lpstr>
      <vt:lpstr>Sf_Ch2</vt:lpstr>
      <vt:lpstr>SINGLE_OUTPUT</vt:lpstr>
      <vt:lpstr>Sn</vt:lpstr>
      <vt:lpstr>Sn_Ch2</vt:lpstr>
      <vt:lpstr>Ta</vt:lpstr>
      <vt:lpstr>Tf_buck</vt:lpstr>
      <vt:lpstr>Tf_Ch2</vt:lpstr>
      <vt:lpstr>ThetaCa</vt:lpstr>
      <vt:lpstr>ThetaJA_Q1</vt:lpstr>
      <vt:lpstr>ThetaJA_Q2</vt:lpstr>
      <vt:lpstr>ThetaJaCtrl</vt:lpstr>
      <vt:lpstr>TL</vt:lpstr>
      <vt:lpstr>Tr_buck</vt:lpstr>
      <vt:lpstr>Tr_Ch2</vt:lpstr>
      <vt:lpstr>Tres</vt:lpstr>
      <vt:lpstr>Trr_Q1</vt:lpstr>
      <vt:lpstr>Trr_Q2</vt:lpstr>
      <vt:lpstr>Ts</vt:lpstr>
      <vt:lpstr>Tss</vt:lpstr>
      <vt:lpstr>UVLO_TYPE</vt:lpstr>
      <vt:lpstr>VARIANT</vt:lpstr>
      <vt:lpstr>VCC</vt:lpstr>
      <vt:lpstr>VfdSky_Q2</vt:lpstr>
      <vt:lpstr>Vin</vt:lpstr>
      <vt:lpstr>VIN_max</vt:lpstr>
      <vt:lpstr>VIN_MAX_RATING</vt:lpstr>
      <vt:lpstr>VIN_min</vt:lpstr>
      <vt:lpstr>VIN_nom</vt:lpstr>
      <vt:lpstr>VinRipple_dBuV</vt:lpstr>
      <vt:lpstr>Vinripple1</vt:lpstr>
      <vt:lpstr>Vinripple2</vt:lpstr>
      <vt:lpstr>Vo1_ripple</vt:lpstr>
      <vt:lpstr>Vo2_ripple</vt:lpstr>
      <vt:lpstr>Vout</vt:lpstr>
      <vt:lpstr>VOUT_MAX_RATING</vt:lpstr>
      <vt:lpstr>VOUT_setting</vt:lpstr>
      <vt:lpstr>Vout2</vt:lpstr>
      <vt:lpstr>Vref</vt:lpstr>
      <vt:lpstr>Vsd_Q1</vt:lpstr>
      <vt:lpstr>Vsd_Q2</vt:lpstr>
      <vt:lpstr>Vsp_Q1</vt:lpstr>
      <vt:lpstr>Vsp_Q2</vt:lpstr>
      <vt:lpstr>Vth_Q1</vt:lpstr>
      <vt:lpstr>Vth_Q2</vt:lpstr>
      <vt:lpstr>w_fbff</vt:lpstr>
      <vt:lpstr>w_fbffHz</vt:lpstr>
      <vt:lpstr>wfbbHz</vt:lpstr>
      <vt:lpstr>wfbtHz</vt:lpstr>
      <vt:lpstr>wffHz</vt:lpstr>
      <vt:lpstr>wfftHz</vt:lpstr>
      <vt:lpstr>z_RHP</vt:lpstr>
      <vt:lpstr>Zero1</vt:lpstr>
      <vt:lpstr>Zero2</vt:lpstr>
      <vt:lpstr>zterm1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LM5148-Q1 Quickstart Tool</dc:title>
  <dc:creator>Timothy Hegarty;Murray, Orlando</dc:creator>
  <cp:keywords>LM5148-Q1, LM25148-Q1, LM5148, LM25148, PWM controller, current mode, PCB layout</cp:keywords>
  <cp:lastModifiedBy>Amit Medina</cp:lastModifiedBy>
  <cp:lastPrinted>2019-05-04T17:54:08Z</cp:lastPrinted>
  <dcterms:created xsi:type="dcterms:W3CDTF">1996-10-14T23:33:28Z</dcterms:created>
  <dcterms:modified xsi:type="dcterms:W3CDTF">2026-01-27T09:51:02Z</dcterms:modified>
</cp:coreProperties>
</file>