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3D1A710C-6663-3D7B-7F91-EC182F24A4BC}"/>
  <workbookPr showInkAnnotation="0" codeName="ThisWorkbook"/>
  <mc:AlternateContent xmlns:mc="http://schemas.openxmlformats.org/markup-compatibility/2006">
    <mc:Choice Requires="x15">
      <x15ac:absPath xmlns:x15ac="http://schemas.microsoft.com/office/spreadsheetml/2010/11/ac" url="M:\Amit Medina\Schematic and Layout Design Course\Schematic-and-Layout-Design-Course-repo\training\"/>
    </mc:Choice>
  </mc:AlternateContent>
  <xr:revisionPtr revIDLastSave="0" documentId="8_{683BD6DB-8798-4D66-8B0D-304E7704594F}"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108" yWindow="-108" windowWidth="23256" windowHeight="12456"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B206" i="2"/>
  <c r="B202" i="2" s="1"/>
  <c r="R12" i="8"/>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7" i="8" s="1"/>
  <c r="A69" i="8" s="1"/>
  <c r="A81" i="8" s="1"/>
  <c r="A93" i="8" s="1"/>
  <c r="A105" i="8" s="1"/>
  <c r="A117" i="8" s="1"/>
  <c r="A129" i="8" s="1"/>
  <c r="A141" i="8" s="1"/>
  <c r="A153" i="8" s="1"/>
  <c r="A56" i="8"/>
  <c r="A68" i="8" s="1"/>
  <c r="A80" i="8" s="1"/>
  <c r="A92" i="8" s="1"/>
  <c r="A104" i="8" s="1"/>
  <c r="A116" i="8" s="1"/>
  <c r="A128" i="8" s="1"/>
  <c r="A140" i="8" s="1"/>
  <c r="A152"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E633" i="17" s="1"/>
  <c r="AE626" i="17"/>
  <c r="E636" i="17" s="1"/>
  <c r="AF573" i="17"/>
  <c r="G628" i="17"/>
  <c r="H628" i="17"/>
  <c r="AE622" i="17"/>
  <c r="E632" i="17" s="1"/>
  <c r="AF623" i="17"/>
  <c r="D628" i="17"/>
  <c r="F628" i="17"/>
  <c r="T628" i="17"/>
  <c r="C628" i="17"/>
  <c r="E628" i="17"/>
  <c r="S628" i="17"/>
  <c r="R32" i="8"/>
  <c r="S32" i="8"/>
  <c r="C71" i="1" s="1"/>
  <c r="D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D72" i="1" s="1"/>
  <c r="S34" i="8"/>
  <c r="C73" i="1" s="1"/>
  <c r="D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V235" i="17" s="1"/>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W91" i="27" l="1"/>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367" i="17" l="1"/>
  <c r="AH578" i="17"/>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I367"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<sst xmlns="http://schemas.openxmlformats.org/spreadsheetml/2006/main" count="1594" uniqueCount="953">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</sst>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103.36614497917245</c:v>
                </c:pt>
                <c:pt idx="1">
                  <c:v>102.83899623476475</c:v>
                </c:pt>
                <c:pt idx="2">
                  <c:v>102.27982024388469</c:v>
                </c:pt>
                <c:pt idx="3">
                  <c:v>101.6908621347159</c:v>
                </c:pt>
                <c:pt idx="4">
                  <c:v>101.07499507942306</c:v>
                </c:pt>
                <c:pt idx="5">
                  <c:v>100.43374920529814</c:v>
                </c:pt>
                <c:pt idx="6">
                  <c:v>99.770592174585389</c:v>
                </c:pt>
                <c:pt idx="7">
                  <c:v>99.087603427967949</c:v>
                </c:pt>
                <c:pt idx="8">
                  <c:v>98.387667614621847</c:v>
                </c:pt>
                <c:pt idx="9">
                  <c:v>97.672470485144473</c:v>
                </c:pt>
                <c:pt idx="10">
                  <c:v>96.9444391562362</c:v>
                </c:pt>
                <c:pt idx="11">
                  <c:v>96.205289248308304</c:v>
                </c:pt>
                <c:pt idx="12">
                  <c:v>95.456233561051306</c:v>
                </c:pt>
                <c:pt idx="13">
                  <c:v>94.699405332382653</c:v>
                </c:pt>
                <c:pt idx="14">
                  <c:v>93.935432887038274</c:v>
                </c:pt>
                <c:pt idx="15">
                  <c:v>93.16567015865607</c:v>
                </c:pt>
                <c:pt idx="16">
                  <c:v>92.390967646653792</c:v>
                </c:pt>
                <c:pt idx="17">
                  <c:v>91.612214730209288</c:v>
                </c:pt>
                <c:pt idx="18">
                  <c:v>90.829846513555751</c:v>
                </c:pt>
                <c:pt idx="19">
                  <c:v>90.044632583089736</c:v>
                </c:pt>
                <c:pt idx="20">
                  <c:v>89.25688836365957</c:v>
                </c:pt>
                <c:pt idx="21">
                  <c:v>88.467171206706951</c:v>
                </c:pt>
                <c:pt idx="22">
                  <c:v>87.675644977242143</c:v>
                </c:pt>
                <c:pt idx="23">
                  <c:v>86.882783675337322</c:v>
                </c:pt>
                <c:pt idx="24">
                  <c:v>86.088617601070325</c:v>
                </c:pt>
                <c:pt idx="25">
                  <c:v>85.293462642289128</c:v>
                </c:pt>
                <c:pt idx="26">
                  <c:v>84.497293595032858</c:v>
                </c:pt>
                <c:pt idx="27">
                  <c:v>83.700496360841825</c:v>
                </c:pt>
                <c:pt idx="28">
                  <c:v>82.903149236312416</c:v>
                </c:pt>
                <c:pt idx="29">
                  <c:v>82.105837336711858</c:v>
                </c:pt>
                <c:pt idx="30">
                  <c:v>81.307284584195287</c:v>
                </c:pt>
                <c:pt idx="31">
                  <c:v>80.508664383726881</c:v>
                </c:pt>
                <c:pt idx="32">
                  <c:v>79.709480533499431</c:v>
                </c:pt>
                <c:pt idx="33">
                  <c:v>78.910337002719018</c:v>
                </c:pt>
                <c:pt idx="34">
                  <c:v>78.110642118666348</c:v>
                </c:pt>
                <c:pt idx="35">
                  <c:v>77.310861353247248</c:v>
                </c:pt>
                <c:pt idx="36">
                  <c:v>76.510879140125638</c:v>
                </c:pt>
                <c:pt idx="37">
                  <c:v>75.710262686594632</c:v>
                </c:pt>
                <c:pt idx="38">
                  <c:v>74.909763774052379</c:v>
                </c:pt>
                <c:pt idx="39">
                  <c:v>74.10871750265828</c:v>
                </c:pt>
                <c:pt idx="40">
                  <c:v>73.307396345527735</c:v>
                </c:pt>
                <c:pt idx="41">
                  <c:v>72.505689387058169</c:v>
                </c:pt>
                <c:pt idx="42">
                  <c:v>71.703651914249377</c:v>
                </c:pt>
                <c:pt idx="43">
                  <c:v>70.900977715655529</c:v>
                </c:pt>
                <c:pt idx="44">
                  <c:v>70.097792178312517</c:v>
                </c:pt>
                <c:pt idx="45">
                  <c:v>69.293824962510712</c:v>
                </c:pt>
                <c:pt idx="46">
                  <c:v>68.489106478880984</c:v>
                </c:pt>
                <c:pt idx="47">
                  <c:v>67.683303737245225</c:v>
                </c:pt>
                <c:pt idx="48">
                  <c:v>66.87642274717561</c:v>
                </c:pt>
                <c:pt idx="49">
                  <c:v>66.068026587087502</c:v>
                </c:pt>
                <c:pt idx="50">
                  <c:v>65.257963605167404</c:v>
                </c:pt>
                <c:pt idx="51">
                  <c:v>64.445714920075957</c:v>
                </c:pt>
                <c:pt idx="52">
                  <c:v>63.63114688421139</c:v>
                </c:pt>
                <c:pt idx="53">
                  <c:v>62.813763769844186</c:v>
                </c:pt>
                <c:pt idx="54">
                  <c:v>61.99352790599449</c:v>
                </c:pt>
                <c:pt idx="55">
                  <c:v>61.168403364235587</c:v>
                </c:pt>
                <c:pt idx="56">
                  <c:v>60.338779753231854</c:v>
                </c:pt>
                <c:pt idx="57">
                  <c:v>59.503207201377421</c:v>
                </c:pt>
                <c:pt idx="58">
                  <c:v>58.661251618682158</c:v>
                </c:pt>
                <c:pt idx="59">
                  <c:v>57.811074936938986</c:v>
                </c:pt>
                <c:pt idx="60">
                  <c:v>56.951793096018335</c:v>
                </c:pt>
                <c:pt idx="61">
                  <c:v>56.081736347530722</c:v>
                </c:pt>
                <c:pt idx="62">
                  <c:v>55.198700901870801</c:v>
                </c:pt>
                <c:pt idx="63">
                  <c:v>54.301619718325682</c:v>
                </c:pt>
                <c:pt idx="64">
                  <c:v>53.387701012345651</c:v>
                </c:pt>
                <c:pt idx="65">
                  <c:v>52.455079596595375</c:v>
                </c:pt>
                <c:pt idx="66">
                  <c:v>51.501390167001098</c:v>
                </c:pt>
                <c:pt idx="67">
                  <c:v>50.524470742594865</c:v>
                </c:pt>
                <c:pt idx="68">
                  <c:v>49.521816248592252</c:v>
                </c:pt>
                <c:pt idx="69">
                  <c:v>48.49166564359372</c:v>
                </c:pt>
                <c:pt idx="70">
                  <c:v>47.432100595678072</c:v>
                </c:pt>
                <c:pt idx="71">
                  <c:v>46.342067926080112</c:v>
                </c:pt>
                <c:pt idx="72">
                  <c:v>45.220629651325652</c:v>
                </c:pt>
                <c:pt idx="73">
                  <c:v>44.068027126915787</c:v>
                </c:pt>
                <c:pt idx="74">
                  <c:v>42.88467050716342</c:v>
                </c:pt>
                <c:pt idx="75">
                  <c:v>41.67221627747211</c:v>
                </c:pt>
                <c:pt idx="76">
                  <c:v>40.432620488401774</c:v>
                </c:pt>
                <c:pt idx="77">
                  <c:v>39.169241865866667</c:v>
                </c:pt>
                <c:pt idx="78">
                  <c:v>37.885647714643142</c:v>
                </c:pt>
                <c:pt idx="79">
                  <c:v>36.58680208516892</c:v>
                </c:pt>
                <c:pt idx="80">
                  <c:v>35.27507124830062</c:v>
                </c:pt>
                <c:pt idx="81">
                  <c:v>33.957143692170263</c:v>
                </c:pt>
                <c:pt idx="82">
                  <c:v>32.637164753194497</c:v>
                </c:pt>
                <c:pt idx="83">
                  <c:v>31.321152613395064</c:v>
                </c:pt>
                <c:pt idx="84">
                  <c:v>30.01308662624945</c:v>
                </c:pt>
                <c:pt idx="85">
                  <c:v>28.718486255939133</c:v>
                </c:pt>
                <c:pt idx="86">
                  <c:v>27.441590075442722</c:v>
                </c:pt>
                <c:pt idx="87">
                  <c:v>26.185704662842237</c:v>
                </c:pt>
                <c:pt idx="88">
                  <c:v>24.955431134960826</c:v>
                </c:pt>
                <c:pt idx="89">
                  <c:v>23.752506383385949</c:v>
                </c:pt>
                <c:pt idx="90">
                  <c:v>22.579388533123858</c:v>
                </c:pt>
                <c:pt idx="91">
                  <c:v>21.437192003342183</c:v>
                </c:pt>
                <c:pt idx="92">
                  <c:v>20.326518075860921</c:v>
                </c:pt>
                <c:pt idx="93">
                  <c:v>19.246770615449069</c:v>
                </c:pt>
                <c:pt idx="94">
                  <c:v>18.98170859061252</c:v>
                </c:pt>
                <c:pt idx="95">
                  <c:v>18.849064929903328</c:v>
                </c:pt>
                <c:pt idx="96">
                  <c:v>18.718401989126225</c:v>
                </c:pt>
                <c:pt idx="97">
                  <c:v>18.586705239214282</c:v>
                </c:pt>
                <c:pt idx="98">
                  <c:v>18.456972472902855</c:v>
                </c:pt>
                <c:pt idx="99">
                  <c:v>18.326177904468064</c:v>
                </c:pt>
                <c:pt idx="100">
                  <c:v>18.197331259592715</c:v>
                </c:pt>
                <c:pt idx="101">
                  <c:v>18.067494799735019</c:v>
                </c:pt>
                <c:pt idx="102">
                  <c:v>17.939587918917791</c:v>
                </c:pt>
                <c:pt idx="103">
                  <c:v>17.81057156474948</c:v>
                </c:pt>
                <c:pt idx="104">
                  <c:v>17.683469903003171</c:v>
                </c:pt>
                <c:pt idx="105">
                  <c:v>17.555332009466653</c:v>
                </c:pt>
                <c:pt idx="106">
                  <c:v>17.429091605753513</c:v>
                </c:pt>
                <c:pt idx="107">
                  <c:v>17.301883199522777</c:v>
                </c:pt>
                <c:pt idx="108">
                  <c:v>17.176553007948439</c:v>
                </c:pt>
                <c:pt idx="109">
                  <c:v>17.050232950914552</c:v>
                </c:pt>
                <c:pt idx="110">
                  <c:v>16.925772491143061</c:v>
                </c:pt>
                <c:pt idx="111">
                  <c:v>16.800220426779916</c:v>
                </c:pt>
                <c:pt idx="112">
                  <c:v>16.676512328279316</c:v>
                </c:pt>
                <c:pt idx="113">
                  <c:v>16.551781753801713</c:v>
                </c:pt>
                <c:pt idx="114">
                  <c:v>16.428877442304866</c:v>
                </c:pt>
                <c:pt idx="115">
                  <c:v>16.304936960712013</c:v>
                </c:pt>
                <c:pt idx="116">
                  <c:v>16.182805466098753</c:v>
                </c:pt>
                <c:pt idx="117">
                  <c:v>16.059626430834527</c:v>
                </c:pt>
                <c:pt idx="118">
                  <c:v>15.938239472481213</c:v>
                </c:pt>
                <c:pt idx="119">
                  <c:v>15.815869400858894</c:v>
                </c:pt>
                <c:pt idx="120">
                  <c:v>15.695272687440502</c:v>
                </c:pt>
                <c:pt idx="121">
                  <c:v>15.573681354907523</c:v>
                </c:pt>
                <c:pt idx="122">
                  <c:v>15.453845124547144</c:v>
                </c:pt>
                <c:pt idx="123">
                  <c:v>15.332935270193829</c:v>
                </c:pt>
                <c:pt idx="124">
                  <c:v>15.213764658713309</c:v>
                </c:pt>
                <c:pt idx="125">
                  <c:v>15.093584237952031</c:v>
                </c:pt>
                <c:pt idx="126">
                  <c:v>14.975125462192727</c:v>
                </c:pt>
                <c:pt idx="127">
                  <c:v>14.855650835496634</c:v>
                </c:pt>
                <c:pt idx="128">
                  <c:v>14.73788058872014</c:v>
                </c:pt>
                <c:pt idx="129">
                  <c:v>14.619090004085852</c:v>
                </c:pt>
                <c:pt idx="130">
                  <c:v>14.501986833115994</c:v>
                </c:pt>
                <c:pt idx="131">
                  <c:v>14.383860262891794</c:v>
                </c:pt>
                <c:pt idx="132">
                  <c:v>14.325426399450139</c:v>
                </c:pt>
                <c:pt idx="133">
                  <c:v>14.267404409736502</c:v>
                </c:pt>
                <c:pt idx="134">
                  <c:v>14.208423897569009</c:v>
                </c:pt>
                <c:pt idx="135">
                  <c:v>14.149863182178482</c:v>
                </c:pt>
                <c:pt idx="136">
                  <c:v>14.091716425427487</c:v>
                </c:pt>
                <c:pt idx="137">
                  <c:v>14.033977904669253</c:v>
                </c:pt>
                <c:pt idx="138">
                  <c:v>13.97534489721961</c:v>
                </c:pt>
                <c:pt idx="139">
                  <c:v>13.917127123925063</c:v>
                </c:pt>
                <c:pt idx="140">
                  <c:v>13.859318819833424</c:v>
                </c:pt>
                <c:pt idx="141">
                  <c:v>13.801914334190393</c:v>
                </c:pt>
                <c:pt idx="142">
                  <c:v>13.743561105007583</c:v>
                </c:pt>
                <c:pt idx="143">
                  <c:v>13.685619443349461</c:v>
                </c:pt>
                <c:pt idx="144">
                  <c:v>13.628083640405045</c:v>
                </c:pt>
                <c:pt idx="145">
                  <c:v>13.570948100682113</c:v>
                </c:pt>
                <c:pt idx="146">
                  <c:v>13.512897624424344</c:v>
                </c:pt>
                <c:pt idx="147">
                  <c:v>13.45525466964002</c:v>
                </c:pt>
                <c:pt idx="148">
                  <c:v>13.398013593008734</c:v>
                </c:pt>
                <c:pt idx="149">
                  <c:v>13.341168863369017</c:v>
                </c:pt>
                <c:pt idx="150">
                  <c:v>13.283414349881316</c:v>
                </c:pt>
                <c:pt idx="151">
                  <c:v>13.226063357244769</c:v>
                </c:pt>
                <c:pt idx="152">
                  <c:v>13.169110308090712</c:v>
                </c:pt>
                <c:pt idx="153">
                  <c:v>13.11254973600356</c:v>
                </c:pt>
                <c:pt idx="154">
                  <c:v>13.055058552981961</c:v>
                </c:pt>
                <c:pt idx="155">
                  <c:v>12.997967298376301</c:v>
                </c:pt>
                <c:pt idx="156">
                  <c:v>12.941270453670741</c:v>
                </c:pt>
                <c:pt idx="157">
                  <c:v>12.884962610251534</c:v>
                </c:pt>
                <c:pt idx="158">
                  <c:v>12.827731102608952</c:v>
                </c:pt>
                <c:pt idx="159">
                  <c:v>12.770895938637256</c:v>
                </c:pt>
                <c:pt idx="160">
                  <c:v>12.714451659783165</c:v>
                </c:pt>
                <c:pt idx="161">
                  <c:v>12.658392916283495</c:v>
                </c:pt>
                <c:pt idx="162">
                  <c:v>12.601442656681947</c:v>
                </c:pt>
                <c:pt idx="163">
                  <c:v>12.544884821729029</c:v>
                </c:pt>
                <c:pt idx="164">
                  <c:v>12.488714020892866</c:v>
                </c:pt>
                <c:pt idx="165">
                  <c:v>12.432924971075279</c:v>
                </c:pt>
                <c:pt idx="166">
                  <c:v>12.37620231805106</c:v>
                </c:pt>
                <c:pt idx="167">
                  <c:v>12.31986887401321</c:v>
                </c:pt>
                <c:pt idx="168">
                  <c:v>12.263919303120151</c:v>
                </c:pt>
                <c:pt idx="169">
                  <c:v>12.208348375930939</c:v>
                </c:pt>
                <c:pt idx="170">
                  <c:v>12.151970529349864</c:v>
                </c:pt>
                <c:pt idx="171">
                  <c:v>12.095977049876836</c:v>
                </c:pt>
                <c:pt idx="172">
                  <c:v>12.040362690649937</c:v>
                </c:pt>
                <c:pt idx="173">
                  <c:v>11.985122309237969</c:v>
                </c:pt>
                <c:pt idx="174">
                  <c:v>11.928872275646526</c:v>
                </c:pt>
                <c:pt idx="175">
                  <c:v>11.873004692605855</c:v>
                </c:pt>
                <c:pt idx="176">
                  <c:v>11.817514343458548</c:v>
                </c:pt>
                <c:pt idx="177">
                  <c:v>11.762396115536538</c:v>
                </c:pt>
                <c:pt idx="178">
                  <c:v>11.706303241201915</c:v>
                </c:pt>
                <c:pt idx="179">
                  <c:v>11.650590471037185</c:v>
                </c:pt>
                <c:pt idx="180">
                  <c:v>11.595252628331252</c:v>
                </c:pt>
                <c:pt idx="181">
                  <c:v>11.540284639637612</c:v>
                </c:pt>
                <c:pt idx="182">
                  <c:v>11.484593158118592</c:v>
                </c:pt>
                <c:pt idx="183">
                  <c:v>11.429276127170896</c:v>
                </c:pt>
                <c:pt idx="184">
                  <c:v>11.374328478021592</c:v>
                </c:pt>
                <c:pt idx="185">
                  <c:v>11.319745242612676</c:v>
                </c:pt>
                <c:pt idx="186">
                  <c:v>11.264038082189366</c:v>
                </c:pt>
                <c:pt idx="187">
                  <c:v>11.208705299675731</c:v>
                </c:pt>
                <c:pt idx="188">
                  <c:v>11.153741821900082</c:v>
                </c:pt>
                <c:pt idx="189">
                  <c:v>11.099142676803522</c:v>
                </c:pt>
                <c:pt idx="190">
                  <c:v>11.04387134631715</c:v>
                </c:pt>
                <c:pt idx="191">
                  <c:v>10.988968270610791</c:v>
                </c:pt>
                <c:pt idx="192">
                  <c:v>10.93442849512617</c:v>
                </c:pt>
                <c:pt idx="193">
                  <c:v>10.880247163541661</c:v>
                </c:pt>
                <c:pt idx="194">
                  <c:v>10.82501301873714</c:v>
                </c:pt>
                <c:pt idx="195">
                  <c:v>10.770146303104367</c:v>
                </c:pt>
                <c:pt idx="196">
                  <c:v>10.715642074544514</c:v>
                </c:pt>
                <c:pt idx="197">
                  <c:v>10.661495489100275</c:v>
                </c:pt>
                <c:pt idx="198">
                  <c:v>10.606527747546469</c:v>
                </c:pt>
                <c:pt idx="199">
                  <c:v>10.551923558908815</c:v>
                </c:pt>
                <c:pt idx="200">
                  <c:v>10.497678055463027</c:v>
                </c:pt>
                <c:pt idx="201">
                  <c:v>10.44378646587856</c:v>
                </c:pt>
                <c:pt idx="202">
                  <c:v>10.389100564621112</c:v>
                </c:pt>
                <c:pt idx="203">
                  <c:v>10.334774141732993</c:v>
                </c:pt>
                <c:pt idx="204">
                  <c:v>10.280802408177374</c:v>
                </c:pt>
                <c:pt idx="205">
                  <c:v>10.227180669433523</c:v>
                </c:pt>
                <c:pt idx="206">
                  <c:v>10.172604648471131</c:v>
                </c:pt>
                <c:pt idx="207">
                  <c:v>10.118386283428809</c:v>
                </c:pt>
                <c:pt idx="208">
                  <c:v>10.064520819509752</c:v>
                </c:pt>
                <c:pt idx="209">
                  <c:v>10.011003595704906</c:v>
                </c:pt>
                <c:pt idx="210">
                  <c:v>9.9563829819306662</c:v>
                </c:pt>
                <c:pt idx="211">
                  <c:v>9.9021202058303643</c:v>
                </c:pt>
                <c:pt idx="212">
                  <c:v>9.8482105075506201</c:v>
                </c:pt>
                <c:pt idx="213">
                  <c:v>9.7946492213110776</c:v>
                </c:pt>
                <c:pt idx="214">
                  <c:v>9.7403744244760233</c:v>
                </c:pt>
                <c:pt idx="215">
                  <c:v>9.6864525528029581</c:v>
                </c:pt>
                <c:pt idx="216">
                  <c:v>9.6328789429062134</c:v>
                </c:pt>
                <c:pt idx="217">
                  <c:v>9.5796490230808331</c:v>
                </c:pt>
                <c:pt idx="218">
                  <c:v>9.5255562544384365</c:v>
                </c:pt>
                <c:pt idx="219">
                  <c:v>9.471813637069296</c:v>
                </c:pt>
                <c:pt idx="220">
                  <c:v>9.4184165618768958</c:v>
                </c:pt>
                <c:pt idx="221">
                  <c:v>9.3653605101454254</c:v>
                </c:pt>
                <c:pt idx="222">
                  <c:v>9.3114695785931634</c:v>
                </c:pt>
                <c:pt idx="223">
                  <c:v>9.257925773826619</c:v>
                </c:pt>
                <c:pt idx="224">
                  <c:v>9.2047245461788982</c:v>
                </c:pt>
                <c:pt idx="225">
                  <c:v>9.1518614349178069</c:v>
                </c:pt>
                <c:pt idx="226">
                  <c:v>9.0980271480883061</c:v>
                </c:pt>
                <c:pt idx="227">
                  <c:v>9.0445388290520725</c:v>
                </c:pt>
                <c:pt idx="228">
                  <c:v>8.991391951262214</c:v>
                </c:pt>
                <c:pt idx="229">
                  <c:v>8.9385820765917536</c:v>
                </c:pt>
                <c:pt idx="230">
                  <c:v>8.8314281989395713</c:v>
                </c:pt>
                <c:pt idx="231">
                  <c:v>8.7783634239368986</c:v>
                </c:pt>
                <c:pt idx="232">
                  <c:v>8.7256341846323799</c:v>
                </c:pt>
                <c:pt idx="233">
                  <c:v>8.671996277917307</c:v>
                </c:pt>
                <c:pt idx="234">
                  <c:v>8.6187009487613668</c:v>
                </c:pt>
                <c:pt idx="235">
                  <c:v>8.5657437386369466</c:v>
                </c:pt>
                <c:pt idx="236">
                  <c:v>8.5131202758047095</c:v>
                </c:pt>
                <c:pt idx="237">
                  <c:v>8.4597686160686276</c:v>
                </c:pt>
                <c:pt idx="238">
                  <c:v>8.4067554566937872</c:v>
                </c:pt>
                <c:pt idx="239">
                  <c:v>8.3540764195993624</c:v>
                </c:pt>
                <c:pt idx="240">
                  <c:v>8.3017272114637777</c:v>
                </c:pt>
                <c:pt idx="241">
                  <c:v>8.2483777053881386</c:v>
                </c:pt>
                <c:pt idx="242">
                  <c:v>8.195366227585918</c:v>
                </c:pt>
                <c:pt idx="243">
                  <c:v>8.1426884106829522</c:v>
                </c:pt>
                <c:pt idx="244">
                  <c:v>8.0903399718239122</c:v>
                </c:pt>
                <c:pt idx="245">
                  <c:v>8.0371674917751115</c:v>
                </c:pt>
                <c:pt idx="246">
                  <c:v>7.9843303622409199</c:v>
                </c:pt>
                <c:pt idx="247">
                  <c:v>7.9318242692425649</c:v>
                </c:pt>
                <c:pt idx="248">
                  <c:v>7.8796449819738559</c:v>
                </c:pt>
                <c:pt idx="249">
                  <c:v>7.8265275511202841</c:v>
                </c:pt>
                <c:pt idx="250">
                  <c:v>7.773744332913175</c:v>
                </c:pt>
                <c:pt idx="251">
                  <c:v>7.7212910371731569</c:v>
                </c:pt>
                <c:pt idx="252">
                  <c:v>7.6691634562987563</c:v>
                </c:pt>
                <c:pt idx="253">
                  <c:v>7.6162644854816497</c:v>
                </c:pt>
                <c:pt idx="254">
                  <c:v>7.5636965485502197</c:v>
                </c:pt>
                <c:pt idx="255">
                  <c:v>7.5114554182363396</c:v>
                </c:pt>
                <c:pt idx="256">
                  <c:v>7.4595369482496832</c:v>
                </c:pt>
                <c:pt idx="257">
                  <c:v>7.4066044846328065</c:v>
                </c:pt>
                <c:pt idx="258">
                  <c:v>7.3540030279345707</c:v>
                </c:pt>
                <c:pt idx="259">
                  <c:v>7.3017283535547994</c:v>
                </c:pt>
                <c:pt idx="260">
                  <c:v>7.2497763178002561</c:v>
                </c:pt>
                <c:pt idx="261">
                  <c:v>7.1969730390960454</c:v>
                </c:pt>
                <c:pt idx="262">
                  <c:v>7.1444987144598526</c:v>
                </c:pt>
                <c:pt idx="263">
                  <c:v>7.0923491606230229</c:v>
                </c:pt>
                <c:pt idx="264">
                  <c:v>7.0405202741626898</c:v>
                </c:pt>
                <c:pt idx="265">
                  <c:v>6.9878668789758809</c:v>
                </c:pt>
                <c:pt idx="266">
                  <c:v>6.9355401371267309</c:v>
                </c:pt>
                <c:pt idx="267">
                  <c:v>6.8835359112621575</c:v>
                </c:pt>
                <c:pt idx="268">
                  <c:v>6.8318501426942717</c:v>
                </c:pt>
                <c:pt idx="269">
                  <c:v>6.7792418539103894</c:v>
                </c:pt>
                <c:pt idx="270">
                  <c:v>6.7269592199142947</c:v>
                </c:pt>
                <c:pt idx="271">
                  <c:v>6.6749981245068568</c:v>
                </c:pt>
                <c:pt idx="272">
                  <c:v>6.6233545295953791</c:v>
                </c:pt>
                <c:pt idx="273">
                  <c:v>6.5708176114778594</c:v>
                </c:pt>
                <c:pt idx="274">
                  <c:v>6.5186050277381193</c:v>
                </c:pt>
                <c:pt idx="275">
                  <c:v>6.4667126893501345</c:v>
                </c:pt>
                <c:pt idx="276">
                  <c:v>6.4151365846789261</c:v>
                </c:pt>
                <c:pt idx="277">
                  <c:v>6.3628129807842591</c:v>
                </c:pt>
                <c:pt idx="278">
                  <c:v>6.31081065424282</c:v>
                </c:pt>
                <c:pt idx="279">
                  <c:v>6.2591255757058555</c:v>
                </c:pt>
                <c:pt idx="280">
                  <c:v>6.2077537916818954</c:v>
                </c:pt>
                <c:pt idx="281">
                  <c:v>6.1553125116278924</c:v>
                </c:pt>
                <c:pt idx="282">
                  <c:v>6.1031935125679446</c:v>
                </c:pt>
                <c:pt idx="283">
                  <c:v>6.0513927484556573</c:v>
                </c:pt>
                <c:pt idx="284">
                  <c:v>5.9999062494779558</c:v>
                </c:pt>
                <c:pt idx="285">
                  <c:v>5.9477209492836902</c:v>
                </c:pt>
                <c:pt idx="286">
                  <c:v>5.8958543651079331</c:v>
                </c:pt>
                <c:pt idx="287">
                  <c:v>5.8443025196730636</c:v>
                </c:pt>
                <c:pt idx="288">
                  <c:v>5.7930615101710945</c:v>
                </c:pt>
                <c:pt idx="289">
                  <c:v>5.740814286428801</c:v>
                </c:pt>
                <c:pt idx="290">
                  <c:v>5.6888860959819461</c:v>
                </c:pt>
                <c:pt idx="291">
                  <c:v>5.6372729575580003</c:v>
                </c:pt>
                <c:pt idx="292">
                  <c:v>5.5859709644020956</c:v>
                </c:pt>
                <c:pt idx="293">
                  <c:v>5.5338014366674386</c:v>
                </c:pt>
                <c:pt idx="294">
                  <c:v>5.4819495586000215</c:v>
                </c:pt>
                <c:pt idx="295">
                  <c:v>5.4304113765098352</c:v>
                </c:pt>
                <c:pt idx="296">
                  <c:v>5.3791830104833247</c:v>
                </c:pt>
                <c:pt idx="297">
                  <c:v>5.3271139603177602</c:v>
                </c:pt>
                <c:pt idx="298">
                  <c:v>5.2753609023758719</c:v>
                </c:pt>
                <c:pt idx="299">
                  <c:v>5.2239199154025524</c:v>
                </c:pt>
                <c:pt idx="300">
                  <c:v>5.1727871510561707</c:v>
                </c:pt>
                <c:pt idx="301">
                  <c:v>5.1208395265029658</c:v>
                </c:pt>
                <c:pt idx="302">
                  <c:v>5.0692059872709505</c:v>
                </c:pt>
                <c:pt idx="303">
                  <c:v>5.0178826488741093</c:v>
                </c:pt>
                <c:pt idx="304">
                  <c:v>4.9668656987693769</c:v>
                </c:pt>
                <c:pt idx="305">
                  <c:v>4.914860068204093</c:v>
                </c:pt>
                <c:pt idx="306">
                  <c:v>4.8631687788167763</c:v>
                </c:pt>
                <c:pt idx="307">
                  <c:v>4.8117879426280847</c:v>
                </c:pt>
                <c:pt idx="308">
                  <c:v>4.760713743620145</c:v>
                </c:pt>
                <c:pt idx="309">
                  <c:v>4.7088757743604246</c:v>
                </c:pt>
                <c:pt idx="310">
                  <c:v>4.6573496826851892</c:v>
                </c:pt>
                <c:pt idx="311">
                  <c:v>4.6061316270948378</c:v>
                </c:pt>
                <c:pt idx="312">
                  <c:v>4.5552178368394873</c:v>
                </c:pt>
                <c:pt idx="313">
                  <c:v>4.5033738652668678</c:v>
                </c:pt>
                <c:pt idx="314">
                  <c:v>4.451841391971378</c:v>
                </c:pt>
                <c:pt idx="315">
                  <c:v>4.4006165831876194</c:v>
                </c:pt>
                <c:pt idx="316">
                  <c:v>4.3496956756362515</c:v>
                </c:pt>
                <c:pt idx="317">
                  <c:v>4.297873349029361</c:v>
                </c:pt>
                <c:pt idx="318">
                  <c:v>4.2463618032009141</c:v>
                </c:pt>
                <c:pt idx="319">
                  <c:v>4.1951572180535202</c:v>
                </c:pt>
                <c:pt idx="320">
                  <c:v>4.1442558435638803</c:v>
                </c:pt>
                <c:pt idx="321">
                  <c:v>4.0924807457105787</c:v>
                </c:pt>
                <c:pt idx="322">
                  <c:v>4.0410153983911794</c:v>
                </c:pt>
                <c:pt idx="323">
                  <c:v>3.9898560005920252</c:v>
                </c:pt>
                <c:pt idx="324">
                  <c:v>3.9389988208268067</c:v>
                </c:pt>
                <c:pt idx="325">
                  <c:v>3.8872945772170513</c:v>
                </c:pt>
                <c:pt idx="326">
                  <c:v>3.8358987654928844</c:v>
                </c:pt>
                <c:pt idx="327">
                  <c:v>3.7848076086382783</c:v>
                </c:pt>
                <c:pt idx="328">
                  <c:v>3.7340173984963854</c:v>
                </c:pt>
                <c:pt idx="329">
                  <c:v>3.6823197298418338</c:v>
                </c:pt>
                <c:pt idx="330">
                  <c:v>3.630929929974184</c:v>
                </c:pt>
                <c:pt idx="331">
                  <c:v>3.5798442316424479</c:v>
                </c:pt>
                <c:pt idx="332">
                  <c:v>3.5290589361289237</c:v>
                </c:pt>
                <c:pt idx="333">
                  <c:v>3.4774779308141239</c:v>
                </c:pt>
                <c:pt idx="334">
                  <c:v>3.4262029148528033</c:v>
                </c:pt>
                <c:pt idx="335">
                  <c:v>3.3752301543959713</c:v>
                </c:pt>
                <c:pt idx="336">
                  <c:v>3.3245559832286125</c:v>
                </c:pt>
                <c:pt idx="337">
                  <c:v>3.2729456908247068</c:v>
                </c:pt>
                <c:pt idx="338">
                  <c:v>3.2216412237961785</c:v>
                </c:pt>
                <c:pt idx="339">
                  <c:v>3.1706388499119487</c:v>
                </c:pt>
                <c:pt idx="340">
                  <c:v>3.119934904438467</c:v>
                </c:pt>
                <c:pt idx="341">
                  <c:v>3.0683234104910113</c:v>
                </c:pt>
                <c:pt idx="342">
                  <c:v>3.0170172281554493</c:v>
                </c:pt>
                <c:pt idx="343">
                  <c:v>2.9660126327220473</c:v>
                </c:pt>
                <c:pt idx="344">
                  <c:v>2.9153059666954064</c:v>
                </c:pt>
                <c:pt idx="345">
                  <c:v>2.8637975565607947</c:v>
                </c:pt>
                <c:pt idx="346">
                  <c:v>2.812592698223221</c:v>
                </c:pt>
                <c:pt idx="347">
                  <c:v>2.7616876966781341</c:v>
                </c:pt>
                <c:pt idx="348">
                  <c:v>2.711078923316887</c:v>
                </c:pt>
                <c:pt idx="349">
                  <c:v>2.6595392186382623</c:v>
                </c:pt>
                <c:pt idx="350">
                  <c:v>2.6083028667841681</c:v>
                </c:pt>
                <c:pt idx="351">
                  <c:v>2.5573661734519089</c:v>
                </c:pt>
                <c:pt idx="352">
                  <c:v>2.5067255106053192</c:v>
                </c:pt>
                <c:pt idx="353">
                  <c:v>2.4551820840512657</c:v>
                </c:pt>
                <c:pt idx="354">
                  <c:v>2.4039414621790907</c:v>
                </c:pt>
                <c:pt idx="355">
                  <c:v>2.3529999571290086</c:v>
                </c:pt>
                <c:pt idx="356">
                  <c:v>2.3023539470352161</c:v>
                </c:pt>
                <c:pt idx="357">
                  <c:v>2.2509052640412568</c:v>
                </c:pt>
                <c:pt idx="358">
                  <c:v>2.1997576598856918</c:v>
                </c:pt>
                <c:pt idx="359">
                  <c:v>2.1489074739178418</c:v>
                </c:pt>
                <c:pt idx="360">
                  <c:v>2.0983511107099013</c:v>
                </c:pt>
                <c:pt idx="361">
                  <c:v>2.0468730661468753</c:v>
                </c:pt>
                <c:pt idx="362">
                  <c:v>1.9956957955561618</c:v>
                </c:pt>
                <c:pt idx="363">
                  <c:v>1.9448156389205202</c:v>
                </c:pt>
                <c:pt idx="364">
                  <c:v>1.8942290012983678</c:v>
                </c:pt>
                <c:pt idx="365">
                  <c:v>1.8428179149316839</c:v>
                </c:pt>
                <c:pt idx="366">
                  <c:v>1.7917061427278127</c:v>
                </c:pt>
                <c:pt idx="367">
                  <c:v>1.7408900455254277</c:v>
                </c:pt>
                <c:pt idx="368">
                  <c:v>1.6903660486068812</c:v>
                </c:pt>
                <c:pt idx="369">
                  <c:v>1.6389056427381594</c:v>
                </c:pt>
                <c:pt idx="370">
                  <c:v>1.5877444049095875</c:v>
                </c:pt>
                <c:pt idx="371">
                  <c:v>1.5368786920632314</c:v>
                </c:pt>
                <c:pt idx="372">
                  <c:v>1.4863049255276883</c:v>
                </c:pt>
                <c:pt idx="373">
                  <c:v>1.4348891330969138</c:v>
                </c:pt>
                <c:pt idx="374">
                  <c:v>1.3837712314235382</c:v>
                </c:pt>
                <c:pt idx="375">
                  <c:v>1.3329475932075132</c:v>
                </c:pt>
                <c:pt idx="376">
                  <c:v>1.2824146550072637</c:v>
                </c:pt>
                <c:pt idx="377">
                  <c:v>1.2309342903954494</c:v>
                </c:pt>
                <c:pt idx="378">
                  <c:v>1.1797517542931739</c:v>
                </c:pt>
                <c:pt idx="379">
                  <c:v>1.1288634119988703</c:v>
                </c:pt>
                <c:pt idx="380">
                  <c:v>1.0782656926730421</c:v>
                </c:pt>
                <c:pt idx="381">
                  <c:v>1.0268755845785897</c:v>
                </c:pt>
                <c:pt idx="382">
                  <c:v>0.97578140657807722</c:v>
                </c:pt>
                <c:pt idx="383">
                  <c:v>0.92497954895008772</c:v>
                </c:pt>
                <c:pt idx="384">
                  <c:v>0.87446646507222003</c:v>
                </c:pt>
                <c:pt idx="385">
                  <c:v>0.82299746037049826</c:v>
                </c:pt>
                <c:pt idx="386">
                  <c:v>0.77182437545844695</c:v>
                </c:pt>
                <c:pt idx="387">
                  <c:v>0.72094358992220098</c:v>
                </c:pt>
                <c:pt idx="388">
                  <c:v>0.67035154650124096</c:v>
                </c:pt>
                <c:pt idx="389">
                  <c:v>0.61889229534573209</c:v>
                </c:pt>
                <c:pt idx="390">
                  <c:v>0.56772787136548153</c:v>
                </c:pt>
                <c:pt idx="391">
                  <c:v>0.51685466188889817</c:v>
                </c:pt>
                <c:pt idx="392">
                  <c:v>0.46626911700977686</c:v>
                </c:pt>
                <c:pt idx="393">
                  <c:v>0.41484128443092461</c:v>
                </c:pt>
                <c:pt idx="394">
                  <c:v>0.36370687141252889</c:v>
                </c:pt>
                <c:pt idx="395">
                  <c:v>0.31286227737285738</c:v>
                </c:pt>
                <c:pt idx="396">
                  <c:v>0.2623039639929432</c:v>
                </c:pt>
                <c:pt idx="397">
                  <c:v>0.21081137962606342</c:v>
                </c:pt>
                <c:pt idx="398">
                  <c:v>0.15961182430089527</c:v>
                </c:pt>
                <c:pt idx="399">
                  <c:v>0.10870168925923773</c:v>
                </c:pt>
                <c:pt idx="400">
                  <c:v>5.80774279518637E-2</c:v>
                </c:pt>
                <c:pt idx="401">
                  <c:v>6.6024015463166108E-3</c:v>
                </c:pt>
                <c:pt idx="402">
                  <c:v>-4.4581007092852551E-2</c:v>
                </c:pt>
                <c:pt idx="403">
                  <c:v>-9.5476397866934792E-2</c:v>
                </c:pt>
                <c:pt idx="404">
                  <c:v>-0.14608730893145272</c:v>
                </c:pt>
                <c:pt idx="405">
                  <c:v>-0.19758050079320816</c:v>
                </c:pt>
                <c:pt idx="406">
                  <c:v>-0.24878317465976607</c:v>
                </c:pt>
                <c:pt idx="407">
                  <c:v>-0.2996989292072012</c:v>
                </c:pt>
                <c:pt idx="408">
                  <c:v>-0.35033130167476978</c:v>
                </c:pt>
                <c:pt idx="409">
                  <c:v>-0.40187538566099212</c:v>
                </c:pt>
                <c:pt idx="410">
                  <c:v>-0.45312978847813262</c:v>
                </c:pt>
                <c:pt idx="411">
                  <c:v>-0.50409811456789411</c:v>
                </c:pt>
                <c:pt idx="412">
                  <c:v>-0.55478390710875447</c:v>
                </c:pt>
                <c:pt idx="413">
                  <c:v>-0.60635591156528745</c:v>
                </c:pt>
                <c:pt idx="414">
                  <c:v>-0.65763944563131438</c:v>
                </c:pt>
                <c:pt idx="415">
                  <c:v>-0.70863811489095774</c:v>
                </c:pt>
                <c:pt idx="416">
                  <c:v>-0.7593554639687663</c:v>
                </c:pt>
                <c:pt idx="417">
                  <c:v>-0.81098639441979303</c:v>
                </c:pt>
                <c:pt idx="418">
                  <c:v>-0.86232984719720829</c:v>
                </c:pt>
                <c:pt idx="419">
                  <c:v>-0.91338943566792297</c:v>
                </c:pt>
                <c:pt idx="420">
                  <c:v>-0.96416871242162561</c:v>
                </c:pt>
                <c:pt idx="421">
                  <c:v>-1.0157858264780506</c:v>
                </c:pt>
                <c:pt idx="422">
                  <c:v>-1.0671174005670219</c:v>
                </c:pt>
                <c:pt idx="423">
                  <c:v>-1.1181670408338631</c:v>
                </c:pt>
                <c:pt idx="424">
                  <c:v>-1.1689382931932428</c:v>
                </c:pt>
                <c:pt idx="425">
                  <c:v>-1.2206737370247713</c:v>
                </c:pt>
                <c:pt idx="426">
                  <c:v>-1.2721242732138589</c:v>
                </c:pt>
                <c:pt idx="427">
                  <c:v>-1.3232935284390799</c:v>
                </c:pt>
                <c:pt idx="428">
                  <c:v>-1.3741850691112159</c:v>
                </c:pt>
                <c:pt idx="429">
                  <c:v>-1.4259661668250267</c:v>
                </c:pt>
                <c:pt idx="430">
                  <c:v>-1.4774639616512202</c:v>
                </c:pt>
                <c:pt idx="431">
                  <c:v>-1.5286820857997887</c:v>
                </c:pt>
                <c:pt idx="432">
                  <c:v>-1.579624111544335</c:v>
                </c:pt>
                <c:pt idx="433">
                  <c:v>-1.6314322855757781</c:v>
                </c:pt>
                <c:pt idx="434">
                  <c:v>-1.6829591457716231</c:v>
                </c:pt>
                <c:pt idx="435">
                  <c:v>-1.7342083261496042</c:v>
                </c:pt>
                <c:pt idx="436">
                  <c:v>-1.7851834012404244</c:v>
                </c:pt>
                <c:pt idx="437">
                  <c:v>-1.8370951842836325</c:v>
                </c:pt>
                <c:pt idx="438">
                  <c:v>-1.8887270161651271</c:v>
                </c:pt>
                <c:pt idx="439">
                  <c:v>-1.9400825489032678</c:v>
                </c:pt>
                <c:pt idx="440">
                  <c:v>-1.9911653751669256</c:v>
                </c:pt>
                <c:pt idx="441">
                  <c:v>-2.0431607386738584</c:v>
                </c:pt>
                <c:pt idx="442">
                  <c:v>-2.0948779570600018</c:v>
                </c:pt>
                <c:pt idx="443">
                  <c:v>-2.1463206963099015</c:v>
                </c:pt>
                <c:pt idx="444">
                  <c:v>-2.1974925633284466</c:v>
                </c:pt>
                <c:pt idx="445">
                  <c:v>-2.2495539830655291</c:v>
                </c:pt>
                <c:pt idx="446">
                  <c:v>-2.3013394943002057</c:v>
                </c:pt>
                <c:pt idx="447">
                  <c:v>-2.3528527734255493</c:v>
                </c:pt>
                <c:pt idx="448">
                  <c:v>-2.4040974381465259</c:v>
                </c:pt>
                <c:pt idx="449">
                  <c:v>-2.4562969831866273</c:v>
                </c:pt>
                <c:pt idx="450">
                  <c:v>-2.5082223645920934</c:v>
                </c:pt>
                <c:pt idx="451">
                  <c:v>-2.5598772844836071</c:v>
                </c:pt>
                <c:pt idx="452">
                  <c:v>-2.6112653864096518</c:v>
                </c:pt>
                <c:pt idx="453">
                  <c:v>-2.6635423660046325</c:v>
                </c:pt>
                <c:pt idx="454">
                  <c:v>-2.7155478590776152</c:v>
                </c:pt>
                <c:pt idx="455">
                  <c:v>-2.7672855807182528</c:v>
                </c:pt>
                <c:pt idx="456">
                  <c:v>-2.818759187879682</c:v>
                </c:pt>
                <c:pt idx="457">
                  <c:v>-2.8711845133513139</c:v>
                </c:pt>
                <c:pt idx="458">
                  <c:v>-2.9233406152778811</c:v>
                </c:pt>
                <c:pt idx="459">
                  <c:v>-2.9752312367898726</c:v>
                </c:pt>
                <c:pt idx="460">
                  <c:v>-3.0268600630556768</c:v>
                </c:pt>
                <c:pt idx="461">
                  <c:v>-3.0794185362691398</c:v>
                </c:pt>
                <c:pt idx="462">
                  <c:v>-3.1317105615009377</c:v>
                </c:pt>
                <c:pt idx="463">
                  <c:v>-3.1837399066625069</c:v>
                </c:pt>
                <c:pt idx="464">
                  <c:v>-3.2355102820001806</c:v>
                </c:pt>
                <c:pt idx="465">
                  <c:v>-3.2882296927887817</c:v>
                </c:pt>
                <c:pt idx="466">
                  <c:v>-3.3406855366574337</c:v>
                </c:pt>
                <c:pt idx="467">
                  <c:v>-3.3928816121216832</c:v>
                </c:pt>
                <c:pt idx="468">
                  <c:v>-3.4448216602654682</c:v>
                </c:pt>
                <c:pt idx="469">
                  <c:v>-3.4976901272183856</c:v>
                </c:pt>
                <c:pt idx="470">
                  <c:v>-3.5502984464381764</c:v>
                </c:pt>
                <c:pt idx="471">
                  <c:v>-3.6026504442300746</c:v>
                </c:pt>
                <c:pt idx="472">
                  <c:v>-3.6547498898112396</c:v>
                </c:pt>
                <c:pt idx="473">
                  <c:v>-3.7078357082375497</c:v>
                </c:pt>
                <c:pt idx="474">
                  <c:v>-3.7606645878046345</c:v>
                </c:pt>
                <c:pt idx="475">
                  <c:v>-3.8132403969830313</c:v>
                </c:pt>
                <c:pt idx="476">
                  <c:v>-3.8655669472662932</c:v>
                </c:pt>
                <c:pt idx="477">
                  <c:v>-3.9188598129370873</c:v>
                </c:pt>
                <c:pt idx="478">
                  <c:v>-3.971899555741933</c:v>
                </c:pt>
                <c:pt idx="479">
                  <c:v>-4.0246900835137014</c:v>
                </c:pt>
                <c:pt idx="480">
                  <c:v>-4.077235247324893</c:v>
                </c:pt>
                <c:pt idx="481">
                  <c:v>-4.1307281614148836</c:v>
                </c:pt>
                <c:pt idx="482">
                  <c:v>-4.1839723724173776</c:v>
                </c:pt>
                <c:pt idx="483">
                  <c:v>-4.2369718251008806</c:v>
                </c:pt>
                <c:pt idx="484">
                  <c:v>-4.2897304077778884</c:v>
                </c:pt>
                <c:pt idx="485">
                  <c:v>-4.3434561689413131</c:v>
                </c:pt>
                <c:pt idx="486">
                  <c:v>-4.3969379186963202</c:v>
                </c:pt>
                <c:pt idx="487">
                  <c:v>-4.4501796447273438</c:v>
                </c:pt>
                <c:pt idx="488">
                  <c:v>-4.5031852784841826</c:v>
                </c:pt>
                <c:pt idx="489">
                  <c:v>-4.5572132610863587</c:v>
                </c:pt>
                <c:pt idx="490">
                  <c:v>-4.6110019324657863</c:v>
                </c:pt>
                <c:pt idx="491">
                  <c:v>-4.6645553370354742</c:v>
                </c:pt>
                <c:pt idx="492">
                  <c:v>-4.7178774629589979</c:v>
                </c:pt>
                <c:pt idx="493">
                  <c:v>-4.7722051511525985</c:v>
                </c:pt>
                <c:pt idx="494">
                  <c:v>-4.8262989453713745</c:v>
                </c:pt>
                <c:pt idx="495">
                  <c:v>-4.880162944134522</c:v>
                </c:pt>
                <c:pt idx="496">
                  <c:v>-4.9338011897537921</c:v>
                </c:pt>
                <c:pt idx="497">
                  <c:v>-4.9884645553435174</c:v>
                </c:pt>
                <c:pt idx="498">
                  <c:v>-5.0428998741634015</c:v>
                </c:pt>
                <c:pt idx="499">
                  <c:v>-5.0971113042138603</c:v>
                </c:pt>
                <c:pt idx="500">
                  <c:v>-5.1511029472182326</c:v>
                </c:pt>
                <c:pt idx="501">
                  <c:v>-5.2061395956509955</c:v>
                </c:pt>
                <c:pt idx="502">
                  <c:v>-5.2609545283579759</c:v>
                </c:pt>
                <c:pt idx="503">
                  <c:v>-5.315551967876246</c:v>
                </c:pt>
                <c:pt idx="504">
                  <c:v>-5.369936080266501</c:v>
                </c:pt>
                <c:pt idx="505">
                  <c:v>-5.425352020846975</c:v>
                </c:pt>
                <c:pt idx="506">
                  <c:v>-5.4805533723366517</c:v>
                </c:pt>
                <c:pt idx="507">
                  <c:v>-5.5355444187007565</c:v>
                </c:pt>
                <c:pt idx="508">
                  <c:v>-5.5903293872121873</c:v>
                </c:pt>
                <c:pt idx="509">
                  <c:v>-5.6461679292650064</c:v>
                </c:pt>
                <c:pt idx="510">
                  <c:v>-5.7017995602636438</c:v>
                </c:pt>
                <c:pt idx="511">
                  <c:v>-5.7572286299369626</c:v>
                </c:pt>
                <c:pt idx="512">
                  <c:v>-5.8124594309170687</c:v>
                </c:pt>
                <c:pt idx="513">
                  <c:v>-5.8687988412958747</c:v>
                </c:pt>
                <c:pt idx="514">
                  <c:v>-5.9249393948257625</c:v>
                </c:pt>
                <c:pt idx="515">
                  <c:v>-5.9808855182417853</c:v>
                </c:pt>
                <c:pt idx="516">
                  <c:v>-6.0366415804235052</c:v>
                </c:pt>
                <c:pt idx="517">
                  <c:v>-6.093496821374849</c:v>
                </c:pt>
                <c:pt idx="518">
                  <c:v>-6.1501621673395857</c:v>
                </c:pt>
                <c:pt idx="519">
                  <c:v>-6.2066421169241242</c:v>
                </c:pt>
                <c:pt idx="520">
                  <c:v>-6.2629411099953236</c:v>
                </c:pt>
                <c:pt idx="521">
                  <c:v>-6.320363685390439</c:v>
                </c:pt>
                <c:pt idx="522">
                  <c:v>-6.3776060299962891</c:v>
                </c:pt>
                <c:pt idx="523">
                  <c:v>-6.4346727158182473</c:v>
                </c:pt>
                <c:pt idx="524">
                  <c:v>-6.4915682549293452</c:v>
                </c:pt>
                <c:pt idx="525">
                  <c:v>-6.5496129707965958</c:v>
                </c:pt>
                <c:pt idx="526">
                  <c:v>-6.607487866271228</c:v>
                </c:pt>
                <c:pt idx="527">
                  <c:v>-6.6651975868386408</c:v>
                </c:pt>
                <c:pt idx="528">
                  <c:v>-6.7227467164972357</c:v>
                </c:pt>
                <c:pt idx="529">
                  <c:v>-6.7814719596171695</c:v>
                </c:pt>
                <c:pt idx="530">
                  <c:v>-6.8400385773646306</c:v>
                </c:pt>
                <c:pt idx="531">
                  <c:v>-6.8984512870079007</c:v>
                </c:pt>
                <c:pt idx="532">
                  <c:v>-6.9567147423521289</c:v>
                </c:pt>
                <c:pt idx="533">
                  <c:v>-7.0162133993755171</c:v>
                </c:pt>
                <c:pt idx="534">
                  <c:v>-7.0755652929940744</c:v>
                </c:pt>
                <c:pt idx="535">
                  <c:v>-7.1347752157663811</c:v>
                </c:pt>
                <c:pt idx="536">
                  <c:v>-7.1938478941898829</c:v>
                </c:pt>
                <c:pt idx="537">
                  <c:v>-7.2541246515950615</c:v>
                </c:pt>
                <c:pt idx="538">
                  <c:v>-7.3142676532702104</c:v>
                </c:pt>
                <c:pt idx="539">
                  <c:v>-7.3742817457529455</c:v>
                </c:pt>
                <c:pt idx="540">
                  <c:v>-7.4341717066382493</c:v>
                </c:pt>
                <c:pt idx="541">
                  <c:v>-7.4953581978539567</c:v>
                </c:pt>
                <c:pt idx="542">
                  <c:v>-7.5564245147318099</c:v>
                </c:pt>
                <c:pt idx="543">
                  <c:v>-7.6173755629809348</c:v>
                </c:pt>
                <c:pt idx="544">
                  <c:v>-7.6782161755797471</c:v>
                </c:pt>
                <c:pt idx="545">
                  <c:v>-7.7403567701632516</c:v>
                </c:pt>
                <c:pt idx="546">
                  <c:v>-7.8023917593112193</c:v>
                </c:pt>
                <c:pt idx="547">
                  <c:v>-7.8643260873798093</c:v>
                </c:pt>
                <c:pt idx="548">
                  <c:v>-7.9261646216483816</c:v>
                </c:pt>
                <c:pt idx="549">
                  <c:v>-7.9893388028401873</c:v>
                </c:pt>
                <c:pt idx="550">
                  <c:v>-8.0524227723159552</c:v>
                </c:pt>
                <c:pt idx="551">
                  <c:v>-8.1154214958819999</c:v>
                </c:pt>
                <c:pt idx="552">
                  <c:v>-8.1783398571597594</c:v>
                </c:pt>
                <c:pt idx="553">
                  <c:v>-8.2426611365934281</c:v>
                </c:pt>
                <c:pt idx="554">
                  <c:v>-8.3069083169286966</c:v>
                </c:pt>
                <c:pt idx="555">
                  <c:v>-8.3710863703952381</c:v>
                </c:pt>
                <c:pt idx="556">
                  <c:v>-8.4352001809534727</c:v>
                </c:pt>
                <c:pt idx="557">
                  <c:v>-8.5662556460143939</c:v>
                </c:pt>
                <c:pt idx="558">
                  <c:v>-8.6971019312981266</c:v>
                </c:pt>
                <c:pt idx="559">
                  <c:v>-8.8307710594842206</c:v>
                </c:pt>
                <c:pt idx="560">
                  <c:v>-8.9643010919026818</c:v>
                </c:pt>
                <c:pt idx="561">
                  <c:v>-9.1008947012133881</c:v>
                </c:pt>
                <c:pt idx="562">
                  <c:v>-9.2374211159072441</c:v>
                </c:pt>
                <c:pt idx="563">
                  <c:v>-9.3768464639311269</c:v>
                </c:pt>
                <c:pt idx="564">
                  <c:v>-9.5162780056811016</c:v>
                </c:pt>
                <c:pt idx="565">
                  <c:v>-9.6592684044125345</c:v>
                </c:pt>
                <c:pt idx="566">
                  <c:v>-9.8023391777047664</c:v>
                </c:pt>
                <c:pt idx="567">
                  <c:v>-9.9490472610535541</c:v>
                </c:pt>
                <c:pt idx="568">
                  <c:v>-10.095910253185805</c:v>
                </c:pt>
                <c:pt idx="569">
                  <c:v>-10.245903565720267</c:v>
                </c:pt>
                <c:pt idx="570">
                  <c:v>-10.396123464111245</c:v>
                </c:pt>
                <c:pt idx="571">
                  <c:v>-10.550733933423</c:v>
                </c:pt>
                <c:pt idx="572">
                  <c:v>-10.705643870358214</c:v>
                </c:pt>
                <c:pt idx="573">
                  <c:v>-10.863845722504646</c:v>
                </c:pt>
                <c:pt idx="574">
                  <c:v>-11.022411553753715</c:v>
                </c:pt>
                <c:pt idx="575">
                  <c:v>-11.185536631576188</c:v>
                </c:pt>
                <c:pt idx="576">
                  <c:v>-11.349090236478601</c:v>
                </c:pt>
                <c:pt idx="577">
                  <c:v>-12.046626758796625</c:v>
                </c:pt>
                <c:pt idx="578">
                  <c:v>-12.752957505880971</c:v>
                </c:pt>
                <c:pt idx="579">
                  <c:v>-14.330801632295518</c:v>
                </c:pt>
                <c:pt idx="580">
                  <c:v>-16.098970774842986</c:v>
                </c:pt>
                <c:pt idx="581">
                  <c:v>-18.054115546106161</c:v>
                </c:pt>
                <c:pt idx="582">
                  <c:v>-20.18230531081624</c:v>
                </c:pt>
                <c:pt idx="583">
                  <c:v>-22.457157870312017</c:v>
                </c:pt>
                <c:pt idx="584">
                  <c:v>-24.852050075417644</c:v>
                </c:pt>
                <c:pt idx="585">
                  <c:v>-27.338771158055259</c:v>
                </c:pt>
                <c:pt idx="586">
                  <c:v>-29.894958464105144</c:v>
                </c:pt>
                <c:pt idx="587">
                  <c:v>-32.50417433579323</c:v>
                </c:pt>
                <c:pt idx="588">
                  <c:v>-35.150417476207714</c:v>
                </c:pt>
                <c:pt idx="589">
                  <c:v>-37.825618088487403</c:v>
                </c:pt>
                <c:pt idx="590">
                  <c:v>-40.520883547178073</c:v>
                </c:pt>
                <c:pt idx="591">
                  <c:v>-43.230012462536955</c:v>
                </c:pt>
                <c:pt idx="592">
                  <c:v>-45.947067065061191</c:v>
                </c:pt>
                <c:pt idx="593">
                  <c:v>-48.667794309677731</c:v>
                </c:pt>
                <c:pt idx="594">
                  <c:v>-51.386765901058524</c:v>
                </c:pt>
                <c:pt idx="595">
                  <c:v>-54.100146156021836</c:v>
                </c:pt>
                <c:pt idx="596">
                  <c:v>-56.803388694743632</c:v>
                </c:pt>
                <c:pt idx="597">
                  <c:v>-59.493567006465128</c:v>
                </c:pt>
                <c:pt idx="598">
                  <c:v>-62.167111337138998</c:v>
                </c:pt>
                <c:pt idx="599">
                  <c:v>-64.822480445464393</c:v>
                </c:pt>
                <c:pt idx="600">
                  <c:v>-67.457764430879422</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-53.059921850532632</c:v>
                </c:pt>
                <c:pt idx="1">
                  <c:v>-55.566887066393193</c:v>
                </c:pt>
                <c:pt idx="2">
                  <c:v>-57.992966245341954</c:v>
                </c:pt>
                <c:pt idx="3">
                  <c:v>-60.324323799884255</c:v>
                </c:pt>
                <c:pt idx="4">
                  <c:v>-62.548773180232232</c:v>
                </c:pt>
                <c:pt idx="5">
                  <c:v>-64.662257105788299</c:v>
                </c:pt>
                <c:pt idx="6">
                  <c:v>-66.656869745436083</c:v>
                </c:pt>
                <c:pt idx="7">
                  <c:v>-68.531759402396801</c:v>
                </c:pt>
                <c:pt idx="8">
                  <c:v>-70.285654120605841</c:v>
                </c:pt>
                <c:pt idx="9">
                  <c:v>-71.921826355848864</c:v>
                </c:pt>
                <c:pt idx="10">
                  <c:v>-73.44271304340387</c:v>
                </c:pt>
                <c:pt idx="11">
                  <c:v>-74.85308829636557</c:v>
                </c:pt>
                <c:pt idx="12">
                  <c:v>-76.158932910447845</c:v>
                </c:pt>
                <c:pt idx="13">
                  <c:v>-77.364810887540045</c:v>
                </c:pt>
                <c:pt idx="14">
                  <c:v>-78.477822360699165</c:v>
                </c:pt>
                <c:pt idx="15">
                  <c:v>-79.503733589291301</c:v>
                </c:pt>
                <c:pt idx="16">
                  <c:v>-80.448844640810634</c:v>
                </c:pt>
                <c:pt idx="17">
                  <c:v>-81.31912375345361</c:v>
                </c:pt>
                <c:pt idx="18">
                  <c:v>-82.120717990108304</c:v>
                </c:pt>
                <c:pt idx="19">
                  <c:v>-82.859063847130955</c:v>
                </c:pt>
                <c:pt idx="20">
                  <c:v>-83.539698772500245</c:v>
                </c:pt>
                <c:pt idx="21">
                  <c:v>-84.167589022448411</c:v>
                </c:pt>
                <c:pt idx="22">
                  <c:v>-84.747684776791715</c:v>
                </c:pt>
                <c:pt idx="23">
                  <c:v>-85.284375200341898</c:v>
                </c:pt>
                <c:pt idx="24">
                  <c:v>-85.782054648723189</c:v>
                </c:pt>
                <c:pt idx="25">
                  <c:v>-86.244637136806318</c:v>
                </c:pt>
                <c:pt idx="26">
                  <c:v>-86.675975643718147</c:v>
                </c:pt>
                <c:pt idx="27">
                  <c:v>-87.079457970773859</c:v>
                </c:pt>
                <c:pt idx="28">
                  <c:v>-87.45843168958443</c:v>
                </c:pt>
                <c:pt idx="29">
                  <c:v>-87.815825246160387</c:v>
                </c:pt>
                <c:pt idx="30">
                  <c:v>-88.155209533166115</c:v>
                </c:pt>
                <c:pt idx="31">
                  <c:v>-88.478927228239925</c:v>
                </c:pt>
                <c:pt idx="32">
                  <c:v>-88.789913514731865</c:v>
                </c:pt>
                <c:pt idx="33">
                  <c:v>-89.090558928296701</c:v>
                </c:pt>
                <c:pt idx="34">
                  <c:v>-89.383625014126778</c:v>
                </c:pt>
                <c:pt idx="35">
                  <c:v>-89.671410826482614</c:v>
                </c:pt>
                <c:pt idx="36">
                  <c:v>-89.956384582230811</c:v>
                </c:pt>
                <c:pt idx="37">
                  <c:v>-90.241097719431153</c:v>
                </c:pt>
                <c:pt idx="38">
                  <c:v>-90.52767234758187</c:v>
                </c:pt>
                <c:pt idx="39">
                  <c:v>-90.818746393009604</c:v>
                </c:pt>
                <c:pt idx="40">
                  <c:v>-91.11665108072792</c:v>
                </c:pt>
                <c:pt idx="41">
                  <c:v>-91.423902047452401</c:v>
                </c:pt>
                <c:pt idx="42">
                  <c:v>-91.743014399650789</c:v>
                </c:pt>
                <c:pt idx="43">
                  <c:v>-92.07672938344345</c:v>
                </c:pt>
                <c:pt idx="44">
                  <c:v>-92.427711213615709</c:v>
                </c:pt>
                <c:pt idx="45">
                  <c:v>-92.798904957154519</c:v>
                </c:pt>
                <c:pt idx="46">
                  <c:v>-93.193248291610459</c:v>
                </c:pt>
                <c:pt idx="47">
                  <c:v>-93.613993808306603</c:v>
                </c:pt>
                <c:pt idx="48">
                  <c:v>-94.064371514268785</c:v>
                </c:pt>
                <c:pt idx="49">
                  <c:v>-94.5480093757741</c:v>
                </c:pt>
                <c:pt idx="50">
                  <c:v>-95.068536449898886</c:v>
                </c:pt>
                <c:pt idx="51">
                  <c:v>-95.629971930374538</c:v>
                </c:pt>
                <c:pt idx="52">
                  <c:v>-96.236213270729223</c:v>
                </c:pt>
                <c:pt idx="53">
                  <c:v>-96.891509526116764</c:v>
                </c:pt>
                <c:pt idx="54">
                  <c:v>-97.599770424790648</c:v>
                </c:pt>
                <c:pt idx="55">
                  <c:v>-98.366694943966991</c:v>
                </c:pt>
                <c:pt idx="56">
                  <c:v>-99.195774935971642</c:v>
                </c:pt>
                <c:pt idx="57">
                  <c:v>-100.0920220610644</c:v>
                </c:pt>
                <c:pt idx="58">
                  <c:v>-101.05906690478032</c:v>
                </c:pt>
                <c:pt idx="59">
                  <c:v>-102.10160189768034</c:v>
                </c:pt>
                <c:pt idx="60">
                  <c:v>-103.22248052898649</c:v>
                </c:pt>
                <c:pt idx="61">
                  <c:v>-104.42449201637179</c:v>
                </c:pt>
                <c:pt idx="62">
                  <c:v>-105.70991576510644</c:v>
                </c:pt>
                <c:pt idx="63">
                  <c:v>-107.07769559888841</c:v>
                </c:pt>
                <c:pt idx="64">
                  <c:v>-108.5272871225299</c:v>
                </c:pt>
                <c:pt idx="65">
                  <c:v>-110.05434611055406</c:v>
                </c:pt>
                <c:pt idx="66">
                  <c:v>-111.65256622979764</c:v>
                </c:pt>
                <c:pt idx="67">
                  <c:v>-113.31231597996961</c:v>
                </c:pt>
                <c:pt idx="68">
                  <c:v>-115.02143550639892</c:v>
                </c:pt>
                <c:pt idx="69">
                  <c:v>-116.76343153130549</c:v>
                </c:pt>
                <c:pt idx="70">
                  <c:v>-118.51925781462418</c:v>
                </c:pt>
                <c:pt idx="71">
                  <c:v>-120.26608065107391</c:v>
                </c:pt>
                <c:pt idx="72">
                  <c:v>-121.97921751334491</c:v>
                </c:pt>
                <c:pt idx="73">
                  <c:v>-123.63135637104934</c:v>
                </c:pt>
                <c:pt idx="74">
                  <c:v>-125.19511012818356</c:v>
                </c:pt>
                <c:pt idx="75">
                  <c:v>-126.64253871310413</c:v>
                </c:pt>
                <c:pt idx="76">
                  <c:v>-127.94744338685136</c:v>
                </c:pt>
                <c:pt idx="77">
                  <c:v>-129.08508864013146</c:v>
                </c:pt>
                <c:pt idx="78">
                  <c:v>-130.03436197854742</c:v>
                </c:pt>
                <c:pt idx="79">
                  <c:v>-130.77752823599138</c:v>
                </c:pt>
                <c:pt idx="80">
                  <c:v>-131.30273108419391</c:v>
                </c:pt>
                <c:pt idx="81">
                  <c:v>-131.60076405298369</c:v>
                </c:pt>
                <c:pt idx="82">
                  <c:v>-131.66856317586456</c:v>
                </c:pt>
                <c:pt idx="83">
                  <c:v>-131.50790273740188</c:v>
                </c:pt>
                <c:pt idx="84">
                  <c:v>-131.12552640071888</c:v>
                </c:pt>
                <c:pt idx="85">
                  <c:v>-130.53338041763755</c:v>
                </c:pt>
                <c:pt idx="86">
                  <c:v>-129.74790711048752</c:v>
                </c:pt>
                <c:pt idx="87">
                  <c:v>-128.78928102878592</c:v>
                </c:pt>
                <c:pt idx="88">
                  <c:v>-127.68278888428279</c:v>
                </c:pt>
                <c:pt idx="89">
                  <c:v>-126.4548551265882</c:v>
                </c:pt>
                <c:pt idx="90">
                  <c:v>-125.13515695237183</c:v>
                </c:pt>
                <c:pt idx="91">
                  <c:v>-123.7538076007139</c:v>
                </c:pt>
                <c:pt idx="92">
                  <c:v>-122.3411322916091</c:v>
                </c:pt>
                <c:pt idx="93">
                  <c:v>-120.92577040978608</c:v>
                </c:pt>
                <c:pt idx="94">
                  <c:v>-120.57492176693357</c:v>
                </c:pt>
                <c:pt idx="95">
                  <c:v>-120.39912566156528</c:v>
                </c:pt>
                <c:pt idx="96">
                  <c:v>-120.22587732765193</c:v>
                </c:pt>
                <c:pt idx="97">
                  <c:v>-120.05123229447533</c:v>
                </c:pt>
                <c:pt idx="98">
                  <c:v>-119.87921717931707</c:v>
                </c:pt>
                <c:pt idx="99">
                  <c:v>-119.70587147940176</c:v>
                </c:pt>
                <c:pt idx="100">
                  <c:v>-119.53523417520029</c:v>
                </c:pt>
                <c:pt idx="101">
                  <c:v>-119.36346485358111</c:v>
                </c:pt>
                <c:pt idx="102">
                  <c:v>-119.19447453187345</c:v>
                </c:pt>
                <c:pt idx="103">
                  <c:v>-119.02429725274975</c:v>
                </c:pt>
                <c:pt idx="104">
                  <c:v>-118.85696991701464</c:v>
                </c:pt>
                <c:pt idx="105">
                  <c:v>-118.68865546642387</c:v>
                </c:pt>
                <c:pt idx="106">
                  <c:v>-118.52325387239114</c:v>
                </c:pt>
                <c:pt idx="107">
                  <c:v>-118.35705681076773</c:v>
                </c:pt>
                <c:pt idx="108">
                  <c:v>-118.19382749711228</c:v>
                </c:pt>
                <c:pt idx="109">
                  <c:v>-118.02987528586731</c:v>
                </c:pt>
                <c:pt idx="110">
                  <c:v>-117.86894184921427</c:v>
                </c:pt>
                <c:pt idx="111">
                  <c:v>-117.70725519944456</c:v>
                </c:pt>
                <c:pt idx="112">
                  <c:v>-117.54863850966434</c:v>
                </c:pt>
                <c:pt idx="113">
                  <c:v>-117.38945859880235</c:v>
                </c:pt>
                <c:pt idx="114">
                  <c:v>-117.23339176359673</c:v>
                </c:pt>
                <c:pt idx="115">
                  <c:v>-117.07684402326466</c:v>
                </c:pt>
                <c:pt idx="116">
                  <c:v>-116.92344852525669</c:v>
                </c:pt>
                <c:pt idx="117">
                  <c:v>-116.76965699026779</c:v>
                </c:pt>
                <c:pt idx="118">
                  <c:v>-116.61905289967916</c:v>
                </c:pt>
                <c:pt idx="119">
                  <c:v>-116.46823032595955</c:v>
                </c:pt>
                <c:pt idx="120">
                  <c:v>-116.32062256195231</c:v>
                </c:pt>
                <c:pt idx="121">
                  <c:v>-116.17287748870645</c:v>
                </c:pt>
                <c:pt idx="122">
                  <c:v>-116.02837081167711</c:v>
                </c:pt>
                <c:pt idx="123">
                  <c:v>-115.88372689181729</c:v>
                </c:pt>
                <c:pt idx="124">
                  <c:v>-115.74234494012423</c:v>
                </c:pt>
                <c:pt idx="125">
                  <c:v>-115.60099656334432</c:v>
                </c:pt>
                <c:pt idx="126">
                  <c:v>-115.4629261232662</c:v>
                </c:pt>
                <c:pt idx="127">
                  <c:v>-115.3249745480458</c:v>
                </c:pt>
                <c:pt idx="128">
                  <c:v>-115.19031319532884</c:v>
                </c:pt>
                <c:pt idx="129">
                  <c:v>-115.05585679731529</c:v>
                </c:pt>
                <c:pt idx="130">
                  <c:v>-114.92469927660314</c:v>
                </c:pt>
                <c:pt idx="131">
                  <c:v>-114.79383332782515</c:v>
                </c:pt>
                <c:pt idx="132">
                  <c:v>-114.72964396771076</c:v>
                </c:pt>
                <c:pt idx="133">
                  <c:v>-114.66627134113756</c:v>
                </c:pt>
                <c:pt idx="134">
                  <c:v>-114.60222878994024</c:v>
                </c:pt>
                <c:pt idx="135">
                  <c:v>-114.53902301304026</c:v>
                </c:pt>
                <c:pt idx="136">
                  <c:v>-114.47664443871081</c:v>
                </c:pt>
                <c:pt idx="137">
                  <c:v>-114.41508360700574</c:v>
                </c:pt>
                <c:pt idx="138">
                  <c:v>-114.35296116960951</c:v>
                </c:pt>
                <c:pt idx="139">
                  <c:v>-114.29167437044794</c:v>
                </c:pt>
                <c:pt idx="140">
                  <c:v>-114.23121344988239</c:v>
                </c:pt>
                <c:pt idx="141">
                  <c:v>-114.17156876806209</c:v>
                </c:pt>
                <c:pt idx="142">
                  <c:v>-114.11134526937506</c:v>
                </c:pt>
                <c:pt idx="143">
                  <c:v>-114.05195711678377</c:v>
                </c:pt>
                <c:pt idx="144">
                  <c:v>-113.9933943531031</c:v>
                </c:pt>
                <c:pt idx="145">
                  <c:v>-113.9356471489825</c:v>
                </c:pt>
                <c:pt idx="146">
                  <c:v>-113.87739627854437</c:v>
                </c:pt>
                <c:pt idx="147">
                  <c:v>-113.81997877555446</c:v>
                </c:pt>
                <c:pt idx="148">
                  <c:v>-113.76338452009799</c:v>
                </c:pt>
                <c:pt idx="149">
                  <c:v>-113.70760352744234</c:v>
                </c:pt>
                <c:pt idx="150">
                  <c:v>-113.65136421374781</c:v>
                </c:pt>
                <c:pt idx="151">
                  <c:v>-113.59595548744267</c:v>
                </c:pt>
                <c:pt idx="152">
                  <c:v>-113.54136708559044</c:v>
                </c:pt>
                <c:pt idx="153">
                  <c:v>-113.48758888731898</c:v>
                </c:pt>
                <c:pt idx="154">
                  <c:v>-113.43337334505449</c:v>
                </c:pt>
                <c:pt idx="155">
                  <c:v>-113.37998559396912</c:v>
                </c:pt>
                <c:pt idx="156">
                  <c:v>-113.32741523332818</c:v>
                </c:pt>
                <c:pt idx="157">
                  <c:v>-113.27565201114277</c:v>
                </c:pt>
                <c:pt idx="158">
                  <c:v>-113.2234996905671</c:v>
                </c:pt>
                <c:pt idx="159">
                  <c:v>-113.17217156211166</c:v>
                </c:pt>
                <c:pt idx="160">
                  <c:v>-113.12165710704045</c:v>
                </c:pt>
                <c:pt idx="161">
                  <c:v>-113.07194596157146</c:v>
                </c:pt>
                <c:pt idx="162">
                  <c:v>-113.02191586516531</c:v>
                </c:pt>
                <c:pt idx="163">
                  <c:v>-112.97270487642999</c:v>
                </c:pt>
                <c:pt idx="164">
                  <c:v>-112.92430239201414</c:v>
                </c:pt>
                <c:pt idx="165">
                  <c:v>-112.87669796896843</c:v>
                </c:pt>
                <c:pt idx="166">
                  <c:v>-112.82878004216467</c:v>
                </c:pt>
                <c:pt idx="167">
                  <c:v>-112.78167685191924</c:v>
                </c:pt>
                <c:pt idx="168">
                  <c:v>-112.73537770137429</c:v>
                </c:pt>
                <c:pt idx="169">
                  <c:v>-112.68987205960173</c:v>
                </c:pt>
                <c:pt idx="170">
                  <c:v>-112.64419835619668</c:v>
                </c:pt>
                <c:pt idx="171">
                  <c:v>-112.59933089029283</c:v>
                </c:pt>
                <c:pt idx="172">
                  <c:v>-112.55525895803113</c:v>
                </c:pt>
                <c:pt idx="173">
                  <c:v>-112.51197202510465</c:v>
                </c:pt>
                <c:pt idx="174">
                  <c:v>-112.4683979064063</c:v>
                </c:pt>
                <c:pt idx="175">
                  <c:v>-112.42562697717403</c:v>
                </c:pt>
                <c:pt idx="176">
                  <c:v>-112.38364842317041</c:v>
                </c:pt>
                <c:pt idx="177">
                  <c:v>-112.34245160541731</c:v>
                </c:pt>
                <c:pt idx="178">
                  <c:v>-112.30104161449232</c:v>
                </c:pt>
                <c:pt idx="179">
                  <c:v>-112.26043021795289</c:v>
                </c:pt>
                <c:pt idx="180">
                  <c:v>-112.22060652561518</c:v>
                </c:pt>
                <c:pt idx="181">
                  <c:v>-112.18155982747565</c:v>
                </c:pt>
                <c:pt idx="182">
                  <c:v>-112.1425217322699</c:v>
                </c:pt>
                <c:pt idx="183">
                  <c:v>-112.10427007255248</c:v>
                </c:pt>
                <c:pt idx="184">
                  <c:v>-112.06679404178549</c:v>
                </c:pt>
                <c:pt idx="185">
                  <c:v>-112.03008301490364</c:v>
                </c:pt>
                <c:pt idx="186">
                  <c:v>-111.99315004733653</c:v>
                </c:pt>
                <c:pt idx="187">
                  <c:v>-111.95700249412742</c:v>
                </c:pt>
                <c:pt idx="188">
                  <c:v>-111.92162940781807</c:v>
                </c:pt>
                <c:pt idx="189">
                  <c:v>-111.88702002865767</c:v>
                </c:pt>
                <c:pt idx="190">
                  <c:v>-111.85252492467636</c:v>
                </c:pt>
                <c:pt idx="191">
                  <c:v>-111.81880097301554</c:v>
                </c:pt>
                <c:pt idx="192">
                  <c:v>-111.78583736520858</c:v>
                </c:pt>
                <c:pt idx="193">
                  <c:v>-111.75362348027349</c:v>
                </c:pt>
                <c:pt idx="194">
                  <c:v>-111.72133355584434</c:v>
                </c:pt>
                <c:pt idx="195">
                  <c:v>-111.68981110789335</c:v>
                </c:pt>
                <c:pt idx="196">
                  <c:v>-111.65904525014753</c:v>
                </c:pt>
                <c:pt idx="197">
                  <c:v>-111.62902528849858</c:v>
                </c:pt>
                <c:pt idx="198">
                  <c:v>-111.59910759908236</c:v>
                </c:pt>
                <c:pt idx="199">
                  <c:v>-111.56994684824375</c:v>
                </c:pt>
                <c:pt idx="200">
                  <c:v>-111.54153222126156</c:v>
                </c:pt>
                <c:pt idx="201">
                  <c:v>-111.51385309669172</c:v>
                </c:pt>
                <c:pt idx="202">
                  <c:v>-111.48632931477229</c:v>
                </c:pt>
                <c:pt idx="203">
                  <c:v>-111.45955109388413</c:v>
                </c:pt>
                <c:pt idx="204">
                  <c:v>-111.43350771443224</c:v>
                </c:pt>
                <c:pt idx="205">
                  <c:v>-111.408188650532</c:v>
                </c:pt>
                <c:pt idx="206">
                  <c:v>-111.38299020877643</c:v>
                </c:pt>
                <c:pt idx="207">
                  <c:v>-111.35853021329613</c:v>
                </c:pt>
                <c:pt idx="208">
                  <c:v>-111.33479795279071</c:v>
                </c:pt>
                <c:pt idx="209">
                  <c:v>-111.31178291210226</c:v>
                </c:pt>
                <c:pt idx="210">
                  <c:v>-111.28887548948416</c:v>
                </c:pt>
                <c:pt idx="211">
                  <c:v>-111.2667031078133</c:v>
                </c:pt>
                <c:pt idx="212">
                  <c:v>-111.24525498644681</c:v>
                </c:pt>
                <c:pt idx="213">
                  <c:v>-111.22452054518568</c:v>
                </c:pt>
                <c:pt idx="214">
                  <c:v>-111.20409718727747</c:v>
                </c:pt>
                <c:pt idx="215">
                  <c:v>-111.1843946320313</c:v>
                </c:pt>
                <c:pt idx="216">
                  <c:v>-111.16540227071867</c:v>
                </c:pt>
                <c:pt idx="217">
                  <c:v>-111.14710969333181</c:v>
                </c:pt>
                <c:pt idx="218">
                  <c:v>-111.1291132743103</c:v>
                </c:pt>
                <c:pt idx="219">
                  <c:v>-111.11182750426727</c:v>
                </c:pt>
                <c:pt idx="220">
                  <c:v>-111.09524186198423</c:v>
                </c:pt>
                <c:pt idx="221">
                  <c:v>-111.07934602523295</c:v>
                </c:pt>
                <c:pt idx="222">
                  <c:v>-111.06379832088102</c:v>
                </c:pt>
                <c:pt idx="223">
                  <c:v>-111.04895032242455</c:v>
                </c:pt>
                <c:pt idx="224">
                  <c:v>-111.03479161839407</c:v>
                </c:pt>
                <c:pt idx="225">
                  <c:v>-111.02131199593465</c:v>
                </c:pt>
                <c:pt idx="226">
                  <c:v>-111.0081906299675</c:v>
                </c:pt>
                <c:pt idx="227">
                  <c:v>-110.99576151251352</c:v>
                </c:pt>
                <c:pt idx="228">
                  <c:v>-110.98401426856429</c:v>
                </c:pt>
                <c:pt idx="229">
                  <c:v>-110.9729387231426</c:v>
                </c:pt>
                <c:pt idx="230">
                  <c:v>-110.95230471373161</c:v>
                </c:pt>
                <c:pt idx="231">
                  <c:v>-110.94300305859777</c:v>
                </c:pt>
                <c:pt idx="232">
                  <c:v>-110.93436475445753</c:v>
                </c:pt>
                <c:pt idx="233">
                  <c:v>-110.9261981942294</c:v>
                </c:pt>
                <c:pt idx="234">
                  <c:v>-110.91870603210251</c:v>
                </c:pt>
                <c:pt idx="235">
                  <c:v>-110.91187804327488</c:v>
                </c:pt>
                <c:pt idx="236">
                  <c:v>-110.90570420367013</c:v>
                </c:pt>
                <c:pt idx="237">
                  <c:v>-110.90006909386051</c:v>
                </c:pt>
                <c:pt idx="238">
                  <c:v>-110.89509448448668</c:v>
                </c:pt>
                <c:pt idx="239">
                  <c:v>-110.89077034510778</c:v>
                </c:pt>
                <c:pt idx="240">
                  <c:v>-110.88708684313646</c:v>
                </c:pt>
                <c:pt idx="241">
                  <c:v>-110.88396448114611</c:v>
                </c:pt>
                <c:pt idx="242">
                  <c:v>-110.88149560574377</c:v>
                </c:pt>
                <c:pt idx="243">
                  <c:v>-110.87967022893508</c:v>
                </c:pt>
                <c:pt idx="244">
                  <c:v>-110.87847856162443</c:v>
                </c:pt>
                <c:pt idx="245">
                  <c:v>-110.87790542804073</c:v>
                </c:pt>
                <c:pt idx="246">
                  <c:v>-110.87797433546443</c:v>
                </c:pt>
                <c:pt idx="247">
                  <c:v>-110.87867544346058</c:v>
                </c:pt>
                <c:pt idx="248">
                  <c:v>-110.87999910870415</c:v>
                </c:pt>
                <c:pt idx="249">
                  <c:v>-110.88199069939296</c:v>
                </c:pt>
                <c:pt idx="250">
                  <c:v>-110.88461571436905</c:v>
                </c:pt>
                <c:pt idx="251">
                  <c:v>-110.88786440021225</c:v>
                </c:pt>
                <c:pt idx="252">
                  <c:v>-110.89172720037462</c:v>
                </c:pt>
                <c:pt idx="253">
                  <c:v>-110.89629576951353</c:v>
                </c:pt>
                <c:pt idx="254">
                  <c:v>-110.90148518801675</c:v>
                </c:pt>
                <c:pt idx="255">
                  <c:v>-110.90728588478414</c:v>
                </c:pt>
                <c:pt idx="256">
                  <c:v>-110.91368848273167</c:v>
                </c:pt>
                <c:pt idx="257">
                  <c:v>-110.92087281509936</c:v>
                </c:pt>
                <c:pt idx="258">
                  <c:v>-110.92867125148885</c:v>
                </c:pt>
                <c:pt idx="259">
                  <c:v>-110.93707427287653</c:v>
                </c:pt>
                <c:pt idx="260">
                  <c:v>-110.94607255485646</c:v>
                </c:pt>
                <c:pt idx="261">
                  <c:v>-110.95588153173449</c:v>
                </c:pt>
                <c:pt idx="262">
                  <c:v>-110.96629400887292</c:v>
                </c:pt>
                <c:pt idx="263">
                  <c:v>-110.97730061248025</c:v>
                </c:pt>
                <c:pt idx="264">
                  <c:v>-110.98889216141262</c:v>
                </c:pt>
                <c:pt idx="265">
                  <c:v>-111.00133652520812</c:v>
                </c:pt>
                <c:pt idx="266">
                  <c:v>-111.01437331570122</c:v>
                </c:pt>
                <c:pt idx="267">
                  <c:v>-111.02799331959275</c:v>
                </c:pt>
                <c:pt idx="268">
                  <c:v>-111.04218751378328</c:v>
                </c:pt>
                <c:pt idx="269">
                  <c:v>-111.0573104916816</c:v>
                </c:pt>
                <c:pt idx="270">
                  <c:v>-111.07301716754296</c:v>
                </c:pt>
                <c:pt idx="271">
                  <c:v>-111.08929843827759</c:v>
                </c:pt>
                <c:pt idx="272">
                  <c:v>-111.10614538987512</c:v>
                </c:pt>
                <c:pt idx="273">
                  <c:v>-111.12396641482773</c:v>
                </c:pt>
                <c:pt idx="274">
                  <c:v>-111.14236180576276</c:v>
                </c:pt>
                <c:pt idx="275">
                  <c:v>-111.16132258792214</c:v>
                </c:pt>
                <c:pt idx="276">
                  <c:v>-111.18083997396313</c:v>
                </c:pt>
                <c:pt idx="277">
                  <c:v>-111.20132720116106</c:v>
                </c:pt>
                <c:pt idx="278">
                  <c:v>-111.22237643215036</c:v>
                </c:pt>
                <c:pt idx="279">
                  <c:v>-111.24397889551321</c:v>
                </c:pt>
                <c:pt idx="280">
                  <c:v>-111.26612600344693</c:v>
                </c:pt>
                <c:pt idx="281">
                  <c:v>-111.28943117607855</c:v>
                </c:pt>
                <c:pt idx="282">
                  <c:v>-111.31329311057239</c:v>
                </c:pt>
                <c:pt idx="283">
                  <c:v>-111.33770307673956</c:v>
                </c:pt>
                <c:pt idx="284">
                  <c:v>-111.36265252868186</c:v>
                </c:pt>
                <c:pt idx="285">
                  <c:v>-111.38864241221108</c:v>
                </c:pt>
                <c:pt idx="286">
                  <c:v>-111.41517594966712</c:v>
                </c:pt>
                <c:pt idx="287">
                  <c:v>-111.44224464018312</c:v>
                </c:pt>
                <c:pt idx="288">
                  <c:v>-111.46984016255017</c:v>
                </c:pt>
                <c:pt idx="289">
                  <c:v>-111.49868827100082</c:v>
                </c:pt>
                <c:pt idx="290">
                  <c:v>-111.5280736332727</c:v>
                </c:pt>
                <c:pt idx="291">
                  <c:v>-111.55798782524225</c:v>
                </c:pt>
                <c:pt idx="292">
                  <c:v>-111.58842260205637</c:v>
                </c:pt>
                <c:pt idx="293">
                  <c:v>-111.62009105746922</c:v>
                </c:pt>
                <c:pt idx="294">
                  <c:v>-111.6522875311416</c:v>
                </c:pt>
                <c:pt idx="295">
                  <c:v>-111.68500374622681</c:v>
                </c:pt>
                <c:pt idx="296">
                  <c:v>-111.71823160273838</c:v>
                </c:pt>
                <c:pt idx="297">
                  <c:v>-111.75273083354058</c:v>
                </c:pt>
                <c:pt idx="298">
                  <c:v>-111.78774849507637</c:v>
                </c:pt>
                <c:pt idx="299">
                  <c:v>-111.82327647038402</c:v>
                </c:pt>
                <c:pt idx="300">
                  <c:v>-111.85930681655255</c:v>
                </c:pt>
                <c:pt idx="301">
                  <c:v>-111.89664406095055</c:v>
                </c:pt>
                <c:pt idx="302">
                  <c:v>-111.93448987274634</c:v>
                </c:pt>
                <c:pt idx="303">
                  <c:v>-111.97283630570304</c:v>
                </c:pt>
                <c:pt idx="304">
                  <c:v>-112.01167558447355</c:v>
                </c:pt>
                <c:pt idx="305">
                  <c:v>-112.05201074770582</c:v>
                </c:pt>
                <c:pt idx="306">
                  <c:v>-112.0928482213718</c:v>
                </c:pt>
                <c:pt idx="307">
                  <c:v>-112.13418015015685</c:v>
                </c:pt>
                <c:pt idx="308">
                  <c:v>-112.17599884872664</c:v>
                </c:pt>
                <c:pt idx="309">
                  <c:v>-112.21919323571187</c:v>
                </c:pt>
                <c:pt idx="310">
                  <c:v>-112.26287945243938</c:v>
                </c:pt>
                <c:pt idx="311">
                  <c:v>-112.30704983757053</c:v>
                </c:pt>
                <c:pt idx="312">
                  <c:v>-112.35169689584593</c:v>
                </c:pt>
                <c:pt idx="313">
                  <c:v>-112.39791949611357</c:v>
                </c:pt>
                <c:pt idx="314">
                  <c:v>-112.44462689844832</c:v>
                </c:pt>
                <c:pt idx="315">
                  <c:v>-112.4918115596242</c:v>
                </c:pt>
                <c:pt idx="316">
                  <c:v>-112.53946610074505</c:v>
                </c:pt>
                <c:pt idx="317">
                  <c:v>-112.5887345312055</c:v>
                </c:pt>
                <c:pt idx="318">
                  <c:v>-112.63848033933112</c:v>
                </c:pt>
                <c:pt idx="319">
                  <c:v>-112.68869611392103</c:v>
                </c:pt>
                <c:pt idx="320">
                  <c:v>-112.73937460592835</c:v>
                </c:pt>
                <c:pt idx="321">
                  <c:v>-112.79170325492721</c:v>
                </c:pt>
                <c:pt idx="322">
                  <c:v>-112.84450153813775</c:v>
                </c:pt>
                <c:pt idx="323">
                  <c:v>-112.89776218855522</c:v>
                </c:pt>
                <c:pt idx="324">
                  <c:v>-112.95147809877352</c:v>
                </c:pt>
                <c:pt idx="325">
                  <c:v>-113.00687847830942</c:v>
                </c:pt>
                <c:pt idx="326">
                  <c:v>-113.06274050206973</c:v>
                </c:pt>
                <c:pt idx="327">
                  <c:v>-113.11905705775325</c:v>
                </c:pt>
                <c:pt idx="328">
                  <c:v>-113.1758211897677</c:v>
                </c:pt>
                <c:pt idx="329">
                  <c:v>-113.23440044646372</c:v>
                </c:pt>
                <c:pt idx="330">
                  <c:v>-113.29343468433547</c:v>
                </c:pt>
                <c:pt idx="331">
                  <c:v>-113.35291692019031</c:v>
                </c:pt>
                <c:pt idx="332">
                  <c:v>-113.41284032537961</c:v>
                </c:pt>
                <c:pt idx="333">
                  <c:v>-113.47451292741847</c:v>
                </c:pt>
                <c:pt idx="334">
                  <c:v>-113.53663212038602</c:v>
                </c:pt>
                <c:pt idx="335">
                  <c:v>-113.59919109474745</c:v>
                </c:pt>
                <c:pt idx="336">
                  <c:v>-113.66218319201195</c:v>
                </c:pt>
                <c:pt idx="337">
                  <c:v>-113.72716158277319</c:v>
                </c:pt>
                <c:pt idx="338">
                  <c:v>-113.79258090775517</c:v>
                </c:pt>
                <c:pt idx="339">
                  <c:v>-113.85843447389642</c:v>
                </c:pt>
                <c:pt idx="340">
                  <c:v>-113.92471573734302</c:v>
                </c:pt>
                <c:pt idx="341">
                  <c:v>-113.99301916254453</c:v>
                </c:pt>
                <c:pt idx="342">
                  <c:v>-114.06175757043768</c:v>
                </c:pt>
                <c:pt idx="343">
                  <c:v>-114.13092439661094</c:v>
                </c:pt>
                <c:pt idx="344">
                  <c:v>-114.20051322364894</c:v>
                </c:pt>
                <c:pt idx="345">
                  <c:v>-114.27204894158818</c:v>
                </c:pt>
                <c:pt idx="346">
                  <c:v>-114.34401217180361</c:v>
                </c:pt>
                <c:pt idx="347">
                  <c:v>-114.41639651808556</c:v>
                </c:pt>
                <c:pt idx="348">
                  <c:v>-114.48919572781161</c:v>
                </c:pt>
                <c:pt idx="349">
                  <c:v>-114.56419430375554</c:v>
                </c:pt>
                <c:pt idx="350">
                  <c:v>-114.6396153897057</c:v>
                </c:pt>
                <c:pt idx="351">
                  <c:v>-114.71545270795201</c:v>
                </c:pt>
                <c:pt idx="352">
                  <c:v>-114.79170012242648</c:v>
                </c:pt>
                <c:pt idx="353">
                  <c:v>-114.8701815476216</c:v>
                </c:pt>
                <c:pt idx="354">
                  <c:v>-114.94908025174274</c:v>
                </c:pt>
                <c:pt idx="355">
                  <c:v>-115.02839008661985</c:v>
                </c:pt>
                <c:pt idx="356">
                  <c:v>-115.10810504343645</c:v>
                </c:pt>
                <c:pt idx="357">
                  <c:v>-115.18997032875805</c:v>
                </c:pt>
                <c:pt idx="358">
                  <c:v>-115.27224633851138</c:v>
                </c:pt>
                <c:pt idx="359">
                  <c:v>-115.35492708888177</c:v>
                </c:pt>
                <c:pt idx="360">
                  <c:v>-115.43800673205216</c:v>
                </c:pt>
                <c:pt idx="361">
                  <c:v>-115.52350292059866</c:v>
                </c:pt>
                <c:pt idx="362">
                  <c:v>-115.60940553220949</c:v>
                </c:pt>
                <c:pt idx="363">
                  <c:v>-115.69570870422595</c:v>
                </c:pt>
                <c:pt idx="364">
                  <c:v>-115.78240670791781</c:v>
                </c:pt>
                <c:pt idx="365">
                  <c:v>-115.87143359554986</c:v>
                </c:pt>
                <c:pt idx="366">
                  <c:v>-115.96086136513955</c:v>
                </c:pt>
                <c:pt idx="367">
                  <c:v>-116.05068430801468</c:v>
                </c:pt>
                <c:pt idx="368">
                  <c:v>-116.14089684634995</c:v>
                </c:pt>
                <c:pt idx="369">
                  <c:v>-116.2337139763639</c:v>
                </c:pt>
                <c:pt idx="370">
                  <c:v>-116.32692854564067</c:v>
                </c:pt>
                <c:pt idx="371">
                  <c:v>-116.42053496112371</c:v>
                </c:pt>
                <c:pt idx="372">
                  <c:v>-116.51452775867439</c:v>
                </c:pt>
                <c:pt idx="373">
                  <c:v>-116.61103374335798</c:v>
                </c:pt>
                <c:pt idx="374">
                  <c:v>-116.70793257159197</c:v>
                </c:pt>
                <c:pt idx="375">
                  <c:v>-116.80521879673039</c:v>
                </c:pt>
                <c:pt idx="376">
                  <c:v>-116.90288709815762</c:v>
                </c:pt>
                <c:pt idx="377">
                  <c:v>-117.00335315127592</c:v>
                </c:pt>
                <c:pt idx="378">
                  <c:v>-117.1042094249604</c:v>
                </c:pt>
                <c:pt idx="379">
                  <c:v>-117.20545058481153</c:v>
                </c:pt>
                <c:pt idx="380">
                  <c:v>-117.30707142060636</c:v>
                </c:pt>
                <c:pt idx="381">
                  <c:v>-117.41126576112178</c:v>
                </c:pt>
                <c:pt idx="382">
                  <c:v>-117.51584568475781</c:v>
                </c:pt>
                <c:pt idx="383">
                  <c:v>-117.62080601711013</c:v>
                </c:pt>
                <c:pt idx="384">
                  <c:v>-117.72614170460005</c:v>
                </c:pt>
                <c:pt idx="385">
                  <c:v>-117.83447220342441</c:v>
                </c:pt>
                <c:pt idx="386">
                  <c:v>-117.94318652176557</c:v>
                </c:pt>
                <c:pt idx="387">
                  <c:v>-118.05227959424396</c:v>
                </c:pt>
                <c:pt idx="388">
                  <c:v>-118.16174647451273</c:v>
                </c:pt>
                <c:pt idx="389">
                  <c:v>-118.2741100659366</c:v>
                </c:pt>
                <c:pt idx="390">
                  <c:v>-118.38685473446498</c:v>
                </c:pt>
                <c:pt idx="391">
                  <c:v>-118.49997555035907</c:v>
                </c:pt>
                <c:pt idx="392">
                  <c:v>-118.61346770026627</c:v>
                </c:pt>
                <c:pt idx="393">
                  <c:v>-118.7298877699096</c:v>
                </c:pt>
                <c:pt idx="394">
                  <c:v>-118.84668622168851</c:v>
                </c:pt>
                <c:pt idx="395">
                  <c:v>-118.96385826720862</c:v>
                </c:pt>
                <c:pt idx="396">
                  <c:v>-119.08139923160186</c:v>
                </c:pt>
                <c:pt idx="397">
                  <c:v>-119.20217148417312</c:v>
                </c:pt>
                <c:pt idx="398">
                  <c:v>-119.32332120902868</c:v>
                </c:pt>
                <c:pt idx="399">
                  <c:v>-119.44484373241482</c:v>
                </c:pt>
                <c:pt idx="400">
                  <c:v>-119.56673449204841</c:v>
                </c:pt>
                <c:pt idx="401">
                  <c:v>-119.69175289472797</c:v>
                </c:pt>
                <c:pt idx="402">
                  <c:v>-119.81714704045568</c:v>
                </c:pt>
                <c:pt idx="403">
                  <c:v>-119.94291239245989</c:v>
                </c:pt>
                <c:pt idx="404">
                  <c:v>-120.06904452263295</c:v>
                </c:pt>
                <c:pt idx="405">
                  <c:v>-120.19847536623537</c:v>
                </c:pt>
                <c:pt idx="406">
                  <c:v>-120.32828114426336</c:v>
                </c:pt>
                <c:pt idx="407">
                  <c:v>-120.45845744699876</c:v>
                </c:pt>
                <c:pt idx="408">
                  <c:v>-120.58899997084058</c:v>
                </c:pt>
                <c:pt idx="409">
                  <c:v>-120.72301556747747</c:v>
                </c:pt>
                <c:pt idx="410">
                  <c:v>-120.85740617432032</c:v>
                </c:pt>
                <c:pt idx="411">
                  <c:v>-120.99216750021654</c:v>
                </c:pt>
                <c:pt idx="412">
                  <c:v>-121.12729535779138</c:v>
                </c:pt>
                <c:pt idx="413">
                  <c:v>-121.2659309033897</c:v>
                </c:pt>
                <c:pt idx="414">
                  <c:v>-121.40494162255864</c:v>
                </c:pt>
                <c:pt idx="415">
                  <c:v>-121.54432334816168</c:v>
                </c:pt>
                <c:pt idx="416">
                  <c:v>-121.68407201424793</c:v>
                </c:pt>
                <c:pt idx="417">
                  <c:v>-121.82750683523456</c:v>
                </c:pt>
                <c:pt idx="418">
                  <c:v>-121.97131787567888</c:v>
                </c:pt>
                <c:pt idx="419">
                  <c:v>-122.11550108450473</c:v>
                </c:pt>
                <c:pt idx="420">
                  <c:v>-122.26005250939244</c:v>
                </c:pt>
                <c:pt idx="421">
                  <c:v>-122.40817977803717</c:v>
                </c:pt>
                <c:pt idx="422">
                  <c:v>-122.55668369601256</c:v>
                </c:pt>
                <c:pt idx="423">
                  <c:v>-122.70556034419191</c:v>
                </c:pt>
                <c:pt idx="424">
                  <c:v>-122.85480589914572</c:v>
                </c:pt>
                <c:pt idx="425">
                  <c:v>-123.00810256895929</c:v>
                </c:pt>
                <c:pt idx="426">
                  <c:v>-123.16177869313914</c:v>
                </c:pt>
                <c:pt idx="427">
                  <c:v>-123.31583045344571</c:v>
                </c:pt>
                <c:pt idx="428">
                  <c:v>-123.47025412514738</c:v>
                </c:pt>
                <c:pt idx="429">
                  <c:v>-123.62861907947992</c:v>
                </c:pt>
                <c:pt idx="430">
                  <c:v>-123.78736569250384</c:v>
                </c:pt>
                <c:pt idx="431">
                  <c:v>-123.94649026183095</c:v>
                </c:pt>
                <c:pt idx="432">
                  <c:v>-124.10598917574121</c:v>
                </c:pt>
                <c:pt idx="433">
                  <c:v>-124.26946585424172</c:v>
                </c:pt>
                <c:pt idx="434">
                  <c:v>-124.43332657997466</c:v>
                </c:pt>
                <c:pt idx="435">
                  <c:v>-124.59756776803255</c:v>
                </c:pt>
                <c:pt idx="436">
                  <c:v>-124.76218592108532</c:v>
                </c:pt>
                <c:pt idx="437">
                  <c:v>-124.93112136075008</c:v>
                </c:pt>
                <c:pt idx="438">
                  <c:v>-125.10044483006722</c:v>
                </c:pt>
                <c:pt idx="439">
                  <c:v>-125.27015284322832</c:v>
                </c:pt>
                <c:pt idx="440">
                  <c:v>-125.44024199927179</c:v>
                </c:pt>
                <c:pt idx="441">
                  <c:v>-125.61468847583474</c:v>
                </c:pt>
                <c:pt idx="442">
                  <c:v>-125.78952713265535</c:v>
                </c:pt>
                <c:pt idx="443">
                  <c:v>-125.96475458412424</c:v>
                </c:pt>
                <c:pt idx="444">
                  <c:v>-126.14036752643121</c:v>
                </c:pt>
                <c:pt idx="445">
                  <c:v>-126.32037757257191</c:v>
                </c:pt>
                <c:pt idx="446">
                  <c:v>-126.50078413790433</c:v>
                </c:pt>
                <c:pt idx="447">
                  <c:v>-126.68158393630559</c:v>
                </c:pt>
                <c:pt idx="448">
                  <c:v>-126.8627737600975</c:v>
                </c:pt>
                <c:pt idx="449">
                  <c:v>-127.04871180120392</c:v>
                </c:pt>
                <c:pt idx="450">
                  <c:v>-127.23505224149251</c:v>
                </c:pt>
                <c:pt idx="451">
                  <c:v>-127.42179187587767</c:v>
                </c:pt>
                <c:pt idx="452">
                  <c:v>-127.60892757455817</c:v>
                </c:pt>
                <c:pt idx="453">
                  <c:v>-127.80069784746499</c:v>
                </c:pt>
                <c:pt idx="454">
                  <c:v>-127.99287589473542</c:v>
                </c:pt>
                <c:pt idx="455">
                  <c:v>-128.18545859740323</c:v>
                </c:pt>
                <c:pt idx="456">
                  <c:v>-128.37844290801274</c:v>
                </c:pt>
                <c:pt idx="457">
                  <c:v>-128.57641995058287</c:v>
                </c:pt>
                <c:pt idx="458">
                  <c:v>-128.77481164423213</c:v>
                </c:pt>
                <c:pt idx="459">
                  <c:v>-128.973614935977</c:v>
                </c:pt>
                <c:pt idx="460">
                  <c:v>-129.17282684065688</c:v>
                </c:pt>
                <c:pt idx="461">
                  <c:v>-129.3770766530663</c:v>
                </c:pt>
                <c:pt idx="462">
                  <c:v>-129.58174812640343</c:v>
                </c:pt>
                <c:pt idx="463">
                  <c:v>-129.78683826739996</c:v>
                </c:pt>
                <c:pt idx="464">
                  <c:v>-129.99234414649541</c:v>
                </c:pt>
                <c:pt idx="465">
                  <c:v>-130.20309404490081</c:v>
                </c:pt>
                <c:pt idx="466">
                  <c:v>-130.41427338233771</c:v>
                </c:pt>
                <c:pt idx="467">
                  <c:v>-130.62587920965757</c:v>
                </c:pt>
                <c:pt idx="468">
                  <c:v>-130.83790863705022</c:v>
                </c:pt>
                <c:pt idx="469">
                  <c:v>-131.05522900943208</c:v>
                </c:pt>
                <c:pt idx="470">
                  <c:v>-131.27298666846872</c:v>
                </c:pt>
                <c:pt idx="471">
                  <c:v>-131.49117869803925</c:v>
                </c:pt>
                <c:pt idx="472">
                  <c:v>-131.70980223650758</c:v>
                </c:pt>
                <c:pt idx="473">
                  <c:v>-131.93409079065742</c:v>
                </c:pt>
                <c:pt idx="474">
                  <c:v>-132.15882580212477</c:v>
                </c:pt>
                <c:pt idx="475">
                  <c:v>-132.3840043610079</c:v>
                </c:pt>
                <c:pt idx="476">
                  <c:v>-132.60962360682308</c:v>
                </c:pt>
                <c:pt idx="477">
                  <c:v>-132.84095839842485</c:v>
                </c:pt>
                <c:pt idx="478">
                  <c:v>-133.0727487606805</c:v>
                </c:pt>
                <c:pt idx="479">
                  <c:v>-133.30499177315056</c:v>
                </c:pt>
                <c:pt idx="480">
                  <c:v>-133.53768455914988</c:v>
                </c:pt>
                <c:pt idx="481">
                  <c:v>-133.77614319655052</c:v>
                </c:pt>
                <c:pt idx="482">
                  <c:v>-134.0150663860519</c:v>
                </c:pt>
                <c:pt idx="483">
                  <c:v>-134.25445117602752</c:v>
                </c:pt>
                <c:pt idx="484">
                  <c:v>-134.49429465232933</c:v>
                </c:pt>
                <c:pt idx="485">
                  <c:v>-134.74012146893412</c:v>
                </c:pt>
                <c:pt idx="486">
                  <c:v>-134.98642223607789</c:v>
                </c:pt>
                <c:pt idx="487">
                  <c:v>-135.23319394005907</c:v>
                </c:pt>
                <c:pt idx="488">
                  <c:v>-135.48043359783227</c:v>
                </c:pt>
                <c:pt idx="489">
                  <c:v>-135.73404564658077</c:v>
                </c:pt>
                <c:pt idx="490">
                  <c:v>-135.98814197315531</c:v>
                </c:pt>
                <c:pt idx="491">
                  <c:v>-136.24271946025772</c:v>
                </c:pt>
                <c:pt idx="492">
                  <c:v>-136.49777501385068</c:v>
                </c:pt>
                <c:pt idx="493">
                  <c:v>-136.75925771364027</c:v>
                </c:pt>
                <c:pt idx="494">
                  <c:v>-137.02123449851518</c:v>
                </c:pt>
                <c:pt idx="495">
                  <c:v>-137.28370211318509</c:v>
                </c:pt>
                <c:pt idx="496">
                  <c:v>-137.54665731742233</c:v>
                </c:pt>
                <c:pt idx="497">
                  <c:v>-137.81626498421295</c:v>
                </c:pt>
                <c:pt idx="498">
                  <c:v>-138.08637648981164</c:v>
                </c:pt>
                <c:pt idx="499">
                  <c:v>-138.35698839439863</c:v>
                </c:pt>
                <c:pt idx="500">
                  <c:v>-138.62809726421821</c:v>
                </c:pt>
                <c:pt idx="501">
                  <c:v>-138.90608607551803</c:v>
                </c:pt>
                <c:pt idx="502">
                  <c:v>-139.18458820625222</c:v>
                </c:pt>
                <c:pt idx="503">
                  <c:v>-139.46359997880535</c:v>
                </c:pt>
                <c:pt idx="504">
                  <c:v>-139.74311771174928</c:v>
                </c:pt>
                <c:pt idx="505">
                  <c:v>-140.02957084293735</c:v>
                </c:pt>
                <c:pt idx="506">
                  <c:v>-140.31654561166607</c:v>
                </c:pt>
                <c:pt idx="507">
                  <c:v>-140.60403804894344</c:v>
                </c:pt>
                <c:pt idx="508">
                  <c:v>-140.89204417117713</c:v>
                </c:pt>
                <c:pt idx="509">
                  <c:v>-141.1872145897286</c:v>
                </c:pt>
                <c:pt idx="510">
                  <c:v>-141.4829141490988</c:v>
                </c:pt>
                <c:pt idx="511">
                  <c:v>-141.77913852075864</c:v>
                </c:pt>
                <c:pt idx="512">
                  <c:v>-142.07588334984575</c:v>
                </c:pt>
                <c:pt idx="513">
                  <c:v>-142.38019875272582</c:v>
                </c:pt>
                <c:pt idx="514">
                  <c:v>-142.68505025575058</c:v>
                </c:pt>
                <c:pt idx="515">
                  <c:v>-142.99043308558831</c:v>
                </c:pt>
                <c:pt idx="516">
                  <c:v>-143.29634242977002</c:v>
                </c:pt>
                <c:pt idx="517">
                  <c:v>-143.60987699401616</c:v>
                </c:pt>
                <c:pt idx="518">
                  <c:v>-143.92395241661035</c:v>
                </c:pt>
                <c:pt idx="519">
                  <c:v>-144.23856340046123</c:v>
                </c:pt>
                <c:pt idx="520">
                  <c:v>-144.55370459561505</c:v>
                </c:pt>
                <c:pt idx="521">
                  <c:v>-144.87670123484514</c:v>
                </c:pt>
                <c:pt idx="522">
                  <c:v>-145.20024146456359</c:v>
                </c:pt>
                <c:pt idx="523">
                  <c:v>-145.52431936716667</c:v>
                </c:pt>
                <c:pt idx="524">
                  <c:v>-145.84892895751807</c:v>
                </c:pt>
                <c:pt idx="525">
                  <c:v>-146.1816232988887</c:v>
                </c:pt>
                <c:pt idx="526">
                  <c:v>-146.51486141298417</c:v>
                </c:pt>
                <c:pt idx="527">
                  <c:v>-146.84863665434187</c:v>
                </c:pt>
                <c:pt idx="528">
                  <c:v>-147.18294229444359</c:v>
                </c:pt>
                <c:pt idx="529">
                  <c:v>-147.52556020799898</c:v>
                </c:pt>
                <c:pt idx="530">
                  <c:v>-147.8687189347315</c:v>
                </c:pt>
                <c:pt idx="531">
                  <c:v>-148.21241098314644</c:v>
                </c:pt>
                <c:pt idx="532">
                  <c:v>-148.556628762473</c:v>
                </c:pt>
                <c:pt idx="533">
                  <c:v>-148.90956580859367</c:v>
                </c:pt>
                <c:pt idx="534">
                  <c:v>-149.2630374504628</c:v>
                </c:pt>
                <c:pt idx="535">
                  <c:v>-149.61703520841675</c:v>
                </c:pt>
                <c:pt idx="536">
                  <c:v>-149.97155048660017</c:v>
                </c:pt>
                <c:pt idx="537">
                  <c:v>-150.3346408119869</c:v>
                </c:pt>
                <c:pt idx="538">
                  <c:v>-150.69825386024226</c:v>
                </c:pt>
                <c:pt idx="539">
                  <c:v>-151.06238005048451</c:v>
                </c:pt>
                <c:pt idx="540">
                  <c:v>-151.42700966909405</c:v>
                </c:pt>
                <c:pt idx="541">
                  <c:v>-151.80079709829297</c:v>
                </c:pt>
                <c:pt idx="542">
                  <c:v>-152.17509108349569</c:v>
                </c:pt>
                <c:pt idx="543">
                  <c:v>-152.54988076499427</c:v>
                </c:pt>
                <c:pt idx="544">
                  <c:v>-152.92515513362315</c:v>
                </c:pt>
                <c:pt idx="545">
                  <c:v>-153.30961242109328</c:v>
                </c:pt>
                <c:pt idx="546">
                  <c:v>-153.69455331216335</c:v>
                </c:pt>
                <c:pt idx="547">
                  <c:v>-154.07996552632073</c:v>
                </c:pt>
                <c:pt idx="548">
                  <c:v>-154.4658366181157</c:v>
                </c:pt>
                <c:pt idx="549">
                  <c:v>-154.86109134748943</c:v>
                </c:pt>
                <c:pt idx="550">
                  <c:v>-155.25679953547072</c:v>
                </c:pt>
                <c:pt idx="551">
                  <c:v>-155.65294731918488</c:v>
                </c:pt>
                <c:pt idx="552">
                  <c:v>-156.0495206570875</c:v>
                </c:pt>
                <c:pt idx="553">
                  <c:v>-156.45585538244455</c:v>
                </c:pt>
                <c:pt idx="554">
                  <c:v>-156.8626055975821</c:v>
                </c:pt>
                <c:pt idx="555">
                  <c:v>-157.26975567206495</c:v>
                </c:pt>
                <c:pt idx="556">
                  <c:v>-157.67728978540316</c:v>
                </c:pt>
                <c:pt idx="557">
                  <c:v>-158.51260878716016</c:v>
                </c:pt>
                <c:pt idx="558">
                  <c:v>-159.3493298823864</c:v>
                </c:pt>
                <c:pt idx="559">
                  <c:v>-160.20653146418005</c:v>
                </c:pt>
                <c:pt idx="560">
                  <c:v>-161.06489444604898</c:v>
                </c:pt>
                <c:pt idx="561">
                  <c:v>-161.94465942240728</c:v>
                </c:pt>
                <c:pt idx="562">
                  <c:v>-162.82530018930575</c:v>
                </c:pt>
                <c:pt idx="563">
                  <c:v>-163.72555849505883</c:v>
                </c:pt>
                <c:pt idx="564">
                  <c:v>-164.62635320080068</c:v>
                </c:pt>
                <c:pt idx="565">
                  <c:v>-165.55020956455917</c:v>
                </c:pt>
                <c:pt idx="566">
                  <c:v>-166.47421145244951</c:v>
                </c:pt>
                <c:pt idx="567">
                  <c:v>-167.42086005517419</c:v>
                </c:pt>
                <c:pt idx="568">
                  <c:v>-168.36720054819145</c:v>
                </c:pt>
                <c:pt idx="569">
                  <c:v>-169.3319052188719</c:v>
                </c:pt>
                <c:pt idx="570">
                  <c:v>-170.29579071267236</c:v>
                </c:pt>
                <c:pt idx="571">
                  <c:v>-171.28501577037139</c:v>
                </c:pt>
                <c:pt idx="572">
                  <c:v>-172.27283195504154</c:v>
                </c:pt>
                <c:pt idx="573">
                  <c:v>-173.27776401570466</c:v>
                </c:pt>
                <c:pt idx="574">
                  <c:v>-174.28065384400571</c:v>
                </c:pt>
                <c:pt idx="575">
                  <c:v>-175.3074082148747</c:v>
                </c:pt>
                <c:pt idx="576">
                  <c:v>-176.33139274718442</c:v>
                </c:pt>
                <c:pt idx="577">
                  <c:v>-180.62875646460819</c:v>
                </c:pt>
                <c:pt idx="578">
                  <c:v>-184.8483686295917</c:v>
                </c:pt>
                <c:pt idx="579">
                  <c:v>-193.72622580570308</c:v>
                </c:pt>
                <c:pt idx="580">
                  <c:v>-202.73332187513191</c:v>
                </c:pt>
                <c:pt idx="581">
                  <c:v>-211.59008288747415</c:v>
                </c:pt>
                <c:pt idx="582">
                  <c:v>-220.06412317510487</c:v>
                </c:pt>
                <c:pt idx="583">
                  <c:v>-227.97611924450297</c:v>
                </c:pt>
                <c:pt idx="584">
                  <c:v>-235.23460232397551</c:v>
                </c:pt>
                <c:pt idx="585">
                  <c:v>-241.80274900709759</c:v>
                </c:pt>
                <c:pt idx="586">
                  <c:v>-247.69362162931438</c:v>
                </c:pt>
                <c:pt idx="587">
                  <c:v>-252.94596258424042</c:v>
                </c:pt>
                <c:pt idx="588">
                  <c:v>-257.60009058134369</c:v>
                </c:pt>
                <c:pt idx="589">
                  <c:v>-261.70572674679954</c:v>
                </c:pt>
                <c:pt idx="590">
                  <c:v>-265.30332290038808</c:v>
                </c:pt>
                <c:pt idx="591">
                  <c:v>-268.43082111849071</c:v>
                </c:pt>
                <c:pt idx="592">
                  <c:v>-271.12154232032361</c:v>
                </c:pt>
                <c:pt idx="593">
                  <c:v>-273.40747116040643</c:v>
                </c:pt>
                <c:pt idx="594">
                  <c:v>-275.31827468980583</c:v>
                </c:pt>
                <c:pt idx="595">
                  <c:v>-276.88504026329167</c:v>
                </c:pt>
                <c:pt idx="596">
                  <c:v>-278.13935151062276</c:v>
                </c:pt>
                <c:pt idx="597">
                  <c:v>-279.11487449702059</c:v>
                </c:pt>
                <c:pt idx="598">
                  <c:v>-279.84607910165101</c:v>
                </c:pt>
                <c:pt idx="599">
                  <c:v>-280.36860006577763</c:v>
                </c:pt>
                <c:pt idx="600">
                  <c:v>-280.71770432544059</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103.36614497917245</c:v>
                </c:pt>
                <c:pt idx="1">
                  <c:v>102.83899623476475</c:v>
                </c:pt>
                <c:pt idx="2">
                  <c:v>102.27982024388469</c:v>
                </c:pt>
                <c:pt idx="3">
                  <c:v>101.6908621347159</c:v>
                </c:pt>
                <c:pt idx="4">
                  <c:v>101.07499507942306</c:v>
                </c:pt>
                <c:pt idx="5">
                  <c:v>100.43374920529814</c:v>
                </c:pt>
                <c:pt idx="6">
                  <c:v>99.770592174585389</c:v>
                </c:pt>
                <c:pt idx="7">
                  <c:v>99.087603427967949</c:v>
                </c:pt>
                <c:pt idx="8">
                  <c:v>98.387667614621847</c:v>
                </c:pt>
                <c:pt idx="9">
                  <c:v>97.672470485144473</c:v>
                </c:pt>
                <c:pt idx="10">
                  <c:v>96.9444391562362</c:v>
                </c:pt>
                <c:pt idx="11">
                  <c:v>96.205289248308304</c:v>
                </c:pt>
                <c:pt idx="12">
                  <c:v>95.456233561051306</c:v>
                </c:pt>
                <c:pt idx="13">
                  <c:v>94.699405332382653</c:v>
                </c:pt>
                <c:pt idx="14">
                  <c:v>93.935432887038274</c:v>
                </c:pt>
                <c:pt idx="15">
                  <c:v>93.16567015865607</c:v>
                </c:pt>
                <c:pt idx="16">
                  <c:v>92.390967646653792</c:v>
                </c:pt>
                <c:pt idx="17">
                  <c:v>91.612214730209288</c:v>
                </c:pt>
                <c:pt idx="18">
                  <c:v>90.829846513555751</c:v>
                </c:pt>
                <c:pt idx="19">
                  <c:v>90.044632583089736</c:v>
                </c:pt>
                <c:pt idx="20">
                  <c:v>89.25688836365957</c:v>
                </c:pt>
                <c:pt idx="21">
                  <c:v>88.467171206706951</c:v>
                </c:pt>
                <c:pt idx="22">
                  <c:v>87.675644977242143</c:v>
                </c:pt>
                <c:pt idx="23">
                  <c:v>86.882783675337322</c:v>
                </c:pt>
                <c:pt idx="24">
                  <c:v>86.088617601070325</c:v>
                </c:pt>
                <c:pt idx="25">
                  <c:v>85.293462642289128</c:v>
                </c:pt>
                <c:pt idx="26">
                  <c:v>84.497293595032858</c:v>
                </c:pt>
                <c:pt idx="27">
                  <c:v>83.700496360841825</c:v>
                </c:pt>
                <c:pt idx="28">
                  <c:v>82.903149236312416</c:v>
                </c:pt>
                <c:pt idx="29">
                  <c:v>82.105837336711858</c:v>
                </c:pt>
                <c:pt idx="30">
                  <c:v>81.307284584195287</c:v>
                </c:pt>
                <c:pt idx="31">
                  <c:v>80.508664383726881</c:v>
                </c:pt>
                <c:pt idx="32">
                  <c:v>79.709480533499431</c:v>
                </c:pt>
                <c:pt idx="33">
                  <c:v>78.910337002719018</c:v>
                </c:pt>
                <c:pt idx="34">
                  <c:v>78.110642118666348</c:v>
                </c:pt>
                <c:pt idx="35">
                  <c:v>77.310861353247248</c:v>
                </c:pt>
                <c:pt idx="36">
                  <c:v>76.510879140125638</c:v>
                </c:pt>
                <c:pt idx="37">
                  <c:v>75.710262686594632</c:v>
                </c:pt>
                <c:pt idx="38">
                  <c:v>74.909763774052379</c:v>
                </c:pt>
                <c:pt idx="39">
                  <c:v>74.10871750265828</c:v>
                </c:pt>
                <c:pt idx="40">
                  <c:v>73.307396345527735</c:v>
                </c:pt>
                <c:pt idx="41">
                  <c:v>72.505689387058169</c:v>
                </c:pt>
                <c:pt idx="42">
                  <c:v>71.703651914249377</c:v>
                </c:pt>
                <c:pt idx="43">
                  <c:v>70.900977715655529</c:v>
                </c:pt>
                <c:pt idx="44">
                  <c:v>70.097792178312517</c:v>
                </c:pt>
                <c:pt idx="45">
                  <c:v>69.293824962510712</c:v>
                </c:pt>
                <c:pt idx="46">
                  <c:v>68.489106478880984</c:v>
                </c:pt>
                <c:pt idx="47">
                  <c:v>67.683303737245225</c:v>
                </c:pt>
                <c:pt idx="48">
                  <c:v>66.87642274717561</c:v>
                </c:pt>
                <c:pt idx="49">
                  <c:v>66.068026587087502</c:v>
                </c:pt>
                <c:pt idx="50">
                  <c:v>65.257963605167404</c:v>
                </c:pt>
                <c:pt idx="51">
                  <c:v>64.445714920075957</c:v>
                </c:pt>
                <c:pt idx="52">
                  <c:v>63.63114688421139</c:v>
                </c:pt>
                <c:pt idx="53">
                  <c:v>62.813763769844186</c:v>
                </c:pt>
                <c:pt idx="54">
                  <c:v>61.99352790599449</c:v>
                </c:pt>
                <c:pt idx="55">
                  <c:v>61.168403364235587</c:v>
                </c:pt>
                <c:pt idx="56">
                  <c:v>60.338779753231854</c:v>
                </c:pt>
                <c:pt idx="57">
                  <c:v>59.503207201377421</c:v>
                </c:pt>
                <c:pt idx="58">
                  <c:v>58.661251618682158</c:v>
                </c:pt>
                <c:pt idx="59">
                  <c:v>57.811074936938986</c:v>
                </c:pt>
                <c:pt idx="60">
                  <c:v>56.951793096018335</c:v>
                </c:pt>
                <c:pt idx="61">
                  <c:v>56.081736347530722</c:v>
                </c:pt>
                <c:pt idx="62">
                  <c:v>55.198700901870801</c:v>
                </c:pt>
                <c:pt idx="63">
                  <c:v>54.301619718325682</c:v>
                </c:pt>
                <c:pt idx="64">
                  <c:v>53.387701012345651</c:v>
                </c:pt>
                <c:pt idx="65">
                  <c:v>52.455079596595375</c:v>
                </c:pt>
                <c:pt idx="66">
                  <c:v>51.501390167001098</c:v>
                </c:pt>
                <c:pt idx="67">
                  <c:v>50.524470742594865</c:v>
                </c:pt>
                <c:pt idx="68">
                  <c:v>49.521816248592252</c:v>
                </c:pt>
                <c:pt idx="69">
                  <c:v>48.49166564359372</c:v>
                </c:pt>
                <c:pt idx="70">
                  <c:v>47.432100595678072</c:v>
                </c:pt>
                <c:pt idx="71">
                  <c:v>46.342067926080112</c:v>
                </c:pt>
                <c:pt idx="72">
                  <c:v>45.220629651325652</c:v>
                </c:pt>
                <c:pt idx="73">
                  <c:v>44.068027126915787</c:v>
                </c:pt>
                <c:pt idx="74">
                  <c:v>42.88467050716342</c:v>
                </c:pt>
                <c:pt idx="75">
                  <c:v>41.67221627747211</c:v>
                </c:pt>
                <c:pt idx="76">
                  <c:v>40.432620488401774</c:v>
                </c:pt>
                <c:pt idx="77">
                  <c:v>39.169241865866667</c:v>
                </c:pt>
                <c:pt idx="78">
                  <c:v>37.885647714643142</c:v>
                </c:pt>
                <c:pt idx="79">
                  <c:v>36.58680208516892</c:v>
                </c:pt>
                <c:pt idx="80">
                  <c:v>35.27507124830062</c:v>
                </c:pt>
                <c:pt idx="81">
                  <c:v>33.957143692170263</c:v>
                </c:pt>
                <c:pt idx="82">
                  <c:v>32.637164753194497</c:v>
                </c:pt>
                <c:pt idx="83">
                  <c:v>31.321152613395064</c:v>
                </c:pt>
                <c:pt idx="84">
                  <c:v>30.01308662624945</c:v>
                </c:pt>
                <c:pt idx="85">
                  <c:v>28.718486255939133</c:v>
                </c:pt>
                <c:pt idx="86">
                  <c:v>27.441590075442722</c:v>
                </c:pt>
                <c:pt idx="87">
                  <c:v>26.185704662842237</c:v>
                </c:pt>
                <c:pt idx="88">
                  <c:v>24.955431134960826</c:v>
                </c:pt>
                <c:pt idx="89">
                  <c:v>23.752506383385949</c:v>
                </c:pt>
                <c:pt idx="90">
                  <c:v>22.579388533123858</c:v>
                </c:pt>
                <c:pt idx="91">
                  <c:v>21.437192003342183</c:v>
                </c:pt>
                <c:pt idx="92">
                  <c:v>20.326518075860921</c:v>
                </c:pt>
                <c:pt idx="93">
                  <c:v>19.246770615449069</c:v>
                </c:pt>
                <c:pt idx="94">
                  <c:v>18.98170859061252</c:v>
                </c:pt>
                <c:pt idx="95">
                  <c:v>18.849064929903328</c:v>
                </c:pt>
                <c:pt idx="96">
                  <c:v>18.718401989126225</c:v>
                </c:pt>
                <c:pt idx="97">
                  <c:v>18.586705239214282</c:v>
                </c:pt>
                <c:pt idx="98">
                  <c:v>18.456972472902855</c:v>
                </c:pt>
                <c:pt idx="99">
                  <c:v>18.326177904468064</c:v>
                </c:pt>
                <c:pt idx="100">
                  <c:v>18.197331259592715</c:v>
                </c:pt>
                <c:pt idx="101">
                  <c:v>18.067494799735019</c:v>
                </c:pt>
                <c:pt idx="102">
                  <c:v>17.939587918917791</c:v>
                </c:pt>
                <c:pt idx="103">
                  <c:v>17.81057156474948</c:v>
                </c:pt>
                <c:pt idx="104">
                  <c:v>17.683469903003171</c:v>
                </c:pt>
                <c:pt idx="105">
                  <c:v>17.555332009466653</c:v>
                </c:pt>
                <c:pt idx="106">
                  <c:v>17.429091605753513</c:v>
                </c:pt>
                <c:pt idx="107">
                  <c:v>17.301883199522777</c:v>
                </c:pt>
                <c:pt idx="108">
                  <c:v>17.176553007948439</c:v>
                </c:pt>
                <c:pt idx="109">
                  <c:v>17.050232950914552</c:v>
                </c:pt>
                <c:pt idx="110">
                  <c:v>16.925772491143061</c:v>
                </c:pt>
                <c:pt idx="111">
                  <c:v>16.800220426779916</c:v>
                </c:pt>
                <c:pt idx="112">
                  <c:v>16.676512328279316</c:v>
                </c:pt>
                <c:pt idx="113">
                  <c:v>16.551781753801713</c:v>
                </c:pt>
                <c:pt idx="114">
                  <c:v>16.428877442304866</c:v>
                </c:pt>
                <c:pt idx="115">
                  <c:v>16.304936960712013</c:v>
                </c:pt>
                <c:pt idx="116">
                  <c:v>16.182805466098753</c:v>
                </c:pt>
                <c:pt idx="117">
                  <c:v>16.059626430834527</c:v>
                </c:pt>
                <c:pt idx="118">
                  <c:v>15.938239472481213</c:v>
                </c:pt>
                <c:pt idx="119">
                  <c:v>15.815869400858894</c:v>
                </c:pt>
                <c:pt idx="120">
                  <c:v>15.695272687440502</c:v>
                </c:pt>
                <c:pt idx="121">
                  <c:v>15.573681354907523</c:v>
                </c:pt>
                <c:pt idx="122">
                  <c:v>15.453845124547144</c:v>
                </c:pt>
                <c:pt idx="123">
                  <c:v>15.332935270193829</c:v>
                </c:pt>
                <c:pt idx="124">
                  <c:v>15.213764658713309</c:v>
                </c:pt>
                <c:pt idx="125">
                  <c:v>15.093584237952031</c:v>
                </c:pt>
                <c:pt idx="126">
                  <c:v>14.975125462192727</c:v>
                </c:pt>
                <c:pt idx="127">
                  <c:v>14.855650835496634</c:v>
                </c:pt>
                <c:pt idx="128">
                  <c:v>14.73788058872014</c:v>
                </c:pt>
                <c:pt idx="129">
                  <c:v>14.619090004085852</c:v>
                </c:pt>
                <c:pt idx="130">
                  <c:v>14.501986833115994</c:v>
                </c:pt>
                <c:pt idx="131">
                  <c:v>14.383860262891794</c:v>
                </c:pt>
                <c:pt idx="132">
                  <c:v>14.325426399450139</c:v>
                </c:pt>
                <c:pt idx="133">
                  <c:v>14.267404409736502</c:v>
                </c:pt>
                <c:pt idx="134">
                  <c:v>14.208423897569009</c:v>
                </c:pt>
                <c:pt idx="135">
                  <c:v>14.149863182178482</c:v>
                </c:pt>
                <c:pt idx="136">
                  <c:v>14.091716425427487</c:v>
                </c:pt>
                <c:pt idx="137">
                  <c:v>14.033977904669253</c:v>
                </c:pt>
                <c:pt idx="138">
                  <c:v>13.97534489721961</c:v>
                </c:pt>
                <c:pt idx="139">
                  <c:v>13.917127123925063</c:v>
                </c:pt>
                <c:pt idx="140">
                  <c:v>13.859318819833424</c:v>
                </c:pt>
                <c:pt idx="141">
                  <c:v>13.801914334190393</c:v>
                </c:pt>
                <c:pt idx="142">
                  <c:v>13.743561105007583</c:v>
                </c:pt>
                <c:pt idx="143">
                  <c:v>13.685619443349461</c:v>
                </c:pt>
                <c:pt idx="144">
                  <c:v>13.628083640405045</c:v>
                </c:pt>
                <c:pt idx="145">
                  <c:v>13.570948100682113</c:v>
                </c:pt>
                <c:pt idx="146">
                  <c:v>13.512897624424344</c:v>
                </c:pt>
                <c:pt idx="147">
                  <c:v>13.45525466964002</c:v>
                </c:pt>
                <c:pt idx="148">
                  <c:v>13.398013593008734</c:v>
                </c:pt>
                <c:pt idx="149">
                  <c:v>13.341168863369017</c:v>
                </c:pt>
                <c:pt idx="150">
                  <c:v>13.283414349881316</c:v>
                </c:pt>
                <c:pt idx="151">
                  <c:v>13.226063357244769</c:v>
                </c:pt>
                <c:pt idx="152">
                  <c:v>13.169110308090712</c:v>
                </c:pt>
                <c:pt idx="153">
                  <c:v>13.11254973600356</c:v>
                </c:pt>
                <c:pt idx="154">
                  <c:v>13.055058552981961</c:v>
                </c:pt>
                <c:pt idx="155">
                  <c:v>12.997967298376301</c:v>
                </c:pt>
                <c:pt idx="156">
                  <c:v>12.941270453670741</c:v>
                </c:pt>
                <c:pt idx="157">
                  <c:v>12.884962610251534</c:v>
                </c:pt>
                <c:pt idx="158">
                  <c:v>12.827731102608952</c:v>
                </c:pt>
                <c:pt idx="159">
                  <c:v>12.770895938637256</c:v>
                </c:pt>
                <c:pt idx="160">
                  <c:v>12.714451659783165</c:v>
                </c:pt>
                <c:pt idx="161">
                  <c:v>12.658392916283495</c:v>
                </c:pt>
                <c:pt idx="162">
                  <c:v>12.601442656681947</c:v>
                </c:pt>
                <c:pt idx="163">
                  <c:v>12.544884821729029</c:v>
                </c:pt>
                <c:pt idx="164">
                  <c:v>12.488714020892866</c:v>
                </c:pt>
                <c:pt idx="165">
                  <c:v>12.432924971075279</c:v>
                </c:pt>
                <c:pt idx="166">
                  <c:v>12.37620231805106</c:v>
                </c:pt>
                <c:pt idx="167">
                  <c:v>12.31986887401321</c:v>
                </c:pt>
                <c:pt idx="168">
                  <c:v>12.263919303120151</c:v>
                </c:pt>
                <c:pt idx="169">
                  <c:v>12.208348375930939</c:v>
                </c:pt>
                <c:pt idx="170">
                  <c:v>12.151970529349864</c:v>
                </c:pt>
                <c:pt idx="171">
                  <c:v>12.095977049876836</c:v>
                </c:pt>
                <c:pt idx="172">
                  <c:v>12.040362690649937</c:v>
                </c:pt>
                <c:pt idx="173">
                  <c:v>11.985122309237969</c:v>
                </c:pt>
                <c:pt idx="174">
                  <c:v>11.928872275646526</c:v>
                </c:pt>
                <c:pt idx="175">
                  <c:v>11.873004692605855</c:v>
                </c:pt>
                <c:pt idx="176">
                  <c:v>11.817514343458548</c:v>
                </c:pt>
                <c:pt idx="177">
                  <c:v>11.762396115536538</c:v>
                </c:pt>
                <c:pt idx="178">
                  <c:v>11.706303241201915</c:v>
                </c:pt>
                <c:pt idx="179">
                  <c:v>11.650590471037185</c:v>
                </c:pt>
                <c:pt idx="180">
                  <c:v>11.595252628331252</c:v>
                </c:pt>
                <c:pt idx="181">
                  <c:v>11.540284639637612</c:v>
                </c:pt>
                <c:pt idx="182">
                  <c:v>11.484593158118592</c:v>
                </c:pt>
                <c:pt idx="183">
                  <c:v>11.429276127170896</c:v>
                </c:pt>
                <c:pt idx="184">
                  <c:v>11.374328478021592</c:v>
                </c:pt>
                <c:pt idx="185">
                  <c:v>11.319745242612676</c:v>
                </c:pt>
                <c:pt idx="186">
                  <c:v>11.264038082189366</c:v>
                </c:pt>
                <c:pt idx="187">
                  <c:v>11.208705299675731</c:v>
                </c:pt>
                <c:pt idx="188">
                  <c:v>11.153741821900082</c:v>
                </c:pt>
                <c:pt idx="189">
                  <c:v>11.099142676803522</c:v>
                </c:pt>
                <c:pt idx="190">
                  <c:v>11.04387134631715</c:v>
                </c:pt>
                <c:pt idx="191">
                  <c:v>10.988968270610791</c:v>
                </c:pt>
                <c:pt idx="192">
                  <c:v>10.93442849512617</c:v>
                </c:pt>
                <c:pt idx="193">
                  <c:v>10.880247163541661</c:v>
                </c:pt>
                <c:pt idx="194">
                  <c:v>10.82501301873714</c:v>
                </c:pt>
                <c:pt idx="195">
                  <c:v>10.770146303104367</c:v>
                </c:pt>
                <c:pt idx="196">
                  <c:v>10.715642074544514</c:v>
                </c:pt>
                <c:pt idx="197">
                  <c:v>10.661495489100275</c:v>
                </c:pt>
                <c:pt idx="198">
                  <c:v>10.606527747546469</c:v>
                </c:pt>
                <c:pt idx="199">
                  <c:v>10.551923558908815</c:v>
                </c:pt>
                <c:pt idx="200">
                  <c:v>10.497678055463027</c:v>
                </c:pt>
                <c:pt idx="201">
                  <c:v>10.44378646587856</c:v>
                </c:pt>
                <c:pt idx="202">
                  <c:v>10.389100564621112</c:v>
                </c:pt>
                <c:pt idx="203">
                  <c:v>10.334774141732993</c:v>
                </c:pt>
                <c:pt idx="204">
                  <c:v>10.280802408177374</c:v>
                </c:pt>
                <c:pt idx="205">
                  <c:v>10.227180669433523</c:v>
                </c:pt>
                <c:pt idx="206">
                  <c:v>10.172604648471131</c:v>
                </c:pt>
                <c:pt idx="207">
                  <c:v>10.118386283428809</c:v>
                </c:pt>
                <c:pt idx="208">
                  <c:v>10.064520819509752</c:v>
                </c:pt>
                <c:pt idx="209">
                  <c:v>10.011003595704906</c:v>
                </c:pt>
                <c:pt idx="210">
                  <c:v>9.9563829819306662</c:v>
                </c:pt>
                <c:pt idx="211">
                  <c:v>9.9021202058303643</c:v>
                </c:pt>
                <c:pt idx="212">
                  <c:v>9.8482105075506201</c:v>
                </c:pt>
                <c:pt idx="213">
                  <c:v>9.7946492213110776</c:v>
                </c:pt>
                <c:pt idx="214">
                  <c:v>9.7403744244760233</c:v>
                </c:pt>
                <c:pt idx="215">
                  <c:v>9.6864525528029581</c:v>
                </c:pt>
                <c:pt idx="216">
                  <c:v>9.6328789429062134</c:v>
                </c:pt>
                <c:pt idx="217">
                  <c:v>9.5796490230808331</c:v>
                </c:pt>
                <c:pt idx="218">
                  <c:v>9.5255562544384365</c:v>
                </c:pt>
                <c:pt idx="219">
                  <c:v>9.471813637069296</c:v>
                </c:pt>
                <c:pt idx="220">
                  <c:v>9.4184165618768958</c:v>
                </c:pt>
                <c:pt idx="221">
                  <c:v>9.3653605101454254</c:v>
                </c:pt>
                <c:pt idx="222">
                  <c:v>9.3114695785931634</c:v>
                </c:pt>
                <c:pt idx="223">
                  <c:v>9.257925773826619</c:v>
                </c:pt>
                <c:pt idx="224">
                  <c:v>9.2047245461788982</c:v>
                </c:pt>
                <c:pt idx="225">
                  <c:v>9.1518614349178069</c:v>
                </c:pt>
                <c:pt idx="226">
                  <c:v>9.0980271480883061</c:v>
                </c:pt>
                <c:pt idx="227">
                  <c:v>9.0445388290520725</c:v>
                </c:pt>
                <c:pt idx="228">
                  <c:v>8.991391951262214</c:v>
                </c:pt>
                <c:pt idx="229">
                  <c:v>8.9385820765917536</c:v>
                </c:pt>
                <c:pt idx="230">
                  <c:v>8.8314281989395713</c:v>
                </c:pt>
                <c:pt idx="231">
                  <c:v>8.7783634239368986</c:v>
                </c:pt>
                <c:pt idx="232">
                  <c:v>8.7256341846323799</c:v>
                </c:pt>
                <c:pt idx="233">
                  <c:v>8.671996277917307</c:v>
                </c:pt>
                <c:pt idx="234">
                  <c:v>8.6187009487613668</c:v>
                </c:pt>
                <c:pt idx="235">
                  <c:v>8.5657437386369466</c:v>
                </c:pt>
                <c:pt idx="236">
                  <c:v>8.5131202758047095</c:v>
                </c:pt>
                <c:pt idx="237">
                  <c:v>8.4597686160686276</c:v>
                </c:pt>
                <c:pt idx="238">
                  <c:v>8.4067554566937872</c:v>
                </c:pt>
                <c:pt idx="239">
                  <c:v>8.3540764195993624</c:v>
                </c:pt>
                <c:pt idx="240">
                  <c:v>8.3017272114637777</c:v>
                </c:pt>
                <c:pt idx="241">
                  <c:v>8.2483777053881386</c:v>
                </c:pt>
                <c:pt idx="242">
                  <c:v>8.195366227585918</c:v>
                </c:pt>
                <c:pt idx="243">
                  <c:v>8.1426884106829522</c:v>
                </c:pt>
                <c:pt idx="244">
                  <c:v>8.0903399718239122</c:v>
                </c:pt>
                <c:pt idx="245">
                  <c:v>8.0371674917751115</c:v>
                </c:pt>
                <c:pt idx="246">
                  <c:v>7.9843303622409199</c:v>
                </c:pt>
                <c:pt idx="247">
                  <c:v>7.9318242692425649</c:v>
                </c:pt>
                <c:pt idx="248">
                  <c:v>7.8796449819738559</c:v>
                </c:pt>
                <c:pt idx="249">
                  <c:v>7.8265275511202841</c:v>
                </c:pt>
                <c:pt idx="250">
                  <c:v>7.773744332913175</c:v>
                </c:pt>
                <c:pt idx="251">
                  <c:v>7.7212910371731569</c:v>
                </c:pt>
                <c:pt idx="252">
                  <c:v>7.6691634562987563</c:v>
                </c:pt>
                <c:pt idx="253">
                  <c:v>7.6162644854816497</c:v>
                </c:pt>
                <c:pt idx="254">
                  <c:v>7.5636965485502197</c:v>
                </c:pt>
                <c:pt idx="255">
                  <c:v>7.5114554182363396</c:v>
                </c:pt>
                <c:pt idx="256">
                  <c:v>7.4595369482496832</c:v>
                </c:pt>
                <c:pt idx="257">
                  <c:v>7.4066044846328065</c:v>
                </c:pt>
                <c:pt idx="258">
                  <c:v>7.3540030279345707</c:v>
                </c:pt>
                <c:pt idx="259">
                  <c:v>7.3017283535547994</c:v>
                </c:pt>
                <c:pt idx="260">
                  <c:v>7.2497763178002561</c:v>
                </c:pt>
                <c:pt idx="261">
                  <c:v>7.1969730390960454</c:v>
                </c:pt>
                <c:pt idx="262">
                  <c:v>7.1444987144598526</c:v>
                </c:pt>
                <c:pt idx="263">
                  <c:v>7.0923491606230229</c:v>
                </c:pt>
                <c:pt idx="264">
                  <c:v>7.0405202741626898</c:v>
                </c:pt>
                <c:pt idx="265">
                  <c:v>6.9878668789758809</c:v>
                </c:pt>
                <c:pt idx="266">
                  <c:v>6.9355401371267309</c:v>
                </c:pt>
                <c:pt idx="267">
                  <c:v>6.8835359112621575</c:v>
                </c:pt>
                <c:pt idx="268">
                  <c:v>6.8318501426942717</c:v>
                </c:pt>
                <c:pt idx="269">
                  <c:v>6.7792418539103894</c:v>
                </c:pt>
                <c:pt idx="270">
                  <c:v>6.7269592199142947</c:v>
                </c:pt>
                <c:pt idx="271">
                  <c:v>6.6749981245068568</c:v>
                </c:pt>
                <c:pt idx="272">
                  <c:v>6.6233545295953791</c:v>
                </c:pt>
                <c:pt idx="273">
                  <c:v>6.5708176114778594</c:v>
                </c:pt>
                <c:pt idx="274">
                  <c:v>6.5186050277381193</c:v>
                </c:pt>
                <c:pt idx="275">
                  <c:v>6.4667126893501345</c:v>
                </c:pt>
                <c:pt idx="276">
                  <c:v>6.4151365846789261</c:v>
                </c:pt>
                <c:pt idx="277">
                  <c:v>6.3628129807842591</c:v>
                </c:pt>
                <c:pt idx="278">
                  <c:v>6.31081065424282</c:v>
                </c:pt>
                <c:pt idx="279">
                  <c:v>6.2591255757058555</c:v>
                </c:pt>
                <c:pt idx="280">
                  <c:v>6.2077537916818954</c:v>
                </c:pt>
                <c:pt idx="281">
                  <c:v>6.1553125116278924</c:v>
                </c:pt>
                <c:pt idx="282">
                  <c:v>6.1031935125679446</c:v>
                </c:pt>
                <c:pt idx="283">
                  <c:v>6.0513927484556573</c:v>
                </c:pt>
                <c:pt idx="284">
                  <c:v>5.9999062494779558</c:v>
                </c:pt>
                <c:pt idx="285">
                  <c:v>5.9477209492836902</c:v>
                </c:pt>
                <c:pt idx="286">
                  <c:v>5.8958543651079331</c:v>
                </c:pt>
                <c:pt idx="287">
                  <c:v>5.8443025196730636</c:v>
                </c:pt>
                <c:pt idx="288">
                  <c:v>5.7930615101710945</c:v>
                </c:pt>
                <c:pt idx="289">
                  <c:v>5.740814286428801</c:v>
                </c:pt>
                <c:pt idx="290">
                  <c:v>5.6888860959819461</c:v>
                </c:pt>
                <c:pt idx="291">
                  <c:v>5.6372729575580003</c:v>
                </c:pt>
                <c:pt idx="292">
                  <c:v>5.5859709644020956</c:v>
                </c:pt>
                <c:pt idx="293">
                  <c:v>5.5338014366674386</c:v>
                </c:pt>
                <c:pt idx="294">
                  <c:v>5.4819495586000215</c:v>
                </c:pt>
                <c:pt idx="295">
                  <c:v>5.4304113765098352</c:v>
                </c:pt>
                <c:pt idx="296">
                  <c:v>5.3791830104833247</c:v>
                </c:pt>
                <c:pt idx="297">
                  <c:v>5.3271139603177602</c:v>
                </c:pt>
                <c:pt idx="298">
                  <c:v>5.2753609023758719</c:v>
                </c:pt>
                <c:pt idx="299">
                  <c:v>5.2239199154025524</c:v>
                </c:pt>
                <c:pt idx="300">
                  <c:v>5.1727871510561707</c:v>
                </c:pt>
                <c:pt idx="301">
                  <c:v>5.1208395265029658</c:v>
                </c:pt>
                <c:pt idx="302">
                  <c:v>5.0692059872709505</c:v>
                </c:pt>
                <c:pt idx="303">
                  <c:v>5.0178826488741093</c:v>
                </c:pt>
                <c:pt idx="304">
                  <c:v>4.9668656987693769</c:v>
                </c:pt>
                <c:pt idx="305">
                  <c:v>4.914860068204093</c:v>
                </c:pt>
                <c:pt idx="306">
                  <c:v>4.8631687788167763</c:v>
                </c:pt>
                <c:pt idx="307">
                  <c:v>4.8117879426280847</c:v>
                </c:pt>
                <c:pt idx="308">
                  <c:v>4.760713743620145</c:v>
                </c:pt>
                <c:pt idx="309">
                  <c:v>4.7088757743604246</c:v>
                </c:pt>
                <c:pt idx="310">
                  <c:v>4.6573496826851892</c:v>
                </c:pt>
                <c:pt idx="311">
                  <c:v>4.6061316270948378</c:v>
                </c:pt>
                <c:pt idx="312">
                  <c:v>4.5552178368394873</c:v>
                </c:pt>
                <c:pt idx="313">
                  <c:v>4.5033738652668678</c:v>
                </c:pt>
                <c:pt idx="314">
                  <c:v>4.451841391971378</c:v>
                </c:pt>
                <c:pt idx="315">
                  <c:v>4.4006165831876194</c:v>
                </c:pt>
                <c:pt idx="316">
                  <c:v>4.3496956756362515</c:v>
                </c:pt>
                <c:pt idx="317">
                  <c:v>4.297873349029361</c:v>
                </c:pt>
                <c:pt idx="318">
                  <c:v>4.2463618032009141</c:v>
                </c:pt>
                <c:pt idx="319">
                  <c:v>4.1951572180535202</c:v>
                </c:pt>
                <c:pt idx="320">
                  <c:v>4.1442558435638803</c:v>
                </c:pt>
                <c:pt idx="321">
                  <c:v>4.0924807457105787</c:v>
                </c:pt>
                <c:pt idx="322">
                  <c:v>4.0410153983911794</c:v>
                </c:pt>
                <c:pt idx="323">
                  <c:v>3.9898560005920252</c:v>
                </c:pt>
                <c:pt idx="324">
                  <c:v>3.9389988208268067</c:v>
                </c:pt>
                <c:pt idx="325">
                  <c:v>3.8872945772170513</c:v>
                </c:pt>
                <c:pt idx="326">
                  <c:v>3.8358987654928844</c:v>
                </c:pt>
                <c:pt idx="327">
                  <c:v>3.7848076086382783</c:v>
                </c:pt>
                <c:pt idx="328">
                  <c:v>3.7340173984963854</c:v>
                </c:pt>
                <c:pt idx="329">
                  <c:v>3.6823197298418338</c:v>
                </c:pt>
                <c:pt idx="330">
                  <c:v>3.630929929974184</c:v>
                </c:pt>
                <c:pt idx="331">
                  <c:v>3.5798442316424479</c:v>
                </c:pt>
                <c:pt idx="332">
                  <c:v>3.5290589361289237</c:v>
                </c:pt>
                <c:pt idx="333">
                  <c:v>3.4774779308141239</c:v>
                </c:pt>
                <c:pt idx="334">
                  <c:v>3.4262029148528033</c:v>
                </c:pt>
                <c:pt idx="335">
                  <c:v>3.3752301543959713</c:v>
                </c:pt>
                <c:pt idx="336">
                  <c:v>3.3245559832286125</c:v>
                </c:pt>
                <c:pt idx="337">
                  <c:v>3.2729456908247068</c:v>
                </c:pt>
                <c:pt idx="338">
                  <c:v>3.2216412237961785</c:v>
                </c:pt>
                <c:pt idx="339">
                  <c:v>3.1706388499119487</c:v>
                </c:pt>
                <c:pt idx="340">
                  <c:v>3.119934904438467</c:v>
                </c:pt>
                <c:pt idx="341">
                  <c:v>3.0683234104910113</c:v>
                </c:pt>
                <c:pt idx="342">
                  <c:v>3.0170172281554493</c:v>
                </c:pt>
                <c:pt idx="343">
                  <c:v>2.9660126327220473</c:v>
                </c:pt>
                <c:pt idx="344">
                  <c:v>2.9153059666954064</c:v>
                </c:pt>
                <c:pt idx="345">
                  <c:v>2.8637975565607947</c:v>
                </c:pt>
                <c:pt idx="346">
                  <c:v>2.812592698223221</c:v>
                </c:pt>
                <c:pt idx="347">
                  <c:v>2.7616876966781341</c:v>
                </c:pt>
                <c:pt idx="348">
                  <c:v>2.711078923316887</c:v>
                </c:pt>
                <c:pt idx="349">
                  <c:v>2.6595392186382623</c:v>
                </c:pt>
                <c:pt idx="350">
                  <c:v>2.6083028667841681</c:v>
                </c:pt>
                <c:pt idx="351">
                  <c:v>2.5573661734519089</c:v>
                </c:pt>
                <c:pt idx="352">
                  <c:v>2.5067255106053192</c:v>
                </c:pt>
                <c:pt idx="353">
                  <c:v>2.4551820840512657</c:v>
                </c:pt>
                <c:pt idx="354">
                  <c:v>2.4039414621790907</c:v>
                </c:pt>
                <c:pt idx="355">
                  <c:v>2.3529999571290086</c:v>
                </c:pt>
                <c:pt idx="356">
                  <c:v>2.3023539470352161</c:v>
                </c:pt>
                <c:pt idx="357">
                  <c:v>2.2509052640412568</c:v>
                </c:pt>
                <c:pt idx="358">
                  <c:v>2.1997576598856918</c:v>
                </c:pt>
                <c:pt idx="359">
                  <c:v>2.1489074739178418</c:v>
                </c:pt>
                <c:pt idx="360">
                  <c:v>2.0983511107099013</c:v>
                </c:pt>
                <c:pt idx="361">
                  <c:v>2.0468730661468753</c:v>
                </c:pt>
                <c:pt idx="362">
                  <c:v>1.9956957955561618</c:v>
                </c:pt>
                <c:pt idx="363">
                  <c:v>1.9448156389205202</c:v>
                </c:pt>
                <c:pt idx="364">
                  <c:v>1.8942290012983678</c:v>
                </c:pt>
                <c:pt idx="365">
                  <c:v>1.8428179149316839</c:v>
                </c:pt>
                <c:pt idx="366">
                  <c:v>1.7917061427278127</c:v>
                </c:pt>
                <c:pt idx="367">
                  <c:v>1.7408900455254277</c:v>
                </c:pt>
                <c:pt idx="368">
                  <c:v>1.6903660486068812</c:v>
                </c:pt>
                <c:pt idx="369">
                  <c:v>1.6389056427381594</c:v>
                </c:pt>
                <c:pt idx="370">
                  <c:v>1.5877444049095875</c:v>
                </c:pt>
                <c:pt idx="371">
                  <c:v>1.5368786920632314</c:v>
                </c:pt>
                <c:pt idx="372">
                  <c:v>1.4863049255276883</c:v>
                </c:pt>
                <c:pt idx="373">
                  <c:v>1.4348891330969138</c:v>
                </c:pt>
                <c:pt idx="374">
                  <c:v>1.3837712314235382</c:v>
                </c:pt>
                <c:pt idx="375">
                  <c:v>1.3329475932075132</c:v>
                </c:pt>
                <c:pt idx="376">
                  <c:v>1.2824146550072637</c:v>
                </c:pt>
                <c:pt idx="377">
                  <c:v>1.2309342903954494</c:v>
                </c:pt>
                <c:pt idx="378">
                  <c:v>1.1797517542931739</c:v>
                </c:pt>
                <c:pt idx="379">
                  <c:v>1.1288634119988703</c:v>
                </c:pt>
                <c:pt idx="380">
                  <c:v>1.0782656926730421</c:v>
                </c:pt>
                <c:pt idx="381">
                  <c:v>1.0268755845785897</c:v>
                </c:pt>
                <c:pt idx="382">
                  <c:v>0.97578140657807722</c:v>
                </c:pt>
                <c:pt idx="383">
                  <c:v>0.92497954895008772</c:v>
                </c:pt>
                <c:pt idx="384">
                  <c:v>0.87446646507222003</c:v>
                </c:pt>
                <c:pt idx="385">
                  <c:v>0.82299746037049826</c:v>
                </c:pt>
                <c:pt idx="386">
                  <c:v>0.77182437545844695</c:v>
                </c:pt>
                <c:pt idx="387">
                  <c:v>0.72094358992220098</c:v>
                </c:pt>
                <c:pt idx="388">
                  <c:v>0.67035154650124096</c:v>
                </c:pt>
                <c:pt idx="389">
                  <c:v>0.61889229534573209</c:v>
                </c:pt>
                <c:pt idx="390">
                  <c:v>0.56772787136548153</c:v>
                </c:pt>
                <c:pt idx="391">
                  <c:v>0.51685466188889817</c:v>
                </c:pt>
                <c:pt idx="392">
                  <c:v>0.46626911700977686</c:v>
                </c:pt>
                <c:pt idx="393">
                  <c:v>0.41484128443092461</c:v>
                </c:pt>
                <c:pt idx="394">
                  <c:v>0.36370687141252889</c:v>
                </c:pt>
                <c:pt idx="395">
                  <c:v>0.31286227737285738</c:v>
                </c:pt>
                <c:pt idx="396">
                  <c:v>0.2623039639929432</c:v>
                </c:pt>
                <c:pt idx="397">
                  <c:v>0.21081137962606342</c:v>
                </c:pt>
                <c:pt idx="398">
                  <c:v>0.15961182430089527</c:v>
                </c:pt>
                <c:pt idx="399">
                  <c:v>0.10870168925923773</c:v>
                </c:pt>
                <c:pt idx="400">
                  <c:v>5.80774279518637E-2</c:v>
                </c:pt>
                <c:pt idx="401">
                  <c:v>6.6024015463166108E-3</c:v>
                </c:pt>
                <c:pt idx="402">
                  <c:v>-4.4581007092852551E-2</c:v>
                </c:pt>
                <c:pt idx="403">
                  <c:v>-9.5476397866934792E-2</c:v>
                </c:pt>
                <c:pt idx="404">
                  <c:v>-0.14608730893145272</c:v>
                </c:pt>
                <c:pt idx="405">
                  <c:v>-0.19758050079320816</c:v>
                </c:pt>
                <c:pt idx="406">
                  <c:v>-0.24878317465976607</c:v>
                </c:pt>
                <c:pt idx="407">
                  <c:v>-0.2996989292072012</c:v>
                </c:pt>
                <c:pt idx="408">
                  <c:v>-0.35033130167476978</c:v>
                </c:pt>
                <c:pt idx="409">
                  <c:v>-0.40187538566099212</c:v>
                </c:pt>
                <c:pt idx="410">
                  <c:v>-0.45312978847813262</c:v>
                </c:pt>
                <c:pt idx="411">
                  <c:v>-0.50409811456789411</c:v>
                </c:pt>
                <c:pt idx="412">
                  <c:v>-0.55478390710875447</c:v>
                </c:pt>
                <c:pt idx="413">
                  <c:v>-0.60635591156528745</c:v>
                </c:pt>
                <c:pt idx="414">
                  <c:v>-0.65763944563131438</c:v>
                </c:pt>
                <c:pt idx="415">
                  <c:v>-0.70863811489095774</c:v>
                </c:pt>
                <c:pt idx="416">
                  <c:v>-0.7593554639687663</c:v>
                </c:pt>
                <c:pt idx="417">
                  <c:v>-0.81098639441979303</c:v>
                </c:pt>
                <c:pt idx="418">
                  <c:v>-0.86232984719720829</c:v>
                </c:pt>
                <c:pt idx="419">
                  <c:v>-0.91338943566792297</c:v>
                </c:pt>
                <c:pt idx="420">
                  <c:v>-0.96416871242162561</c:v>
                </c:pt>
                <c:pt idx="421">
                  <c:v>-1.0157858264780506</c:v>
                </c:pt>
                <c:pt idx="422">
                  <c:v>-1.0671174005670219</c:v>
                </c:pt>
                <c:pt idx="423">
                  <c:v>-1.1181670408338631</c:v>
                </c:pt>
                <c:pt idx="424">
                  <c:v>-1.1689382931932428</c:v>
                </c:pt>
                <c:pt idx="425">
                  <c:v>-1.2206737370247713</c:v>
                </c:pt>
                <c:pt idx="426">
                  <c:v>-1.2721242732138589</c:v>
                </c:pt>
                <c:pt idx="427">
                  <c:v>-1.3232935284390799</c:v>
                </c:pt>
                <c:pt idx="428">
                  <c:v>-1.3741850691112159</c:v>
                </c:pt>
                <c:pt idx="429">
                  <c:v>-1.4259661668250267</c:v>
                </c:pt>
                <c:pt idx="430">
                  <c:v>-1.4774639616512202</c:v>
                </c:pt>
                <c:pt idx="431">
                  <c:v>-1.5286820857997887</c:v>
                </c:pt>
                <c:pt idx="432">
                  <c:v>-1.579624111544335</c:v>
                </c:pt>
                <c:pt idx="433">
                  <c:v>-1.6314322855757781</c:v>
                </c:pt>
                <c:pt idx="434">
                  <c:v>-1.6829591457716231</c:v>
                </c:pt>
                <c:pt idx="435">
                  <c:v>-1.7342083261496042</c:v>
                </c:pt>
                <c:pt idx="436">
                  <c:v>-1.7851834012404244</c:v>
                </c:pt>
                <c:pt idx="437">
                  <c:v>-1.8370951842836325</c:v>
                </c:pt>
                <c:pt idx="438">
                  <c:v>-1.8887270161651271</c:v>
                </c:pt>
                <c:pt idx="439">
                  <c:v>-1.9400825489032678</c:v>
                </c:pt>
                <c:pt idx="440">
                  <c:v>-1.9911653751669256</c:v>
                </c:pt>
                <c:pt idx="441">
                  <c:v>-2.0431607386738584</c:v>
                </c:pt>
                <c:pt idx="442">
                  <c:v>-2.0948779570600018</c:v>
                </c:pt>
                <c:pt idx="443">
                  <c:v>-2.1463206963099015</c:v>
                </c:pt>
                <c:pt idx="444">
                  <c:v>-2.1974925633284466</c:v>
                </c:pt>
                <c:pt idx="445">
                  <c:v>-2.2495539830655291</c:v>
                </c:pt>
                <c:pt idx="446">
                  <c:v>-2.3013394943002057</c:v>
                </c:pt>
                <c:pt idx="447">
                  <c:v>-2.3528527734255493</c:v>
                </c:pt>
                <c:pt idx="448">
                  <c:v>-2.4040974381465259</c:v>
                </c:pt>
                <c:pt idx="449">
                  <c:v>-2.4562969831866273</c:v>
                </c:pt>
                <c:pt idx="450">
                  <c:v>-2.5082223645920934</c:v>
                </c:pt>
                <c:pt idx="451">
                  <c:v>-2.5598772844836071</c:v>
                </c:pt>
                <c:pt idx="452">
                  <c:v>-2.6112653864096518</c:v>
                </c:pt>
                <c:pt idx="453">
                  <c:v>-2.6635423660046325</c:v>
                </c:pt>
                <c:pt idx="454">
                  <c:v>-2.7155478590776152</c:v>
                </c:pt>
                <c:pt idx="455">
                  <c:v>-2.7672855807182528</c:v>
                </c:pt>
                <c:pt idx="456">
                  <c:v>-2.818759187879682</c:v>
                </c:pt>
                <c:pt idx="457">
                  <c:v>-2.8711845133513139</c:v>
                </c:pt>
                <c:pt idx="458">
                  <c:v>-2.9233406152778811</c:v>
                </c:pt>
                <c:pt idx="459">
                  <c:v>-2.9752312367898726</c:v>
                </c:pt>
                <c:pt idx="460">
                  <c:v>-3.0268600630556768</c:v>
                </c:pt>
                <c:pt idx="461">
                  <c:v>-3.0794185362691398</c:v>
                </c:pt>
                <c:pt idx="462">
                  <c:v>-3.1317105615009377</c:v>
                </c:pt>
                <c:pt idx="463">
                  <c:v>-3.1837399066625069</c:v>
                </c:pt>
                <c:pt idx="464">
                  <c:v>-3.2355102820001806</c:v>
                </c:pt>
                <c:pt idx="465">
                  <c:v>-3.2882296927887817</c:v>
                </c:pt>
                <c:pt idx="466">
                  <c:v>-3.3406855366574337</c:v>
                </c:pt>
                <c:pt idx="467">
                  <c:v>-3.3928816121216832</c:v>
                </c:pt>
                <c:pt idx="468">
                  <c:v>-3.4448216602654682</c:v>
                </c:pt>
                <c:pt idx="469">
                  <c:v>-3.4976901272183856</c:v>
                </c:pt>
                <c:pt idx="470">
                  <c:v>-3.5502984464381764</c:v>
                </c:pt>
                <c:pt idx="471">
                  <c:v>-3.6026504442300746</c:v>
                </c:pt>
                <c:pt idx="472">
                  <c:v>-3.6547498898112396</c:v>
                </c:pt>
                <c:pt idx="473">
                  <c:v>-3.7078357082375497</c:v>
                </c:pt>
                <c:pt idx="474">
                  <c:v>-3.7606645878046345</c:v>
                </c:pt>
                <c:pt idx="475">
                  <c:v>-3.8132403969830313</c:v>
                </c:pt>
                <c:pt idx="476">
                  <c:v>-3.8655669472662932</c:v>
                </c:pt>
                <c:pt idx="477">
                  <c:v>-3.9188598129370873</c:v>
                </c:pt>
                <c:pt idx="478">
                  <c:v>-3.971899555741933</c:v>
                </c:pt>
                <c:pt idx="479">
                  <c:v>-4.0246900835137014</c:v>
                </c:pt>
                <c:pt idx="480">
                  <c:v>-4.077235247324893</c:v>
                </c:pt>
                <c:pt idx="481">
                  <c:v>-4.1307281614148836</c:v>
                </c:pt>
                <c:pt idx="482">
                  <c:v>-4.1839723724173776</c:v>
                </c:pt>
                <c:pt idx="483">
                  <c:v>-4.2369718251008806</c:v>
                </c:pt>
                <c:pt idx="484">
                  <c:v>-4.2897304077778884</c:v>
                </c:pt>
                <c:pt idx="485">
                  <c:v>-4.3434561689413131</c:v>
                </c:pt>
                <c:pt idx="486">
                  <c:v>-4.3969379186963202</c:v>
                </c:pt>
                <c:pt idx="487">
                  <c:v>-4.4501796447273438</c:v>
                </c:pt>
                <c:pt idx="488">
                  <c:v>-4.5031852784841826</c:v>
                </c:pt>
                <c:pt idx="489">
                  <c:v>-4.5572132610863587</c:v>
                </c:pt>
                <c:pt idx="490">
                  <c:v>-4.6110019324657863</c:v>
                </c:pt>
                <c:pt idx="491">
                  <c:v>-4.6645553370354742</c:v>
                </c:pt>
                <c:pt idx="492">
                  <c:v>-4.7178774629589979</c:v>
                </c:pt>
                <c:pt idx="493">
                  <c:v>-4.7722051511525985</c:v>
                </c:pt>
                <c:pt idx="494">
                  <c:v>-4.8262989453713745</c:v>
                </c:pt>
                <c:pt idx="495">
                  <c:v>-4.880162944134522</c:v>
                </c:pt>
                <c:pt idx="496">
                  <c:v>-4.9338011897537921</c:v>
                </c:pt>
                <c:pt idx="497">
                  <c:v>-4.9884645553435174</c:v>
                </c:pt>
                <c:pt idx="498">
                  <c:v>-5.0428998741634015</c:v>
                </c:pt>
                <c:pt idx="499">
                  <c:v>-5.0971113042138603</c:v>
                </c:pt>
                <c:pt idx="500">
                  <c:v>-5.1511029472182326</c:v>
                </c:pt>
                <c:pt idx="501">
                  <c:v>-5.2061395956509955</c:v>
                </c:pt>
                <c:pt idx="502">
                  <c:v>-5.2609545283579759</c:v>
                </c:pt>
                <c:pt idx="503">
                  <c:v>-5.315551967876246</c:v>
                </c:pt>
                <c:pt idx="504">
                  <c:v>-5.369936080266501</c:v>
                </c:pt>
                <c:pt idx="505">
                  <c:v>-5.425352020846975</c:v>
                </c:pt>
                <c:pt idx="506">
                  <c:v>-5.4805533723366517</c:v>
                </c:pt>
                <c:pt idx="507">
                  <c:v>-5.5355444187007565</c:v>
                </c:pt>
                <c:pt idx="508">
                  <c:v>-5.5903293872121873</c:v>
                </c:pt>
                <c:pt idx="509">
                  <c:v>-5.6461679292650064</c:v>
                </c:pt>
                <c:pt idx="510">
                  <c:v>-5.7017995602636438</c:v>
                </c:pt>
                <c:pt idx="511">
                  <c:v>-5.7572286299369626</c:v>
                </c:pt>
                <c:pt idx="512">
                  <c:v>-5.8124594309170687</c:v>
                </c:pt>
                <c:pt idx="513">
                  <c:v>-5.8687988412958747</c:v>
                </c:pt>
                <c:pt idx="514">
                  <c:v>-5.9249393948257625</c:v>
                </c:pt>
                <c:pt idx="515">
                  <c:v>-5.9808855182417853</c:v>
                </c:pt>
                <c:pt idx="516">
                  <c:v>-6.0366415804235052</c:v>
                </c:pt>
                <c:pt idx="517">
                  <c:v>-6.093496821374849</c:v>
                </c:pt>
                <c:pt idx="518">
                  <c:v>-6.1501621673395857</c:v>
                </c:pt>
                <c:pt idx="519">
                  <c:v>-6.2066421169241242</c:v>
                </c:pt>
                <c:pt idx="520">
                  <c:v>-6.2629411099953236</c:v>
                </c:pt>
                <c:pt idx="521">
                  <c:v>-6.320363685390439</c:v>
                </c:pt>
                <c:pt idx="522">
                  <c:v>-6.3776060299962891</c:v>
                </c:pt>
                <c:pt idx="523">
                  <c:v>-6.4346727158182473</c:v>
                </c:pt>
                <c:pt idx="524">
                  <c:v>-6.4915682549293452</c:v>
                </c:pt>
                <c:pt idx="525">
                  <c:v>-6.5496129707965958</c:v>
                </c:pt>
                <c:pt idx="526">
                  <c:v>-6.607487866271228</c:v>
                </c:pt>
                <c:pt idx="527">
                  <c:v>-6.6651975868386408</c:v>
                </c:pt>
                <c:pt idx="528">
                  <c:v>-6.7227467164972357</c:v>
                </c:pt>
                <c:pt idx="529">
                  <c:v>-6.7814719596171695</c:v>
                </c:pt>
                <c:pt idx="530">
                  <c:v>-6.8400385773646306</c:v>
                </c:pt>
                <c:pt idx="531">
                  <c:v>-6.8984512870079007</c:v>
                </c:pt>
                <c:pt idx="532">
                  <c:v>-6.9567147423521289</c:v>
                </c:pt>
                <c:pt idx="533">
                  <c:v>-7.0162133993755171</c:v>
                </c:pt>
                <c:pt idx="534">
                  <c:v>-7.0755652929940744</c:v>
                </c:pt>
                <c:pt idx="535">
                  <c:v>-7.1347752157663811</c:v>
                </c:pt>
                <c:pt idx="536">
                  <c:v>-7.1938478941898829</c:v>
                </c:pt>
                <c:pt idx="537">
                  <c:v>-7.2541246515950615</c:v>
                </c:pt>
                <c:pt idx="538">
                  <c:v>-7.3142676532702104</c:v>
                </c:pt>
                <c:pt idx="539">
                  <c:v>-7.3742817457529455</c:v>
                </c:pt>
                <c:pt idx="540">
                  <c:v>-7.4341717066382493</c:v>
                </c:pt>
                <c:pt idx="541">
                  <c:v>-7.4953581978539567</c:v>
                </c:pt>
                <c:pt idx="542">
                  <c:v>-7.5564245147318099</c:v>
                </c:pt>
                <c:pt idx="543">
                  <c:v>-7.6173755629809348</c:v>
                </c:pt>
                <c:pt idx="544">
                  <c:v>-7.6782161755797471</c:v>
                </c:pt>
                <c:pt idx="545">
                  <c:v>-7.7403567701632516</c:v>
                </c:pt>
                <c:pt idx="546">
                  <c:v>-7.8023917593112193</c:v>
                </c:pt>
                <c:pt idx="547">
                  <c:v>-7.8643260873798093</c:v>
                </c:pt>
                <c:pt idx="548">
                  <c:v>-7.9261646216483816</c:v>
                </c:pt>
                <c:pt idx="549">
                  <c:v>-7.9893388028401873</c:v>
                </c:pt>
                <c:pt idx="550">
                  <c:v>-8.0524227723159552</c:v>
                </c:pt>
                <c:pt idx="551">
                  <c:v>-8.1154214958819999</c:v>
                </c:pt>
                <c:pt idx="552">
                  <c:v>-8.1783398571597594</c:v>
                </c:pt>
                <c:pt idx="553">
                  <c:v>-8.2426611365934281</c:v>
                </c:pt>
                <c:pt idx="554">
                  <c:v>-8.3069083169286966</c:v>
                </c:pt>
                <c:pt idx="555">
                  <c:v>-8.3710863703952381</c:v>
                </c:pt>
                <c:pt idx="556">
                  <c:v>-8.4352001809534727</c:v>
                </c:pt>
                <c:pt idx="557">
                  <c:v>-8.5662556460143939</c:v>
                </c:pt>
                <c:pt idx="558">
                  <c:v>-8.6971019312981266</c:v>
                </c:pt>
                <c:pt idx="559">
                  <c:v>-8.8307710594842206</c:v>
                </c:pt>
                <c:pt idx="560">
                  <c:v>-8.9643010919026818</c:v>
                </c:pt>
                <c:pt idx="561">
                  <c:v>-9.1008947012133881</c:v>
                </c:pt>
                <c:pt idx="562">
                  <c:v>-9.2374211159072441</c:v>
                </c:pt>
                <c:pt idx="563">
                  <c:v>-9.3768464639311269</c:v>
                </c:pt>
                <c:pt idx="564">
                  <c:v>-9.5162780056811016</c:v>
                </c:pt>
                <c:pt idx="565">
                  <c:v>-9.6592684044125345</c:v>
                </c:pt>
                <c:pt idx="566">
                  <c:v>-9.8023391777047664</c:v>
                </c:pt>
                <c:pt idx="567">
                  <c:v>-9.9490472610535541</c:v>
                </c:pt>
                <c:pt idx="568">
                  <c:v>-10.095910253185805</c:v>
                </c:pt>
                <c:pt idx="569">
                  <c:v>-10.245903565720267</c:v>
                </c:pt>
                <c:pt idx="570">
                  <c:v>-10.396123464111245</c:v>
                </c:pt>
                <c:pt idx="571">
                  <c:v>-10.550733933423</c:v>
                </c:pt>
                <c:pt idx="572">
                  <c:v>-10.705643870358214</c:v>
                </c:pt>
                <c:pt idx="573">
                  <c:v>-10.863845722504646</c:v>
                </c:pt>
                <c:pt idx="574">
                  <c:v>-11.022411553753715</c:v>
                </c:pt>
                <c:pt idx="575">
                  <c:v>-11.185536631576188</c:v>
                </c:pt>
                <c:pt idx="576">
                  <c:v>-11.349090236478601</c:v>
                </c:pt>
                <c:pt idx="577">
                  <c:v>-12.046626758796625</c:v>
                </c:pt>
                <c:pt idx="578">
                  <c:v>-12.752957505880971</c:v>
                </c:pt>
                <c:pt idx="579">
                  <c:v>-14.330801632295518</c:v>
                </c:pt>
                <c:pt idx="580">
                  <c:v>-16.098970774842986</c:v>
                </c:pt>
                <c:pt idx="581">
                  <c:v>-18.054115546106161</c:v>
                </c:pt>
                <c:pt idx="582">
                  <c:v>-20.18230531081624</c:v>
                </c:pt>
                <c:pt idx="583">
                  <c:v>-22.457157870312017</c:v>
                </c:pt>
                <c:pt idx="584">
                  <c:v>-24.852050075417644</c:v>
                </c:pt>
                <c:pt idx="585">
                  <c:v>-27.338771158055259</c:v>
                </c:pt>
                <c:pt idx="586">
                  <c:v>-29.894958464105144</c:v>
                </c:pt>
                <c:pt idx="587">
                  <c:v>-32.50417433579323</c:v>
                </c:pt>
                <c:pt idx="588">
                  <c:v>-35.150417476207714</c:v>
                </c:pt>
                <c:pt idx="589">
                  <c:v>-37.825618088487403</c:v>
                </c:pt>
                <c:pt idx="590">
                  <c:v>-40.520883547178073</c:v>
                </c:pt>
                <c:pt idx="591">
                  <c:v>-43.230012462536955</c:v>
                </c:pt>
                <c:pt idx="592">
                  <c:v>-45.947067065061191</c:v>
                </c:pt>
                <c:pt idx="593">
                  <c:v>-48.667794309677731</c:v>
                </c:pt>
                <c:pt idx="594">
                  <c:v>-51.386765901058524</c:v>
                </c:pt>
                <c:pt idx="595">
                  <c:v>-54.100146156021836</c:v>
                </c:pt>
                <c:pt idx="596">
                  <c:v>-56.803388694743632</c:v>
                </c:pt>
                <c:pt idx="597">
                  <c:v>-59.493567006465128</c:v>
                </c:pt>
                <c:pt idx="598">
                  <c:v>-62.167111337138998</c:v>
                </c:pt>
                <c:pt idx="599">
                  <c:v>-64.822480445464393</c:v>
                </c:pt>
                <c:pt idx="600">
                  <c:v>-67.457764430879422</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-53.059921850532632</c:v>
                </c:pt>
                <c:pt idx="1">
                  <c:v>-55.566887066393193</c:v>
                </c:pt>
                <c:pt idx="2">
                  <c:v>-57.992966245341954</c:v>
                </c:pt>
                <c:pt idx="3">
                  <c:v>-60.324323799884255</c:v>
                </c:pt>
                <c:pt idx="4">
                  <c:v>-62.548773180232232</c:v>
                </c:pt>
                <c:pt idx="5">
                  <c:v>-64.662257105788299</c:v>
                </c:pt>
                <c:pt idx="6">
                  <c:v>-66.656869745436083</c:v>
                </c:pt>
                <c:pt idx="7">
                  <c:v>-68.531759402396801</c:v>
                </c:pt>
                <c:pt idx="8">
                  <c:v>-70.285654120605841</c:v>
                </c:pt>
                <c:pt idx="9">
                  <c:v>-71.921826355848864</c:v>
                </c:pt>
                <c:pt idx="10">
                  <c:v>-73.44271304340387</c:v>
                </c:pt>
                <c:pt idx="11">
                  <c:v>-74.85308829636557</c:v>
                </c:pt>
                <c:pt idx="12">
                  <c:v>-76.158932910447845</c:v>
                </c:pt>
                <c:pt idx="13">
                  <c:v>-77.364810887540045</c:v>
                </c:pt>
                <c:pt idx="14">
                  <c:v>-78.477822360699165</c:v>
                </c:pt>
                <c:pt idx="15">
                  <c:v>-79.503733589291301</c:v>
                </c:pt>
                <c:pt idx="16">
                  <c:v>-80.448844640810634</c:v>
                </c:pt>
                <c:pt idx="17">
                  <c:v>-81.31912375345361</c:v>
                </c:pt>
                <c:pt idx="18">
                  <c:v>-82.120717990108304</c:v>
                </c:pt>
                <c:pt idx="19">
                  <c:v>-82.859063847130955</c:v>
                </c:pt>
                <c:pt idx="20">
                  <c:v>-83.539698772500245</c:v>
                </c:pt>
                <c:pt idx="21">
                  <c:v>-84.167589022448411</c:v>
                </c:pt>
                <c:pt idx="22">
                  <c:v>-84.747684776791715</c:v>
                </c:pt>
                <c:pt idx="23">
                  <c:v>-85.284375200341898</c:v>
                </c:pt>
                <c:pt idx="24">
                  <c:v>-85.782054648723189</c:v>
                </c:pt>
                <c:pt idx="25">
                  <c:v>-86.244637136806318</c:v>
                </c:pt>
                <c:pt idx="26">
                  <c:v>-86.675975643718147</c:v>
                </c:pt>
                <c:pt idx="27">
                  <c:v>-87.079457970773859</c:v>
                </c:pt>
                <c:pt idx="28">
                  <c:v>-87.45843168958443</c:v>
                </c:pt>
                <c:pt idx="29">
                  <c:v>-87.815825246160387</c:v>
                </c:pt>
                <c:pt idx="30">
                  <c:v>-88.155209533166115</c:v>
                </c:pt>
                <c:pt idx="31">
                  <c:v>-88.478927228239925</c:v>
                </c:pt>
                <c:pt idx="32">
                  <c:v>-88.789913514731865</c:v>
                </c:pt>
                <c:pt idx="33">
                  <c:v>-89.090558928296701</c:v>
                </c:pt>
                <c:pt idx="34">
                  <c:v>-89.383625014126778</c:v>
                </c:pt>
                <c:pt idx="35">
                  <c:v>-89.671410826482614</c:v>
                </c:pt>
                <c:pt idx="36">
                  <c:v>-89.956384582230811</c:v>
                </c:pt>
                <c:pt idx="37">
                  <c:v>-90.241097719431153</c:v>
                </c:pt>
                <c:pt idx="38">
                  <c:v>-90.52767234758187</c:v>
                </c:pt>
                <c:pt idx="39">
                  <c:v>-90.818746393009604</c:v>
                </c:pt>
                <c:pt idx="40">
                  <c:v>-91.11665108072792</c:v>
                </c:pt>
                <c:pt idx="41">
                  <c:v>-91.423902047452401</c:v>
                </c:pt>
                <c:pt idx="42">
                  <c:v>-91.743014399650789</c:v>
                </c:pt>
                <c:pt idx="43">
                  <c:v>-92.07672938344345</c:v>
                </c:pt>
                <c:pt idx="44">
                  <c:v>-92.427711213615709</c:v>
                </c:pt>
                <c:pt idx="45">
                  <c:v>-92.798904957154519</c:v>
                </c:pt>
                <c:pt idx="46">
                  <c:v>-93.193248291610459</c:v>
                </c:pt>
                <c:pt idx="47">
                  <c:v>-93.613993808306603</c:v>
                </c:pt>
                <c:pt idx="48">
                  <c:v>-94.064371514268785</c:v>
                </c:pt>
                <c:pt idx="49">
                  <c:v>-94.5480093757741</c:v>
                </c:pt>
                <c:pt idx="50">
                  <c:v>-95.068536449898886</c:v>
                </c:pt>
                <c:pt idx="51">
                  <c:v>-95.629971930374538</c:v>
                </c:pt>
                <c:pt idx="52">
                  <c:v>-96.236213270729223</c:v>
                </c:pt>
                <c:pt idx="53">
                  <c:v>-96.891509526116764</c:v>
                </c:pt>
                <c:pt idx="54">
                  <c:v>-97.599770424790648</c:v>
                </c:pt>
                <c:pt idx="55">
                  <c:v>-98.366694943966991</c:v>
                </c:pt>
                <c:pt idx="56">
                  <c:v>-99.195774935971642</c:v>
                </c:pt>
                <c:pt idx="57">
                  <c:v>-100.0920220610644</c:v>
                </c:pt>
                <c:pt idx="58">
                  <c:v>-101.05906690478032</c:v>
                </c:pt>
                <c:pt idx="59">
                  <c:v>-102.10160189768034</c:v>
                </c:pt>
                <c:pt idx="60">
                  <c:v>-103.22248052898649</c:v>
                </c:pt>
                <c:pt idx="61">
                  <c:v>-104.42449201637179</c:v>
                </c:pt>
                <c:pt idx="62">
                  <c:v>-105.70991576510644</c:v>
                </c:pt>
                <c:pt idx="63">
                  <c:v>-107.07769559888841</c:v>
                </c:pt>
                <c:pt idx="64">
                  <c:v>-108.5272871225299</c:v>
                </c:pt>
                <c:pt idx="65">
                  <c:v>-110.05434611055406</c:v>
                </c:pt>
                <c:pt idx="66">
                  <c:v>-111.65256622979764</c:v>
                </c:pt>
                <c:pt idx="67">
                  <c:v>-113.31231597996961</c:v>
                </c:pt>
                <c:pt idx="68">
                  <c:v>-115.02143550639892</c:v>
                </c:pt>
                <c:pt idx="69">
                  <c:v>-116.76343153130549</c:v>
                </c:pt>
                <c:pt idx="70">
                  <c:v>-118.51925781462418</c:v>
                </c:pt>
                <c:pt idx="71">
                  <c:v>-120.26608065107391</c:v>
                </c:pt>
                <c:pt idx="72">
                  <c:v>-121.97921751334491</c:v>
                </c:pt>
                <c:pt idx="73">
                  <c:v>-123.63135637104934</c:v>
                </c:pt>
                <c:pt idx="74">
                  <c:v>-125.19511012818356</c:v>
                </c:pt>
                <c:pt idx="75">
                  <c:v>-126.64253871310413</c:v>
                </c:pt>
                <c:pt idx="76">
                  <c:v>-127.94744338685136</c:v>
                </c:pt>
                <c:pt idx="77">
                  <c:v>-129.08508864013146</c:v>
                </c:pt>
                <c:pt idx="78">
                  <c:v>-130.03436197854742</c:v>
                </c:pt>
                <c:pt idx="79">
                  <c:v>-130.77752823599138</c:v>
                </c:pt>
                <c:pt idx="80">
                  <c:v>-131.30273108419391</c:v>
                </c:pt>
                <c:pt idx="81">
                  <c:v>-131.60076405298369</c:v>
                </c:pt>
                <c:pt idx="82">
                  <c:v>-131.66856317586456</c:v>
                </c:pt>
                <c:pt idx="83">
                  <c:v>-131.50790273740188</c:v>
                </c:pt>
                <c:pt idx="84">
                  <c:v>-131.12552640071888</c:v>
                </c:pt>
                <c:pt idx="85">
                  <c:v>-130.53338041763755</c:v>
                </c:pt>
                <c:pt idx="86">
                  <c:v>-129.74790711048752</c:v>
                </c:pt>
                <c:pt idx="87">
                  <c:v>-128.78928102878592</c:v>
                </c:pt>
                <c:pt idx="88">
                  <c:v>-127.68278888428279</c:v>
                </c:pt>
                <c:pt idx="89">
                  <c:v>-126.4548551265882</c:v>
                </c:pt>
                <c:pt idx="90">
                  <c:v>-125.13515695237183</c:v>
                </c:pt>
                <c:pt idx="91">
                  <c:v>-123.7538076007139</c:v>
                </c:pt>
                <c:pt idx="92">
                  <c:v>-122.3411322916091</c:v>
                </c:pt>
                <c:pt idx="93">
                  <c:v>-120.92577040978608</c:v>
                </c:pt>
                <c:pt idx="94">
                  <c:v>-120.57492176693357</c:v>
                </c:pt>
                <c:pt idx="95">
                  <c:v>-120.39912566156528</c:v>
                </c:pt>
                <c:pt idx="96">
                  <c:v>-120.22587732765193</c:v>
                </c:pt>
                <c:pt idx="97">
                  <c:v>-120.05123229447533</c:v>
                </c:pt>
                <c:pt idx="98">
                  <c:v>-119.87921717931707</c:v>
                </c:pt>
                <c:pt idx="99">
                  <c:v>-119.70587147940176</c:v>
                </c:pt>
                <c:pt idx="100">
                  <c:v>-119.53523417520029</c:v>
                </c:pt>
                <c:pt idx="101">
                  <c:v>-119.36346485358111</c:v>
                </c:pt>
                <c:pt idx="102">
                  <c:v>-119.19447453187345</c:v>
                </c:pt>
                <c:pt idx="103">
                  <c:v>-119.02429725274975</c:v>
                </c:pt>
                <c:pt idx="104">
                  <c:v>-118.85696991701464</c:v>
                </c:pt>
                <c:pt idx="105">
                  <c:v>-118.68865546642387</c:v>
                </c:pt>
                <c:pt idx="106">
                  <c:v>-118.52325387239114</c:v>
                </c:pt>
                <c:pt idx="107">
                  <c:v>-118.35705681076773</c:v>
                </c:pt>
                <c:pt idx="108">
                  <c:v>-118.19382749711228</c:v>
                </c:pt>
                <c:pt idx="109">
                  <c:v>-118.02987528586731</c:v>
                </c:pt>
                <c:pt idx="110">
                  <c:v>-117.86894184921427</c:v>
                </c:pt>
                <c:pt idx="111">
                  <c:v>-117.70725519944456</c:v>
                </c:pt>
                <c:pt idx="112">
                  <c:v>-117.54863850966434</c:v>
                </c:pt>
                <c:pt idx="113">
                  <c:v>-117.38945859880235</c:v>
                </c:pt>
                <c:pt idx="114">
                  <c:v>-117.23339176359673</c:v>
                </c:pt>
                <c:pt idx="115">
                  <c:v>-117.07684402326466</c:v>
                </c:pt>
                <c:pt idx="116">
                  <c:v>-116.92344852525669</c:v>
                </c:pt>
                <c:pt idx="117">
                  <c:v>-116.76965699026779</c:v>
                </c:pt>
                <c:pt idx="118">
                  <c:v>-116.61905289967916</c:v>
                </c:pt>
                <c:pt idx="119">
                  <c:v>-116.46823032595955</c:v>
                </c:pt>
                <c:pt idx="120">
                  <c:v>-116.32062256195231</c:v>
                </c:pt>
                <c:pt idx="121">
                  <c:v>-116.17287748870645</c:v>
                </c:pt>
                <c:pt idx="122">
                  <c:v>-116.02837081167711</c:v>
                </c:pt>
                <c:pt idx="123">
                  <c:v>-115.88372689181729</c:v>
                </c:pt>
                <c:pt idx="124">
                  <c:v>-115.74234494012423</c:v>
                </c:pt>
                <c:pt idx="125">
                  <c:v>-115.60099656334432</c:v>
                </c:pt>
                <c:pt idx="126">
                  <c:v>-115.4629261232662</c:v>
                </c:pt>
                <c:pt idx="127">
                  <c:v>-115.3249745480458</c:v>
                </c:pt>
                <c:pt idx="128">
                  <c:v>-115.19031319532884</c:v>
                </c:pt>
                <c:pt idx="129">
                  <c:v>-115.05585679731529</c:v>
                </c:pt>
                <c:pt idx="130">
                  <c:v>-114.92469927660314</c:v>
                </c:pt>
                <c:pt idx="131">
                  <c:v>-114.79383332782515</c:v>
                </c:pt>
                <c:pt idx="132">
                  <c:v>-114.72964396771076</c:v>
                </c:pt>
                <c:pt idx="133">
                  <c:v>-114.66627134113756</c:v>
                </c:pt>
                <c:pt idx="134">
                  <c:v>-114.60222878994024</c:v>
                </c:pt>
                <c:pt idx="135">
                  <c:v>-114.53902301304026</c:v>
                </c:pt>
                <c:pt idx="136">
                  <c:v>-114.47664443871081</c:v>
                </c:pt>
                <c:pt idx="137">
                  <c:v>-114.41508360700574</c:v>
                </c:pt>
                <c:pt idx="138">
                  <c:v>-114.35296116960951</c:v>
                </c:pt>
                <c:pt idx="139">
                  <c:v>-114.29167437044794</c:v>
                </c:pt>
                <c:pt idx="140">
                  <c:v>-114.23121344988239</c:v>
                </c:pt>
                <c:pt idx="141">
                  <c:v>-114.17156876806209</c:v>
                </c:pt>
                <c:pt idx="142">
                  <c:v>-114.11134526937506</c:v>
                </c:pt>
                <c:pt idx="143">
                  <c:v>-114.05195711678377</c:v>
                </c:pt>
                <c:pt idx="144">
                  <c:v>-113.9933943531031</c:v>
                </c:pt>
                <c:pt idx="145">
                  <c:v>-113.9356471489825</c:v>
                </c:pt>
                <c:pt idx="146">
                  <c:v>-113.87739627854437</c:v>
                </c:pt>
                <c:pt idx="147">
                  <c:v>-113.81997877555446</c:v>
                </c:pt>
                <c:pt idx="148">
                  <c:v>-113.76338452009799</c:v>
                </c:pt>
                <c:pt idx="149">
                  <c:v>-113.70760352744234</c:v>
                </c:pt>
                <c:pt idx="150">
                  <c:v>-113.65136421374781</c:v>
                </c:pt>
                <c:pt idx="151">
                  <c:v>-113.59595548744267</c:v>
                </c:pt>
                <c:pt idx="152">
                  <c:v>-113.54136708559044</c:v>
                </c:pt>
                <c:pt idx="153">
                  <c:v>-113.48758888731898</c:v>
                </c:pt>
                <c:pt idx="154">
                  <c:v>-113.43337334505449</c:v>
                </c:pt>
                <c:pt idx="155">
                  <c:v>-113.37998559396912</c:v>
                </c:pt>
                <c:pt idx="156">
                  <c:v>-113.32741523332818</c:v>
                </c:pt>
                <c:pt idx="157">
                  <c:v>-113.27565201114277</c:v>
                </c:pt>
                <c:pt idx="158">
                  <c:v>-113.2234996905671</c:v>
                </c:pt>
                <c:pt idx="159">
                  <c:v>-113.17217156211166</c:v>
                </c:pt>
                <c:pt idx="160">
                  <c:v>-113.12165710704045</c:v>
                </c:pt>
                <c:pt idx="161">
                  <c:v>-113.07194596157146</c:v>
                </c:pt>
                <c:pt idx="162">
                  <c:v>-113.02191586516531</c:v>
                </c:pt>
                <c:pt idx="163">
                  <c:v>-112.97270487642999</c:v>
                </c:pt>
                <c:pt idx="164">
                  <c:v>-112.92430239201414</c:v>
                </c:pt>
                <c:pt idx="165">
                  <c:v>-112.87669796896843</c:v>
                </c:pt>
                <c:pt idx="166">
                  <c:v>-112.82878004216467</c:v>
                </c:pt>
                <c:pt idx="167">
                  <c:v>-112.78167685191924</c:v>
                </c:pt>
                <c:pt idx="168">
                  <c:v>-112.73537770137429</c:v>
                </c:pt>
                <c:pt idx="169">
                  <c:v>-112.68987205960173</c:v>
                </c:pt>
                <c:pt idx="170">
                  <c:v>-112.64419835619668</c:v>
                </c:pt>
                <c:pt idx="171">
                  <c:v>-112.59933089029283</c:v>
                </c:pt>
                <c:pt idx="172">
                  <c:v>-112.55525895803113</c:v>
                </c:pt>
                <c:pt idx="173">
                  <c:v>-112.51197202510465</c:v>
                </c:pt>
                <c:pt idx="174">
                  <c:v>-112.4683979064063</c:v>
                </c:pt>
                <c:pt idx="175">
                  <c:v>-112.42562697717403</c:v>
                </c:pt>
                <c:pt idx="176">
                  <c:v>-112.38364842317041</c:v>
                </c:pt>
                <c:pt idx="177">
                  <c:v>-112.34245160541731</c:v>
                </c:pt>
                <c:pt idx="178">
                  <c:v>-112.30104161449232</c:v>
                </c:pt>
                <c:pt idx="179">
                  <c:v>-112.26043021795289</c:v>
                </c:pt>
                <c:pt idx="180">
                  <c:v>-112.22060652561518</c:v>
                </c:pt>
                <c:pt idx="181">
                  <c:v>-112.18155982747565</c:v>
                </c:pt>
                <c:pt idx="182">
                  <c:v>-112.1425217322699</c:v>
                </c:pt>
                <c:pt idx="183">
                  <c:v>-112.10427007255248</c:v>
                </c:pt>
                <c:pt idx="184">
                  <c:v>-112.06679404178549</c:v>
                </c:pt>
                <c:pt idx="185">
                  <c:v>-112.03008301490364</c:v>
                </c:pt>
                <c:pt idx="186">
                  <c:v>-111.99315004733653</c:v>
                </c:pt>
                <c:pt idx="187">
                  <c:v>-111.95700249412742</c:v>
                </c:pt>
                <c:pt idx="188">
                  <c:v>-111.92162940781807</c:v>
                </c:pt>
                <c:pt idx="189">
                  <c:v>-111.88702002865767</c:v>
                </c:pt>
                <c:pt idx="190">
                  <c:v>-111.85252492467636</c:v>
                </c:pt>
                <c:pt idx="191">
                  <c:v>-111.81880097301554</c:v>
                </c:pt>
                <c:pt idx="192">
                  <c:v>-111.78583736520858</c:v>
                </c:pt>
                <c:pt idx="193">
                  <c:v>-111.75362348027349</c:v>
                </c:pt>
                <c:pt idx="194">
                  <c:v>-111.72133355584434</c:v>
                </c:pt>
                <c:pt idx="195">
                  <c:v>-111.68981110789335</c:v>
                </c:pt>
                <c:pt idx="196">
                  <c:v>-111.65904525014753</c:v>
                </c:pt>
                <c:pt idx="197">
                  <c:v>-111.62902528849858</c:v>
                </c:pt>
                <c:pt idx="198">
                  <c:v>-111.59910759908236</c:v>
                </c:pt>
                <c:pt idx="199">
                  <c:v>-111.56994684824375</c:v>
                </c:pt>
                <c:pt idx="200">
                  <c:v>-111.54153222126156</c:v>
                </c:pt>
                <c:pt idx="201">
                  <c:v>-111.51385309669172</c:v>
                </c:pt>
                <c:pt idx="202">
                  <c:v>-111.48632931477229</c:v>
                </c:pt>
                <c:pt idx="203">
                  <c:v>-111.45955109388413</c:v>
                </c:pt>
                <c:pt idx="204">
                  <c:v>-111.43350771443224</c:v>
                </c:pt>
                <c:pt idx="205">
                  <c:v>-111.408188650532</c:v>
                </c:pt>
                <c:pt idx="206">
                  <c:v>-111.38299020877643</c:v>
                </c:pt>
                <c:pt idx="207">
                  <c:v>-111.35853021329613</c:v>
                </c:pt>
                <c:pt idx="208">
                  <c:v>-111.33479795279071</c:v>
                </c:pt>
                <c:pt idx="209">
                  <c:v>-111.31178291210226</c:v>
                </c:pt>
                <c:pt idx="210">
                  <c:v>-111.28887548948416</c:v>
                </c:pt>
                <c:pt idx="211">
                  <c:v>-111.2667031078133</c:v>
                </c:pt>
                <c:pt idx="212">
                  <c:v>-111.24525498644681</c:v>
                </c:pt>
                <c:pt idx="213">
                  <c:v>-111.22452054518568</c:v>
                </c:pt>
                <c:pt idx="214">
                  <c:v>-111.20409718727747</c:v>
                </c:pt>
                <c:pt idx="215">
                  <c:v>-111.1843946320313</c:v>
                </c:pt>
                <c:pt idx="216">
                  <c:v>-111.16540227071867</c:v>
                </c:pt>
                <c:pt idx="217">
                  <c:v>-111.14710969333181</c:v>
                </c:pt>
                <c:pt idx="218">
                  <c:v>-111.1291132743103</c:v>
                </c:pt>
                <c:pt idx="219">
                  <c:v>-111.11182750426727</c:v>
                </c:pt>
                <c:pt idx="220">
                  <c:v>-111.09524186198423</c:v>
                </c:pt>
                <c:pt idx="221">
                  <c:v>-111.07934602523295</c:v>
                </c:pt>
                <c:pt idx="222">
                  <c:v>-111.06379832088102</c:v>
                </c:pt>
                <c:pt idx="223">
                  <c:v>-111.04895032242455</c:v>
                </c:pt>
                <c:pt idx="224">
                  <c:v>-111.03479161839407</c:v>
                </c:pt>
                <c:pt idx="225">
                  <c:v>-111.02131199593465</c:v>
                </c:pt>
                <c:pt idx="226">
                  <c:v>-111.0081906299675</c:v>
                </c:pt>
                <c:pt idx="227">
                  <c:v>-110.99576151251352</c:v>
                </c:pt>
                <c:pt idx="228">
                  <c:v>-110.98401426856429</c:v>
                </c:pt>
                <c:pt idx="229">
                  <c:v>-110.9729387231426</c:v>
                </c:pt>
                <c:pt idx="230">
                  <c:v>-110.95230471373161</c:v>
                </c:pt>
                <c:pt idx="231">
                  <c:v>-110.94300305859777</c:v>
                </c:pt>
                <c:pt idx="232">
                  <c:v>-110.93436475445753</c:v>
                </c:pt>
                <c:pt idx="233">
                  <c:v>-110.9261981942294</c:v>
                </c:pt>
                <c:pt idx="234">
                  <c:v>-110.91870603210251</c:v>
                </c:pt>
                <c:pt idx="235">
                  <c:v>-110.91187804327488</c:v>
                </c:pt>
                <c:pt idx="236">
                  <c:v>-110.90570420367013</c:v>
                </c:pt>
                <c:pt idx="237">
                  <c:v>-110.90006909386051</c:v>
                </c:pt>
                <c:pt idx="238">
                  <c:v>-110.89509448448668</c:v>
                </c:pt>
                <c:pt idx="239">
                  <c:v>-110.89077034510778</c:v>
                </c:pt>
                <c:pt idx="240">
                  <c:v>-110.88708684313646</c:v>
                </c:pt>
                <c:pt idx="241">
                  <c:v>-110.88396448114611</c:v>
                </c:pt>
                <c:pt idx="242">
                  <c:v>-110.88149560574377</c:v>
                </c:pt>
                <c:pt idx="243">
                  <c:v>-110.87967022893508</c:v>
                </c:pt>
                <c:pt idx="244">
                  <c:v>-110.87847856162443</c:v>
                </c:pt>
                <c:pt idx="245">
                  <c:v>-110.87790542804073</c:v>
                </c:pt>
                <c:pt idx="246">
                  <c:v>-110.87797433546443</c:v>
                </c:pt>
                <c:pt idx="247">
                  <c:v>-110.87867544346058</c:v>
                </c:pt>
                <c:pt idx="248">
                  <c:v>-110.87999910870415</c:v>
                </c:pt>
                <c:pt idx="249">
                  <c:v>-110.88199069939296</c:v>
                </c:pt>
                <c:pt idx="250">
                  <c:v>-110.88461571436905</c:v>
                </c:pt>
                <c:pt idx="251">
                  <c:v>-110.88786440021225</c:v>
                </c:pt>
                <c:pt idx="252">
                  <c:v>-110.89172720037462</c:v>
                </c:pt>
                <c:pt idx="253">
                  <c:v>-110.89629576951353</c:v>
                </c:pt>
                <c:pt idx="254">
                  <c:v>-110.90148518801675</c:v>
                </c:pt>
                <c:pt idx="255">
                  <c:v>-110.90728588478414</c:v>
                </c:pt>
                <c:pt idx="256">
                  <c:v>-110.91368848273167</c:v>
                </c:pt>
                <c:pt idx="257">
                  <c:v>-110.92087281509936</c:v>
                </c:pt>
                <c:pt idx="258">
                  <c:v>-110.92867125148885</c:v>
                </c:pt>
                <c:pt idx="259">
                  <c:v>-110.93707427287653</c:v>
                </c:pt>
                <c:pt idx="260">
                  <c:v>-110.94607255485646</c:v>
                </c:pt>
                <c:pt idx="261">
                  <c:v>-110.95588153173449</c:v>
                </c:pt>
                <c:pt idx="262">
                  <c:v>-110.96629400887292</c:v>
                </c:pt>
                <c:pt idx="263">
                  <c:v>-110.97730061248025</c:v>
                </c:pt>
                <c:pt idx="264">
                  <c:v>-110.98889216141262</c:v>
                </c:pt>
                <c:pt idx="265">
                  <c:v>-111.00133652520812</c:v>
                </c:pt>
                <c:pt idx="266">
                  <c:v>-111.01437331570122</c:v>
                </c:pt>
                <c:pt idx="267">
                  <c:v>-111.02799331959275</c:v>
                </c:pt>
                <c:pt idx="268">
                  <c:v>-111.04218751378328</c:v>
                </c:pt>
                <c:pt idx="269">
                  <c:v>-111.0573104916816</c:v>
                </c:pt>
                <c:pt idx="270">
                  <c:v>-111.07301716754296</c:v>
                </c:pt>
                <c:pt idx="271">
                  <c:v>-111.08929843827759</c:v>
                </c:pt>
                <c:pt idx="272">
                  <c:v>-111.10614538987512</c:v>
                </c:pt>
                <c:pt idx="273">
                  <c:v>-111.12396641482773</c:v>
                </c:pt>
                <c:pt idx="274">
                  <c:v>-111.14236180576276</c:v>
                </c:pt>
                <c:pt idx="275">
                  <c:v>-111.16132258792214</c:v>
                </c:pt>
                <c:pt idx="276">
                  <c:v>-111.18083997396313</c:v>
                </c:pt>
                <c:pt idx="277">
                  <c:v>-111.20132720116106</c:v>
                </c:pt>
                <c:pt idx="278">
                  <c:v>-111.22237643215036</c:v>
                </c:pt>
                <c:pt idx="279">
                  <c:v>-111.24397889551321</c:v>
                </c:pt>
                <c:pt idx="280">
                  <c:v>-111.26612600344693</c:v>
                </c:pt>
                <c:pt idx="281">
                  <c:v>-111.28943117607855</c:v>
                </c:pt>
                <c:pt idx="282">
                  <c:v>-111.31329311057239</c:v>
                </c:pt>
                <c:pt idx="283">
                  <c:v>-111.33770307673956</c:v>
                </c:pt>
                <c:pt idx="284">
                  <c:v>-111.36265252868186</c:v>
                </c:pt>
                <c:pt idx="285">
                  <c:v>-111.38864241221108</c:v>
                </c:pt>
                <c:pt idx="286">
                  <c:v>-111.41517594966712</c:v>
                </c:pt>
                <c:pt idx="287">
                  <c:v>-111.44224464018312</c:v>
                </c:pt>
                <c:pt idx="288">
                  <c:v>-111.46984016255017</c:v>
                </c:pt>
                <c:pt idx="289">
                  <c:v>-111.49868827100082</c:v>
                </c:pt>
                <c:pt idx="290">
                  <c:v>-111.5280736332727</c:v>
                </c:pt>
                <c:pt idx="291">
                  <c:v>-111.55798782524225</c:v>
                </c:pt>
                <c:pt idx="292">
                  <c:v>-111.58842260205637</c:v>
                </c:pt>
                <c:pt idx="293">
                  <c:v>-111.62009105746922</c:v>
                </c:pt>
                <c:pt idx="294">
                  <c:v>-111.6522875311416</c:v>
                </c:pt>
                <c:pt idx="295">
                  <c:v>-111.68500374622681</c:v>
                </c:pt>
                <c:pt idx="296">
                  <c:v>-111.71823160273838</c:v>
                </c:pt>
                <c:pt idx="297">
                  <c:v>-111.75273083354058</c:v>
                </c:pt>
                <c:pt idx="298">
                  <c:v>-111.78774849507637</c:v>
                </c:pt>
                <c:pt idx="299">
                  <c:v>-111.82327647038402</c:v>
                </c:pt>
                <c:pt idx="300">
                  <c:v>-111.85930681655255</c:v>
                </c:pt>
                <c:pt idx="301">
                  <c:v>-111.89664406095055</c:v>
                </c:pt>
                <c:pt idx="302">
                  <c:v>-111.93448987274634</c:v>
                </c:pt>
                <c:pt idx="303">
                  <c:v>-111.97283630570304</c:v>
                </c:pt>
                <c:pt idx="304">
                  <c:v>-112.01167558447355</c:v>
                </c:pt>
                <c:pt idx="305">
                  <c:v>-112.05201074770582</c:v>
                </c:pt>
                <c:pt idx="306">
                  <c:v>-112.0928482213718</c:v>
                </c:pt>
                <c:pt idx="307">
                  <c:v>-112.13418015015685</c:v>
                </c:pt>
                <c:pt idx="308">
                  <c:v>-112.17599884872664</c:v>
                </c:pt>
                <c:pt idx="309">
                  <c:v>-112.21919323571187</c:v>
                </c:pt>
                <c:pt idx="310">
                  <c:v>-112.26287945243938</c:v>
                </c:pt>
                <c:pt idx="311">
                  <c:v>-112.30704983757053</c:v>
                </c:pt>
                <c:pt idx="312">
                  <c:v>-112.35169689584593</c:v>
                </c:pt>
                <c:pt idx="313">
                  <c:v>-112.39791949611357</c:v>
                </c:pt>
                <c:pt idx="314">
                  <c:v>-112.44462689844832</c:v>
                </c:pt>
                <c:pt idx="315">
                  <c:v>-112.4918115596242</c:v>
                </c:pt>
                <c:pt idx="316">
                  <c:v>-112.53946610074505</c:v>
                </c:pt>
                <c:pt idx="317">
                  <c:v>-112.5887345312055</c:v>
                </c:pt>
                <c:pt idx="318">
                  <c:v>-112.63848033933112</c:v>
                </c:pt>
                <c:pt idx="319">
                  <c:v>-112.68869611392103</c:v>
                </c:pt>
                <c:pt idx="320">
                  <c:v>-112.73937460592835</c:v>
                </c:pt>
                <c:pt idx="321">
                  <c:v>-112.79170325492721</c:v>
                </c:pt>
                <c:pt idx="322">
                  <c:v>-112.84450153813775</c:v>
                </c:pt>
                <c:pt idx="323">
                  <c:v>-112.89776218855522</c:v>
                </c:pt>
                <c:pt idx="324">
                  <c:v>-112.95147809877352</c:v>
                </c:pt>
                <c:pt idx="325">
                  <c:v>-113.00687847830942</c:v>
                </c:pt>
                <c:pt idx="326">
                  <c:v>-113.06274050206973</c:v>
                </c:pt>
                <c:pt idx="327">
                  <c:v>-113.11905705775325</c:v>
                </c:pt>
                <c:pt idx="328">
                  <c:v>-113.1758211897677</c:v>
                </c:pt>
                <c:pt idx="329">
                  <c:v>-113.23440044646372</c:v>
                </c:pt>
                <c:pt idx="330">
                  <c:v>-113.29343468433547</c:v>
                </c:pt>
                <c:pt idx="331">
                  <c:v>-113.35291692019031</c:v>
                </c:pt>
                <c:pt idx="332">
                  <c:v>-113.41284032537961</c:v>
                </c:pt>
                <c:pt idx="333">
                  <c:v>-113.47451292741847</c:v>
                </c:pt>
                <c:pt idx="334">
                  <c:v>-113.53663212038602</c:v>
                </c:pt>
                <c:pt idx="335">
                  <c:v>-113.59919109474745</c:v>
                </c:pt>
                <c:pt idx="336">
                  <c:v>-113.66218319201195</c:v>
                </c:pt>
                <c:pt idx="337">
                  <c:v>-113.72716158277319</c:v>
                </c:pt>
                <c:pt idx="338">
                  <c:v>-113.79258090775517</c:v>
                </c:pt>
                <c:pt idx="339">
                  <c:v>-113.85843447389642</c:v>
                </c:pt>
                <c:pt idx="340">
                  <c:v>-113.92471573734302</c:v>
                </c:pt>
                <c:pt idx="341">
                  <c:v>-113.99301916254453</c:v>
                </c:pt>
                <c:pt idx="342">
                  <c:v>-114.06175757043768</c:v>
                </c:pt>
                <c:pt idx="343">
                  <c:v>-114.13092439661094</c:v>
                </c:pt>
                <c:pt idx="344">
                  <c:v>-114.20051322364894</c:v>
                </c:pt>
                <c:pt idx="345">
                  <c:v>-114.27204894158818</c:v>
                </c:pt>
                <c:pt idx="346">
                  <c:v>-114.34401217180361</c:v>
                </c:pt>
                <c:pt idx="347">
                  <c:v>-114.41639651808556</c:v>
                </c:pt>
                <c:pt idx="348">
                  <c:v>-114.48919572781161</c:v>
                </c:pt>
                <c:pt idx="349">
                  <c:v>-114.56419430375554</c:v>
                </c:pt>
                <c:pt idx="350">
                  <c:v>-114.6396153897057</c:v>
                </c:pt>
                <c:pt idx="351">
                  <c:v>-114.71545270795201</c:v>
                </c:pt>
                <c:pt idx="352">
                  <c:v>-114.79170012242648</c:v>
                </c:pt>
                <c:pt idx="353">
                  <c:v>-114.8701815476216</c:v>
                </c:pt>
                <c:pt idx="354">
                  <c:v>-114.94908025174274</c:v>
                </c:pt>
                <c:pt idx="355">
                  <c:v>-115.02839008661985</c:v>
                </c:pt>
                <c:pt idx="356">
                  <c:v>-115.10810504343645</c:v>
                </c:pt>
                <c:pt idx="357">
                  <c:v>-115.18997032875805</c:v>
                </c:pt>
                <c:pt idx="358">
                  <c:v>-115.27224633851138</c:v>
                </c:pt>
                <c:pt idx="359">
                  <c:v>-115.35492708888177</c:v>
                </c:pt>
                <c:pt idx="360">
                  <c:v>-115.43800673205216</c:v>
                </c:pt>
                <c:pt idx="361">
                  <c:v>-115.52350292059866</c:v>
                </c:pt>
                <c:pt idx="362">
                  <c:v>-115.60940553220949</c:v>
                </c:pt>
                <c:pt idx="363">
                  <c:v>-115.69570870422595</c:v>
                </c:pt>
                <c:pt idx="364">
                  <c:v>-115.78240670791781</c:v>
                </c:pt>
                <c:pt idx="365">
                  <c:v>-115.87143359554986</c:v>
                </c:pt>
                <c:pt idx="366">
                  <c:v>-115.96086136513955</c:v>
                </c:pt>
                <c:pt idx="367">
                  <c:v>-116.05068430801468</c:v>
                </c:pt>
                <c:pt idx="368">
                  <c:v>-116.14089684634995</c:v>
                </c:pt>
                <c:pt idx="369">
                  <c:v>-116.2337139763639</c:v>
                </c:pt>
                <c:pt idx="370">
                  <c:v>-116.32692854564067</c:v>
                </c:pt>
                <c:pt idx="371">
                  <c:v>-116.42053496112371</c:v>
                </c:pt>
                <c:pt idx="372">
                  <c:v>-116.51452775867439</c:v>
                </c:pt>
                <c:pt idx="373">
                  <c:v>-116.61103374335798</c:v>
                </c:pt>
                <c:pt idx="374">
                  <c:v>-116.70793257159197</c:v>
                </c:pt>
                <c:pt idx="375">
                  <c:v>-116.80521879673039</c:v>
                </c:pt>
                <c:pt idx="376">
                  <c:v>-116.90288709815762</c:v>
                </c:pt>
                <c:pt idx="377">
                  <c:v>-117.00335315127592</c:v>
                </c:pt>
                <c:pt idx="378">
                  <c:v>-117.1042094249604</c:v>
                </c:pt>
                <c:pt idx="379">
                  <c:v>-117.20545058481153</c:v>
                </c:pt>
                <c:pt idx="380">
                  <c:v>-117.30707142060636</c:v>
                </c:pt>
                <c:pt idx="381">
                  <c:v>-117.41126576112178</c:v>
                </c:pt>
                <c:pt idx="382">
                  <c:v>-117.51584568475781</c:v>
                </c:pt>
                <c:pt idx="383">
                  <c:v>-117.62080601711013</c:v>
                </c:pt>
                <c:pt idx="384">
                  <c:v>-117.72614170460005</c:v>
                </c:pt>
                <c:pt idx="385">
                  <c:v>-117.83447220342441</c:v>
                </c:pt>
                <c:pt idx="386">
                  <c:v>-117.94318652176557</c:v>
                </c:pt>
                <c:pt idx="387">
                  <c:v>-118.05227959424396</c:v>
                </c:pt>
                <c:pt idx="388">
                  <c:v>-118.16174647451273</c:v>
                </c:pt>
                <c:pt idx="389">
                  <c:v>-118.2741100659366</c:v>
                </c:pt>
                <c:pt idx="390">
                  <c:v>-118.38685473446498</c:v>
                </c:pt>
                <c:pt idx="391">
                  <c:v>-118.49997555035907</c:v>
                </c:pt>
                <c:pt idx="392">
                  <c:v>-118.61346770026627</c:v>
                </c:pt>
                <c:pt idx="393">
                  <c:v>-118.7298877699096</c:v>
                </c:pt>
                <c:pt idx="394">
                  <c:v>-118.84668622168851</c:v>
                </c:pt>
                <c:pt idx="395">
                  <c:v>-118.96385826720862</c:v>
                </c:pt>
                <c:pt idx="396">
                  <c:v>-119.08139923160186</c:v>
                </c:pt>
                <c:pt idx="397">
                  <c:v>-119.20217148417312</c:v>
                </c:pt>
                <c:pt idx="398">
                  <c:v>-119.32332120902868</c:v>
                </c:pt>
                <c:pt idx="399">
                  <c:v>-119.44484373241482</c:v>
                </c:pt>
                <c:pt idx="400">
                  <c:v>-119.56673449204841</c:v>
                </c:pt>
                <c:pt idx="401">
                  <c:v>-119.69175289472797</c:v>
                </c:pt>
                <c:pt idx="402">
                  <c:v>-119.81714704045568</c:v>
                </c:pt>
                <c:pt idx="403">
                  <c:v>-119.94291239245989</c:v>
                </c:pt>
                <c:pt idx="404">
                  <c:v>-120.06904452263295</c:v>
                </c:pt>
                <c:pt idx="405">
                  <c:v>-120.19847536623537</c:v>
                </c:pt>
                <c:pt idx="406">
                  <c:v>-120.32828114426336</c:v>
                </c:pt>
                <c:pt idx="407">
                  <c:v>-120.45845744699876</c:v>
                </c:pt>
                <c:pt idx="408">
                  <c:v>-120.58899997084058</c:v>
                </c:pt>
                <c:pt idx="409">
                  <c:v>-120.72301556747747</c:v>
                </c:pt>
                <c:pt idx="410">
                  <c:v>-120.85740617432032</c:v>
                </c:pt>
                <c:pt idx="411">
                  <c:v>-120.99216750021654</c:v>
                </c:pt>
                <c:pt idx="412">
                  <c:v>-121.12729535779138</c:v>
                </c:pt>
                <c:pt idx="413">
                  <c:v>-121.2659309033897</c:v>
                </c:pt>
                <c:pt idx="414">
                  <c:v>-121.40494162255864</c:v>
                </c:pt>
                <c:pt idx="415">
                  <c:v>-121.54432334816168</c:v>
                </c:pt>
                <c:pt idx="416">
                  <c:v>-121.68407201424793</c:v>
                </c:pt>
                <c:pt idx="417">
                  <c:v>-121.82750683523456</c:v>
                </c:pt>
                <c:pt idx="418">
                  <c:v>-121.97131787567888</c:v>
                </c:pt>
                <c:pt idx="419">
                  <c:v>-122.11550108450473</c:v>
                </c:pt>
                <c:pt idx="420">
                  <c:v>-122.26005250939244</c:v>
                </c:pt>
                <c:pt idx="421">
                  <c:v>-122.40817977803717</c:v>
                </c:pt>
                <c:pt idx="422">
                  <c:v>-122.55668369601256</c:v>
                </c:pt>
                <c:pt idx="423">
                  <c:v>-122.70556034419191</c:v>
                </c:pt>
                <c:pt idx="424">
                  <c:v>-122.85480589914572</c:v>
                </c:pt>
                <c:pt idx="425">
                  <c:v>-123.00810256895929</c:v>
                </c:pt>
                <c:pt idx="426">
                  <c:v>-123.16177869313914</c:v>
                </c:pt>
                <c:pt idx="427">
                  <c:v>-123.31583045344571</c:v>
                </c:pt>
                <c:pt idx="428">
                  <c:v>-123.47025412514738</c:v>
                </c:pt>
                <c:pt idx="429">
                  <c:v>-123.62861907947992</c:v>
                </c:pt>
                <c:pt idx="430">
                  <c:v>-123.78736569250384</c:v>
                </c:pt>
                <c:pt idx="431">
                  <c:v>-123.94649026183095</c:v>
                </c:pt>
                <c:pt idx="432">
                  <c:v>-124.10598917574121</c:v>
                </c:pt>
                <c:pt idx="433">
                  <c:v>-124.26946585424172</c:v>
                </c:pt>
                <c:pt idx="434">
                  <c:v>-124.43332657997466</c:v>
                </c:pt>
                <c:pt idx="435">
                  <c:v>-124.59756776803255</c:v>
                </c:pt>
                <c:pt idx="436">
                  <c:v>-124.76218592108532</c:v>
                </c:pt>
                <c:pt idx="437">
                  <c:v>-124.93112136075008</c:v>
                </c:pt>
                <c:pt idx="438">
                  <c:v>-125.10044483006722</c:v>
                </c:pt>
                <c:pt idx="439">
                  <c:v>-125.27015284322832</c:v>
                </c:pt>
                <c:pt idx="440">
                  <c:v>-125.44024199927179</c:v>
                </c:pt>
                <c:pt idx="441">
                  <c:v>-125.61468847583474</c:v>
                </c:pt>
                <c:pt idx="442">
                  <c:v>-125.78952713265535</c:v>
                </c:pt>
                <c:pt idx="443">
                  <c:v>-125.96475458412424</c:v>
                </c:pt>
                <c:pt idx="444">
                  <c:v>-126.14036752643121</c:v>
                </c:pt>
                <c:pt idx="445">
                  <c:v>-126.32037757257191</c:v>
                </c:pt>
                <c:pt idx="446">
                  <c:v>-126.50078413790433</c:v>
                </c:pt>
                <c:pt idx="447">
                  <c:v>-126.68158393630559</c:v>
                </c:pt>
                <c:pt idx="448">
                  <c:v>-126.8627737600975</c:v>
                </c:pt>
                <c:pt idx="449">
                  <c:v>-127.04871180120392</c:v>
                </c:pt>
                <c:pt idx="450">
                  <c:v>-127.23505224149251</c:v>
                </c:pt>
                <c:pt idx="451">
                  <c:v>-127.42179187587767</c:v>
                </c:pt>
                <c:pt idx="452">
                  <c:v>-127.60892757455817</c:v>
                </c:pt>
                <c:pt idx="453">
                  <c:v>-127.80069784746499</c:v>
                </c:pt>
                <c:pt idx="454">
                  <c:v>-127.99287589473542</c:v>
                </c:pt>
                <c:pt idx="455">
                  <c:v>-128.18545859740323</c:v>
                </c:pt>
                <c:pt idx="456">
                  <c:v>-128.37844290801274</c:v>
                </c:pt>
                <c:pt idx="457">
                  <c:v>-128.57641995058287</c:v>
                </c:pt>
                <c:pt idx="458">
                  <c:v>-128.77481164423213</c:v>
                </c:pt>
                <c:pt idx="459">
                  <c:v>-128.973614935977</c:v>
                </c:pt>
                <c:pt idx="460">
                  <c:v>-129.17282684065688</c:v>
                </c:pt>
                <c:pt idx="461">
                  <c:v>-129.3770766530663</c:v>
                </c:pt>
                <c:pt idx="462">
                  <c:v>-129.58174812640343</c:v>
                </c:pt>
                <c:pt idx="463">
                  <c:v>-129.78683826739996</c:v>
                </c:pt>
                <c:pt idx="464">
                  <c:v>-129.99234414649541</c:v>
                </c:pt>
                <c:pt idx="465">
                  <c:v>-130.20309404490081</c:v>
                </c:pt>
                <c:pt idx="466">
                  <c:v>-130.41427338233771</c:v>
                </c:pt>
                <c:pt idx="467">
                  <c:v>-130.62587920965757</c:v>
                </c:pt>
                <c:pt idx="468">
                  <c:v>-130.83790863705022</c:v>
                </c:pt>
                <c:pt idx="469">
                  <c:v>-131.05522900943208</c:v>
                </c:pt>
                <c:pt idx="470">
                  <c:v>-131.27298666846872</c:v>
                </c:pt>
                <c:pt idx="471">
                  <c:v>-131.49117869803925</c:v>
                </c:pt>
                <c:pt idx="472">
                  <c:v>-131.70980223650758</c:v>
                </c:pt>
                <c:pt idx="473">
                  <c:v>-131.93409079065742</c:v>
                </c:pt>
                <c:pt idx="474">
                  <c:v>-132.15882580212477</c:v>
                </c:pt>
                <c:pt idx="475">
                  <c:v>-132.3840043610079</c:v>
                </c:pt>
                <c:pt idx="476">
                  <c:v>-132.60962360682308</c:v>
                </c:pt>
                <c:pt idx="477">
                  <c:v>-132.84095839842485</c:v>
                </c:pt>
                <c:pt idx="478">
                  <c:v>-133.0727487606805</c:v>
                </c:pt>
                <c:pt idx="479">
                  <c:v>-133.30499177315056</c:v>
                </c:pt>
                <c:pt idx="480">
                  <c:v>-133.53768455914988</c:v>
                </c:pt>
                <c:pt idx="481">
                  <c:v>-133.77614319655052</c:v>
                </c:pt>
                <c:pt idx="482">
                  <c:v>-134.0150663860519</c:v>
                </c:pt>
                <c:pt idx="483">
                  <c:v>-134.25445117602752</c:v>
                </c:pt>
                <c:pt idx="484">
                  <c:v>-134.49429465232933</c:v>
                </c:pt>
                <c:pt idx="485">
                  <c:v>-134.74012146893412</c:v>
                </c:pt>
                <c:pt idx="486">
                  <c:v>-134.98642223607789</c:v>
                </c:pt>
                <c:pt idx="487">
                  <c:v>-135.23319394005907</c:v>
                </c:pt>
                <c:pt idx="488">
                  <c:v>-135.48043359783227</c:v>
                </c:pt>
                <c:pt idx="489">
                  <c:v>-135.73404564658077</c:v>
                </c:pt>
                <c:pt idx="490">
                  <c:v>-135.98814197315531</c:v>
                </c:pt>
                <c:pt idx="491">
                  <c:v>-136.24271946025772</c:v>
                </c:pt>
                <c:pt idx="492">
                  <c:v>-136.49777501385068</c:v>
                </c:pt>
                <c:pt idx="493">
                  <c:v>-136.75925771364027</c:v>
                </c:pt>
                <c:pt idx="494">
                  <c:v>-137.02123449851518</c:v>
                </c:pt>
                <c:pt idx="495">
                  <c:v>-137.28370211318509</c:v>
                </c:pt>
                <c:pt idx="496">
                  <c:v>-137.54665731742233</c:v>
                </c:pt>
                <c:pt idx="497">
                  <c:v>-137.81626498421295</c:v>
                </c:pt>
                <c:pt idx="498">
                  <c:v>-138.08637648981164</c:v>
                </c:pt>
                <c:pt idx="499">
                  <c:v>-138.35698839439863</c:v>
                </c:pt>
                <c:pt idx="500">
                  <c:v>-138.62809726421821</c:v>
                </c:pt>
                <c:pt idx="501">
                  <c:v>-138.90608607551803</c:v>
                </c:pt>
                <c:pt idx="502">
                  <c:v>-139.18458820625222</c:v>
                </c:pt>
                <c:pt idx="503">
                  <c:v>-139.46359997880535</c:v>
                </c:pt>
                <c:pt idx="504">
                  <c:v>-139.74311771174928</c:v>
                </c:pt>
                <c:pt idx="505">
                  <c:v>-140.02957084293735</c:v>
                </c:pt>
                <c:pt idx="506">
                  <c:v>-140.31654561166607</c:v>
                </c:pt>
                <c:pt idx="507">
                  <c:v>-140.60403804894344</c:v>
                </c:pt>
                <c:pt idx="508">
                  <c:v>-140.89204417117713</c:v>
                </c:pt>
                <c:pt idx="509">
                  <c:v>-141.1872145897286</c:v>
                </c:pt>
                <c:pt idx="510">
                  <c:v>-141.4829141490988</c:v>
                </c:pt>
                <c:pt idx="511">
                  <c:v>-141.77913852075864</c:v>
                </c:pt>
                <c:pt idx="512">
                  <c:v>-142.07588334984575</c:v>
                </c:pt>
                <c:pt idx="513">
                  <c:v>-142.38019875272582</c:v>
                </c:pt>
                <c:pt idx="514">
                  <c:v>-142.68505025575058</c:v>
                </c:pt>
                <c:pt idx="515">
                  <c:v>-142.99043308558831</c:v>
                </c:pt>
                <c:pt idx="516">
                  <c:v>-143.29634242977002</c:v>
                </c:pt>
                <c:pt idx="517">
                  <c:v>-143.60987699401616</c:v>
                </c:pt>
                <c:pt idx="518">
                  <c:v>-143.92395241661035</c:v>
                </c:pt>
                <c:pt idx="519">
                  <c:v>-144.23856340046123</c:v>
                </c:pt>
                <c:pt idx="520">
                  <c:v>-144.55370459561505</c:v>
                </c:pt>
                <c:pt idx="521">
                  <c:v>-144.87670123484514</c:v>
                </c:pt>
                <c:pt idx="522">
                  <c:v>-145.20024146456359</c:v>
                </c:pt>
                <c:pt idx="523">
                  <c:v>-145.52431936716667</c:v>
                </c:pt>
                <c:pt idx="524">
                  <c:v>-145.84892895751807</c:v>
                </c:pt>
                <c:pt idx="525">
                  <c:v>-146.1816232988887</c:v>
                </c:pt>
                <c:pt idx="526">
                  <c:v>-146.51486141298417</c:v>
                </c:pt>
                <c:pt idx="527">
                  <c:v>-146.84863665434187</c:v>
                </c:pt>
                <c:pt idx="528">
                  <c:v>-147.18294229444359</c:v>
                </c:pt>
                <c:pt idx="529">
                  <c:v>-147.52556020799898</c:v>
                </c:pt>
                <c:pt idx="530">
                  <c:v>-147.8687189347315</c:v>
                </c:pt>
                <c:pt idx="531">
                  <c:v>-148.21241098314644</c:v>
                </c:pt>
                <c:pt idx="532">
                  <c:v>-148.556628762473</c:v>
                </c:pt>
                <c:pt idx="533">
                  <c:v>-148.90956580859367</c:v>
                </c:pt>
                <c:pt idx="534">
                  <c:v>-149.2630374504628</c:v>
                </c:pt>
                <c:pt idx="535">
                  <c:v>-149.61703520841675</c:v>
                </c:pt>
                <c:pt idx="536">
                  <c:v>-149.97155048660017</c:v>
                </c:pt>
                <c:pt idx="537">
                  <c:v>-150.3346408119869</c:v>
                </c:pt>
                <c:pt idx="538">
                  <c:v>-150.69825386024226</c:v>
                </c:pt>
                <c:pt idx="539">
                  <c:v>-151.06238005048451</c:v>
                </c:pt>
                <c:pt idx="540">
                  <c:v>-151.42700966909405</c:v>
                </c:pt>
                <c:pt idx="541">
                  <c:v>-151.80079709829297</c:v>
                </c:pt>
                <c:pt idx="542">
                  <c:v>-152.17509108349569</c:v>
                </c:pt>
                <c:pt idx="543">
                  <c:v>-152.54988076499427</c:v>
                </c:pt>
                <c:pt idx="544">
                  <c:v>-152.92515513362315</c:v>
                </c:pt>
                <c:pt idx="545">
                  <c:v>-153.30961242109328</c:v>
                </c:pt>
                <c:pt idx="546">
                  <c:v>-153.69455331216335</c:v>
                </c:pt>
                <c:pt idx="547">
                  <c:v>-154.07996552632073</c:v>
                </c:pt>
                <c:pt idx="548">
                  <c:v>-154.4658366181157</c:v>
                </c:pt>
                <c:pt idx="549">
                  <c:v>-154.86109134748943</c:v>
                </c:pt>
                <c:pt idx="550">
                  <c:v>-155.25679953547072</c:v>
                </c:pt>
                <c:pt idx="551">
                  <c:v>-155.65294731918488</c:v>
                </c:pt>
                <c:pt idx="552">
                  <c:v>-156.0495206570875</c:v>
                </c:pt>
                <c:pt idx="553">
                  <c:v>-156.45585538244455</c:v>
                </c:pt>
                <c:pt idx="554">
                  <c:v>-156.8626055975821</c:v>
                </c:pt>
                <c:pt idx="555">
                  <c:v>-157.26975567206495</c:v>
                </c:pt>
                <c:pt idx="556">
                  <c:v>-157.67728978540316</c:v>
                </c:pt>
                <c:pt idx="557">
                  <c:v>-158.51260878716016</c:v>
                </c:pt>
                <c:pt idx="558">
                  <c:v>-159.3493298823864</c:v>
                </c:pt>
                <c:pt idx="559">
                  <c:v>-160.20653146418005</c:v>
                </c:pt>
                <c:pt idx="560">
                  <c:v>-161.06489444604898</c:v>
                </c:pt>
                <c:pt idx="561">
                  <c:v>-161.94465942240728</c:v>
                </c:pt>
                <c:pt idx="562">
                  <c:v>-162.82530018930575</c:v>
                </c:pt>
                <c:pt idx="563">
                  <c:v>-163.72555849505883</c:v>
                </c:pt>
                <c:pt idx="564">
                  <c:v>-164.62635320080068</c:v>
                </c:pt>
                <c:pt idx="565">
                  <c:v>-165.55020956455917</c:v>
                </c:pt>
                <c:pt idx="566">
                  <c:v>-166.47421145244951</c:v>
                </c:pt>
                <c:pt idx="567">
                  <c:v>-167.42086005517419</c:v>
                </c:pt>
                <c:pt idx="568">
                  <c:v>-168.36720054819145</c:v>
                </c:pt>
                <c:pt idx="569">
                  <c:v>-169.3319052188719</c:v>
                </c:pt>
                <c:pt idx="570">
                  <c:v>-170.29579071267236</c:v>
                </c:pt>
                <c:pt idx="571">
                  <c:v>-171.28501577037139</c:v>
                </c:pt>
                <c:pt idx="572">
                  <c:v>-172.27283195504154</c:v>
                </c:pt>
                <c:pt idx="573">
                  <c:v>-173.27776401570466</c:v>
                </c:pt>
                <c:pt idx="574">
                  <c:v>-174.28065384400571</c:v>
                </c:pt>
                <c:pt idx="575">
                  <c:v>-175.3074082148747</c:v>
                </c:pt>
                <c:pt idx="576">
                  <c:v>-176.33139274718442</c:v>
                </c:pt>
                <c:pt idx="577">
                  <c:v>-180.62875646460819</c:v>
                </c:pt>
                <c:pt idx="578">
                  <c:v>-184.8483686295917</c:v>
                </c:pt>
                <c:pt idx="579">
                  <c:v>-193.72622580570308</c:v>
                </c:pt>
                <c:pt idx="580">
                  <c:v>-202.73332187513191</c:v>
                </c:pt>
                <c:pt idx="581">
                  <c:v>-211.59008288747415</c:v>
                </c:pt>
                <c:pt idx="582">
                  <c:v>-220.06412317510487</c:v>
                </c:pt>
                <c:pt idx="583">
                  <c:v>-227.97611924450297</c:v>
                </c:pt>
                <c:pt idx="584">
                  <c:v>-235.23460232397551</c:v>
                </c:pt>
                <c:pt idx="585">
                  <c:v>-241.80274900709759</c:v>
                </c:pt>
                <c:pt idx="586">
                  <c:v>-247.69362162931438</c:v>
                </c:pt>
                <c:pt idx="587">
                  <c:v>-252.94596258424042</c:v>
                </c:pt>
                <c:pt idx="588">
                  <c:v>-257.60009058134369</c:v>
                </c:pt>
                <c:pt idx="589">
                  <c:v>-261.70572674679954</c:v>
                </c:pt>
                <c:pt idx="590">
                  <c:v>-265.30332290038808</c:v>
                </c:pt>
                <c:pt idx="591">
                  <c:v>-268.43082111849071</c:v>
                </c:pt>
                <c:pt idx="592">
                  <c:v>-271.12154232032361</c:v>
                </c:pt>
                <c:pt idx="593">
                  <c:v>-273.40747116040643</c:v>
                </c:pt>
                <c:pt idx="594">
                  <c:v>-275.31827468980583</c:v>
                </c:pt>
                <c:pt idx="595">
                  <c:v>-276.88504026329167</c:v>
                </c:pt>
                <c:pt idx="596">
                  <c:v>-278.13935151062276</c:v>
                </c:pt>
                <c:pt idx="597">
                  <c:v>-279.11487449702059</c:v>
                </c:pt>
                <c:pt idx="598">
                  <c:v>-279.84607910165101</c:v>
                </c:pt>
                <c:pt idx="599">
                  <c:v>-280.36860006577763</c:v>
                </c:pt>
                <c:pt idx="600">
                  <c:v>-280.71770432544059</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146133.79932357057</c:v>
                </c:pt>
              </c:numCache>
            </c:numRef>
          </c:xVal>
          <c:yVal>
            <c:numRef>
              <c:f>'Stability Calculations'!$U$627</c:f>
              <c:numCache>
                <c:formatCode>0.00</c:formatCode>
                <c:ptCount val="1"/>
                <c:pt idx="0">
                  <c:v>-14.531234978132975</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103.36614497917245</c:v>
                </c:pt>
                <c:pt idx="1">
                  <c:v>102.83899623476475</c:v>
                </c:pt>
                <c:pt idx="2">
                  <c:v>102.27982024388469</c:v>
                </c:pt>
                <c:pt idx="3">
                  <c:v>101.6908621347159</c:v>
                </c:pt>
                <c:pt idx="4">
                  <c:v>101.07499507942306</c:v>
                </c:pt>
                <c:pt idx="5">
                  <c:v>100.43374920529814</c:v>
                </c:pt>
                <c:pt idx="6">
                  <c:v>99.770592174585389</c:v>
                </c:pt>
                <c:pt idx="7">
                  <c:v>99.087603427967949</c:v>
                </c:pt>
                <c:pt idx="8">
                  <c:v>98.387667614621847</c:v>
                </c:pt>
                <c:pt idx="9">
                  <c:v>97.672470485144473</c:v>
                </c:pt>
                <c:pt idx="10">
                  <c:v>96.9444391562362</c:v>
                </c:pt>
                <c:pt idx="11">
                  <c:v>96.205289248308304</c:v>
                </c:pt>
                <c:pt idx="12">
                  <c:v>95.456233561051306</c:v>
                </c:pt>
                <c:pt idx="13">
                  <c:v>94.699405332382653</c:v>
                </c:pt>
                <c:pt idx="14">
                  <c:v>93.935432887038274</c:v>
                </c:pt>
                <c:pt idx="15">
                  <c:v>93.16567015865607</c:v>
                </c:pt>
                <c:pt idx="16">
                  <c:v>92.390967646653792</c:v>
                </c:pt>
                <c:pt idx="17">
                  <c:v>91.612214730209288</c:v>
                </c:pt>
                <c:pt idx="18">
                  <c:v>90.829846513555751</c:v>
                </c:pt>
                <c:pt idx="19">
                  <c:v>90.044632583089736</c:v>
                </c:pt>
                <c:pt idx="20">
                  <c:v>89.25688836365957</c:v>
                </c:pt>
                <c:pt idx="21">
                  <c:v>88.467171206706951</c:v>
                </c:pt>
                <c:pt idx="22">
                  <c:v>87.675644977242143</c:v>
                </c:pt>
                <c:pt idx="23">
                  <c:v>86.882783675337322</c:v>
                </c:pt>
                <c:pt idx="24">
                  <c:v>86.088617601070325</c:v>
                </c:pt>
                <c:pt idx="25">
                  <c:v>85.293462642289128</c:v>
                </c:pt>
                <c:pt idx="26">
                  <c:v>84.497293595032858</c:v>
                </c:pt>
                <c:pt idx="27">
                  <c:v>83.700496360841825</c:v>
                </c:pt>
                <c:pt idx="28">
                  <c:v>82.903149236312416</c:v>
                </c:pt>
                <c:pt idx="29">
                  <c:v>82.105837336711858</c:v>
                </c:pt>
                <c:pt idx="30">
                  <c:v>81.307284584195287</c:v>
                </c:pt>
                <c:pt idx="31">
                  <c:v>80.508664383726881</c:v>
                </c:pt>
                <c:pt idx="32">
                  <c:v>79.709480533499431</c:v>
                </c:pt>
                <c:pt idx="33">
                  <c:v>78.910337002719018</c:v>
                </c:pt>
                <c:pt idx="34">
                  <c:v>78.110642118666348</c:v>
                </c:pt>
                <c:pt idx="35">
                  <c:v>77.310861353247248</c:v>
                </c:pt>
                <c:pt idx="36">
                  <c:v>76.510879140125638</c:v>
                </c:pt>
                <c:pt idx="37">
                  <c:v>75.710262686594632</c:v>
                </c:pt>
                <c:pt idx="38">
                  <c:v>74.909763774052379</c:v>
                </c:pt>
                <c:pt idx="39">
                  <c:v>74.10871750265828</c:v>
                </c:pt>
                <c:pt idx="40">
                  <c:v>73.307396345527735</c:v>
                </c:pt>
                <c:pt idx="41">
                  <c:v>72.505689387058169</c:v>
                </c:pt>
                <c:pt idx="42">
                  <c:v>71.703651914249377</c:v>
                </c:pt>
                <c:pt idx="43">
                  <c:v>70.900977715655529</c:v>
                </c:pt>
                <c:pt idx="44">
                  <c:v>70.097792178312517</c:v>
                </c:pt>
                <c:pt idx="45">
                  <c:v>69.293824962510712</c:v>
                </c:pt>
                <c:pt idx="46">
                  <c:v>68.489106478880984</c:v>
                </c:pt>
                <c:pt idx="47">
                  <c:v>67.683303737245225</c:v>
                </c:pt>
                <c:pt idx="48">
                  <c:v>66.87642274717561</c:v>
                </c:pt>
                <c:pt idx="49">
                  <c:v>66.068026587087502</c:v>
                </c:pt>
                <c:pt idx="50">
                  <c:v>65.257963605167404</c:v>
                </c:pt>
                <c:pt idx="51">
                  <c:v>64.445714920075957</c:v>
                </c:pt>
                <c:pt idx="52">
                  <c:v>63.63114688421139</c:v>
                </c:pt>
                <c:pt idx="53">
                  <c:v>62.813763769844186</c:v>
                </c:pt>
                <c:pt idx="54">
                  <c:v>61.99352790599449</c:v>
                </c:pt>
                <c:pt idx="55">
                  <c:v>61.168403364235587</c:v>
                </c:pt>
                <c:pt idx="56">
                  <c:v>60.338779753231854</c:v>
                </c:pt>
                <c:pt idx="57">
                  <c:v>59.503207201377421</c:v>
                </c:pt>
                <c:pt idx="58">
                  <c:v>58.661251618682158</c:v>
                </c:pt>
                <c:pt idx="59">
                  <c:v>57.811074936938986</c:v>
                </c:pt>
                <c:pt idx="60">
                  <c:v>56.951793096018335</c:v>
                </c:pt>
                <c:pt idx="61">
                  <c:v>56.081736347530722</c:v>
                </c:pt>
                <c:pt idx="62">
                  <c:v>55.198700901870801</c:v>
                </c:pt>
                <c:pt idx="63">
                  <c:v>54.301619718325682</c:v>
                </c:pt>
                <c:pt idx="64">
                  <c:v>53.387701012345651</c:v>
                </c:pt>
                <c:pt idx="65">
                  <c:v>52.455079596595375</c:v>
                </c:pt>
                <c:pt idx="66">
                  <c:v>51.501390167001098</c:v>
                </c:pt>
                <c:pt idx="67">
                  <c:v>50.524470742594865</c:v>
                </c:pt>
                <c:pt idx="68">
                  <c:v>49.521816248592252</c:v>
                </c:pt>
                <c:pt idx="69">
                  <c:v>48.49166564359372</c:v>
                </c:pt>
                <c:pt idx="70">
                  <c:v>47.432100595678072</c:v>
                </c:pt>
                <c:pt idx="71">
                  <c:v>46.342067926080112</c:v>
                </c:pt>
                <c:pt idx="72">
                  <c:v>45.220629651325652</c:v>
                </c:pt>
                <c:pt idx="73">
                  <c:v>44.068027126915787</c:v>
                </c:pt>
                <c:pt idx="74">
                  <c:v>42.88467050716342</c:v>
                </c:pt>
                <c:pt idx="75">
                  <c:v>41.67221627747211</c:v>
                </c:pt>
                <c:pt idx="76">
                  <c:v>40.432620488401774</c:v>
                </c:pt>
                <c:pt idx="77">
                  <c:v>39.169241865866667</c:v>
                </c:pt>
                <c:pt idx="78">
                  <c:v>37.885647714643142</c:v>
                </c:pt>
                <c:pt idx="79">
                  <c:v>36.58680208516892</c:v>
                </c:pt>
                <c:pt idx="80">
                  <c:v>35.27507124830062</c:v>
                </c:pt>
                <c:pt idx="81">
                  <c:v>33.957143692170263</c:v>
                </c:pt>
                <c:pt idx="82">
                  <c:v>32.637164753194497</c:v>
                </c:pt>
                <c:pt idx="83">
                  <c:v>31.321152613395064</c:v>
                </c:pt>
                <c:pt idx="84">
                  <c:v>30.01308662624945</c:v>
                </c:pt>
                <c:pt idx="85">
                  <c:v>28.718486255939133</c:v>
                </c:pt>
                <c:pt idx="86">
                  <c:v>27.441590075442722</c:v>
                </c:pt>
                <c:pt idx="87">
                  <c:v>26.185704662842237</c:v>
                </c:pt>
                <c:pt idx="88">
                  <c:v>24.955431134960826</c:v>
                </c:pt>
                <c:pt idx="89">
                  <c:v>23.752506383385949</c:v>
                </c:pt>
                <c:pt idx="90">
                  <c:v>22.579388533123858</c:v>
                </c:pt>
                <c:pt idx="91">
                  <c:v>21.437192003342183</c:v>
                </c:pt>
                <c:pt idx="92">
                  <c:v>20.326518075860921</c:v>
                </c:pt>
                <c:pt idx="93">
                  <c:v>19.246770615449069</c:v>
                </c:pt>
                <c:pt idx="94">
                  <c:v>18.98170859061252</c:v>
                </c:pt>
                <c:pt idx="95">
                  <c:v>18.849064929903328</c:v>
                </c:pt>
                <c:pt idx="96">
                  <c:v>18.718401989126225</c:v>
                </c:pt>
                <c:pt idx="97">
                  <c:v>18.586705239214282</c:v>
                </c:pt>
                <c:pt idx="98">
                  <c:v>18.456972472902855</c:v>
                </c:pt>
                <c:pt idx="99">
                  <c:v>18.326177904468064</c:v>
                </c:pt>
                <c:pt idx="100">
                  <c:v>18.197331259592715</c:v>
                </c:pt>
                <c:pt idx="101">
                  <c:v>18.067494799735019</c:v>
                </c:pt>
                <c:pt idx="102">
                  <c:v>17.939587918917791</c:v>
                </c:pt>
                <c:pt idx="103">
                  <c:v>17.81057156474948</c:v>
                </c:pt>
                <c:pt idx="104">
                  <c:v>17.683469903003171</c:v>
                </c:pt>
                <c:pt idx="105">
                  <c:v>17.555332009466653</c:v>
                </c:pt>
                <c:pt idx="106">
                  <c:v>17.429091605753513</c:v>
                </c:pt>
                <c:pt idx="107">
                  <c:v>17.301883199522777</c:v>
                </c:pt>
                <c:pt idx="108">
                  <c:v>17.176553007948439</c:v>
                </c:pt>
                <c:pt idx="109">
                  <c:v>17.050232950914552</c:v>
                </c:pt>
                <c:pt idx="110">
                  <c:v>16.925772491143061</c:v>
                </c:pt>
                <c:pt idx="111">
                  <c:v>16.800220426779916</c:v>
                </c:pt>
                <c:pt idx="112">
                  <c:v>16.676512328279316</c:v>
                </c:pt>
                <c:pt idx="113">
                  <c:v>16.551781753801713</c:v>
                </c:pt>
                <c:pt idx="114">
                  <c:v>16.428877442304866</c:v>
                </c:pt>
                <c:pt idx="115">
                  <c:v>16.304936960712013</c:v>
                </c:pt>
                <c:pt idx="116">
                  <c:v>16.182805466098753</c:v>
                </c:pt>
                <c:pt idx="117">
                  <c:v>16.059626430834527</c:v>
                </c:pt>
                <c:pt idx="118">
                  <c:v>15.938239472481213</c:v>
                </c:pt>
                <c:pt idx="119">
                  <c:v>15.815869400858894</c:v>
                </c:pt>
                <c:pt idx="120">
                  <c:v>15.695272687440502</c:v>
                </c:pt>
                <c:pt idx="121">
                  <c:v>15.573681354907523</c:v>
                </c:pt>
                <c:pt idx="122">
                  <c:v>15.453845124547144</c:v>
                </c:pt>
                <c:pt idx="123">
                  <c:v>15.332935270193829</c:v>
                </c:pt>
                <c:pt idx="124">
                  <c:v>15.213764658713309</c:v>
                </c:pt>
                <c:pt idx="125">
                  <c:v>15.093584237952031</c:v>
                </c:pt>
                <c:pt idx="126">
                  <c:v>14.975125462192727</c:v>
                </c:pt>
                <c:pt idx="127">
                  <c:v>14.855650835496634</c:v>
                </c:pt>
                <c:pt idx="128">
                  <c:v>14.73788058872014</c:v>
                </c:pt>
                <c:pt idx="129">
                  <c:v>14.619090004085852</c:v>
                </c:pt>
                <c:pt idx="130">
                  <c:v>14.501986833115994</c:v>
                </c:pt>
                <c:pt idx="131">
                  <c:v>14.383860262891794</c:v>
                </c:pt>
                <c:pt idx="132">
                  <c:v>14.325426399450139</c:v>
                </c:pt>
                <c:pt idx="133">
                  <c:v>14.267404409736502</c:v>
                </c:pt>
                <c:pt idx="134">
                  <c:v>14.208423897569009</c:v>
                </c:pt>
                <c:pt idx="135">
                  <c:v>14.149863182178482</c:v>
                </c:pt>
                <c:pt idx="136">
                  <c:v>14.091716425427487</c:v>
                </c:pt>
                <c:pt idx="137">
                  <c:v>14.033977904669253</c:v>
                </c:pt>
                <c:pt idx="138">
                  <c:v>13.97534489721961</c:v>
                </c:pt>
                <c:pt idx="139">
                  <c:v>13.917127123925063</c:v>
                </c:pt>
                <c:pt idx="140">
                  <c:v>13.859318819833424</c:v>
                </c:pt>
                <c:pt idx="141">
                  <c:v>13.801914334190393</c:v>
                </c:pt>
                <c:pt idx="142">
                  <c:v>13.743561105007583</c:v>
                </c:pt>
                <c:pt idx="143">
                  <c:v>13.685619443349461</c:v>
                </c:pt>
                <c:pt idx="144">
                  <c:v>13.628083640405045</c:v>
                </c:pt>
                <c:pt idx="145">
                  <c:v>13.570948100682113</c:v>
                </c:pt>
                <c:pt idx="146">
                  <c:v>13.512897624424344</c:v>
                </c:pt>
                <c:pt idx="147">
                  <c:v>13.45525466964002</c:v>
                </c:pt>
                <c:pt idx="148">
                  <c:v>13.398013593008734</c:v>
                </c:pt>
                <c:pt idx="149">
                  <c:v>13.341168863369017</c:v>
                </c:pt>
                <c:pt idx="150">
                  <c:v>13.283414349881316</c:v>
                </c:pt>
                <c:pt idx="151">
                  <c:v>13.226063357244769</c:v>
                </c:pt>
                <c:pt idx="152">
                  <c:v>13.169110308090712</c:v>
                </c:pt>
                <c:pt idx="153">
                  <c:v>13.11254973600356</c:v>
                </c:pt>
                <c:pt idx="154">
                  <c:v>13.055058552981961</c:v>
                </c:pt>
                <c:pt idx="155">
                  <c:v>12.997967298376301</c:v>
                </c:pt>
                <c:pt idx="156">
                  <c:v>12.941270453670741</c:v>
                </c:pt>
                <c:pt idx="157">
                  <c:v>12.884962610251534</c:v>
                </c:pt>
                <c:pt idx="158">
                  <c:v>12.827731102608952</c:v>
                </c:pt>
                <c:pt idx="159">
                  <c:v>12.770895938637256</c:v>
                </c:pt>
                <c:pt idx="160">
                  <c:v>12.714451659783165</c:v>
                </c:pt>
                <c:pt idx="161">
                  <c:v>12.658392916283495</c:v>
                </c:pt>
                <c:pt idx="162">
                  <c:v>12.601442656681947</c:v>
                </c:pt>
                <c:pt idx="163">
                  <c:v>12.544884821729029</c:v>
                </c:pt>
                <c:pt idx="164">
                  <c:v>12.488714020892866</c:v>
                </c:pt>
                <c:pt idx="165">
                  <c:v>12.432924971075279</c:v>
                </c:pt>
                <c:pt idx="166">
                  <c:v>12.37620231805106</c:v>
                </c:pt>
                <c:pt idx="167">
                  <c:v>12.31986887401321</c:v>
                </c:pt>
                <c:pt idx="168">
                  <c:v>12.263919303120151</c:v>
                </c:pt>
                <c:pt idx="169">
                  <c:v>12.208348375930939</c:v>
                </c:pt>
                <c:pt idx="170">
                  <c:v>12.151970529349864</c:v>
                </c:pt>
                <c:pt idx="171">
                  <c:v>12.095977049876836</c:v>
                </c:pt>
                <c:pt idx="172">
                  <c:v>12.040362690649937</c:v>
                </c:pt>
                <c:pt idx="173">
                  <c:v>11.985122309237969</c:v>
                </c:pt>
                <c:pt idx="174">
                  <c:v>11.928872275646526</c:v>
                </c:pt>
                <c:pt idx="175">
                  <c:v>11.873004692605855</c:v>
                </c:pt>
                <c:pt idx="176">
                  <c:v>11.817514343458548</c:v>
                </c:pt>
                <c:pt idx="177">
                  <c:v>11.762396115536538</c:v>
                </c:pt>
                <c:pt idx="178">
                  <c:v>11.706303241201915</c:v>
                </c:pt>
                <c:pt idx="179">
                  <c:v>11.650590471037185</c:v>
                </c:pt>
                <c:pt idx="180">
                  <c:v>11.595252628331252</c:v>
                </c:pt>
                <c:pt idx="181">
                  <c:v>11.540284639637612</c:v>
                </c:pt>
                <c:pt idx="182">
                  <c:v>11.484593158118592</c:v>
                </c:pt>
                <c:pt idx="183">
                  <c:v>11.429276127170896</c:v>
                </c:pt>
                <c:pt idx="184">
                  <c:v>11.374328478021592</c:v>
                </c:pt>
                <c:pt idx="185">
                  <c:v>11.319745242612676</c:v>
                </c:pt>
                <c:pt idx="186">
                  <c:v>11.264038082189366</c:v>
                </c:pt>
                <c:pt idx="187">
                  <c:v>11.208705299675731</c:v>
                </c:pt>
                <c:pt idx="188">
                  <c:v>11.153741821900082</c:v>
                </c:pt>
                <c:pt idx="189">
                  <c:v>11.099142676803522</c:v>
                </c:pt>
                <c:pt idx="190">
                  <c:v>11.04387134631715</c:v>
                </c:pt>
                <c:pt idx="191">
                  <c:v>10.988968270610791</c:v>
                </c:pt>
                <c:pt idx="192">
                  <c:v>10.93442849512617</c:v>
                </c:pt>
                <c:pt idx="193">
                  <c:v>10.880247163541661</c:v>
                </c:pt>
                <c:pt idx="194">
                  <c:v>10.82501301873714</c:v>
                </c:pt>
                <c:pt idx="195">
                  <c:v>10.770146303104367</c:v>
                </c:pt>
                <c:pt idx="196">
                  <c:v>10.715642074544514</c:v>
                </c:pt>
                <c:pt idx="197">
                  <c:v>10.661495489100275</c:v>
                </c:pt>
                <c:pt idx="198">
                  <c:v>10.606527747546469</c:v>
                </c:pt>
                <c:pt idx="199">
                  <c:v>10.551923558908815</c:v>
                </c:pt>
                <c:pt idx="200">
                  <c:v>10.497678055463027</c:v>
                </c:pt>
                <c:pt idx="201">
                  <c:v>10.44378646587856</c:v>
                </c:pt>
                <c:pt idx="202">
                  <c:v>10.389100564621112</c:v>
                </c:pt>
                <c:pt idx="203">
                  <c:v>10.334774141732993</c:v>
                </c:pt>
                <c:pt idx="204">
                  <c:v>10.280802408177374</c:v>
                </c:pt>
                <c:pt idx="205">
                  <c:v>10.227180669433523</c:v>
                </c:pt>
                <c:pt idx="206">
                  <c:v>10.172604648471131</c:v>
                </c:pt>
                <c:pt idx="207">
                  <c:v>10.118386283428809</c:v>
                </c:pt>
                <c:pt idx="208">
                  <c:v>10.064520819509752</c:v>
                </c:pt>
                <c:pt idx="209">
                  <c:v>10.011003595704906</c:v>
                </c:pt>
                <c:pt idx="210">
                  <c:v>9.9563829819306662</c:v>
                </c:pt>
                <c:pt idx="211">
                  <c:v>9.9021202058303643</c:v>
                </c:pt>
                <c:pt idx="212">
                  <c:v>9.8482105075506201</c:v>
                </c:pt>
                <c:pt idx="213">
                  <c:v>9.7946492213110776</c:v>
                </c:pt>
                <c:pt idx="214">
                  <c:v>9.7403744244760233</c:v>
                </c:pt>
                <c:pt idx="215">
                  <c:v>9.6864525528029581</c:v>
                </c:pt>
                <c:pt idx="216">
                  <c:v>9.6328789429062134</c:v>
                </c:pt>
                <c:pt idx="217">
                  <c:v>9.5796490230808331</c:v>
                </c:pt>
                <c:pt idx="218">
                  <c:v>9.5255562544384365</c:v>
                </c:pt>
                <c:pt idx="219">
                  <c:v>9.471813637069296</c:v>
                </c:pt>
                <c:pt idx="220">
                  <c:v>9.4184165618768958</c:v>
                </c:pt>
                <c:pt idx="221">
                  <c:v>9.3653605101454254</c:v>
                </c:pt>
                <c:pt idx="222">
                  <c:v>9.3114695785931634</c:v>
                </c:pt>
                <c:pt idx="223">
                  <c:v>9.257925773826619</c:v>
                </c:pt>
                <c:pt idx="224">
                  <c:v>9.2047245461788982</c:v>
                </c:pt>
                <c:pt idx="225">
                  <c:v>9.1518614349178069</c:v>
                </c:pt>
                <c:pt idx="226">
                  <c:v>9.0980271480883061</c:v>
                </c:pt>
                <c:pt idx="227">
                  <c:v>9.0445388290520725</c:v>
                </c:pt>
                <c:pt idx="228">
                  <c:v>8.991391951262214</c:v>
                </c:pt>
                <c:pt idx="229">
                  <c:v>8.9385820765917536</c:v>
                </c:pt>
                <c:pt idx="230">
                  <c:v>8.8314281989395713</c:v>
                </c:pt>
                <c:pt idx="231">
                  <c:v>8.7783634239368986</c:v>
                </c:pt>
                <c:pt idx="232">
                  <c:v>8.7256341846323799</c:v>
                </c:pt>
                <c:pt idx="233">
                  <c:v>8.671996277917307</c:v>
                </c:pt>
                <c:pt idx="234">
                  <c:v>8.6187009487613668</c:v>
                </c:pt>
                <c:pt idx="235">
                  <c:v>8.5657437386369466</c:v>
                </c:pt>
                <c:pt idx="236">
                  <c:v>8.5131202758047095</c:v>
                </c:pt>
                <c:pt idx="237">
                  <c:v>8.4597686160686276</c:v>
                </c:pt>
                <c:pt idx="238">
                  <c:v>8.4067554566937872</c:v>
                </c:pt>
                <c:pt idx="239">
                  <c:v>8.3540764195993624</c:v>
                </c:pt>
                <c:pt idx="240">
                  <c:v>8.3017272114637777</c:v>
                </c:pt>
                <c:pt idx="241">
                  <c:v>8.2483777053881386</c:v>
                </c:pt>
                <c:pt idx="242">
                  <c:v>8.195366227585918</c:v>
                </c:pt>
                <c:pt idx="243">
                  <c:v>8.1426884106829522</c:v>
                </c:pt>
                <c:pt idx="244">
                  <c:v>8.0903399718239122</c:v>
                </c:pt>
                <c:pt idx="245">
                  <c:v>8.0371674917751115</c:v>
                </c:pt>
                <c:pt idx="246">
                  <c:v>7.9843303622409199</c:v>
                </c:pt>
                <c:pt idx="247">
                  <c:v>7.9318242692425649</c:v>
                </c:pt>
                <c:pt idx="248">
                  <c:v>7.8796449819738559</c:v>
                </c:pt>
                <c:pt idx="249">
                  <c:v>7.8265275511202841</c:v>
                </c:pt>
                <c:pt idx="250">
                  <c:v>7.773744332913175</c:v>
                </c:pt>
                <c:pt idx="251">
                  <c:v>7.7212910371731569</c:v>
                </c:pt>
                <c:pt idx="252">
                  <c:v>7.6691634562987563</c:v>
                </c:pt>
                <c:pt idx="253">
                  <c:v>7.6162644854816497</c:v>
                </c:pt>
                <c:pt idx="254">
                  <c:v>7.5636965485502197</c:v>
                </c:pt>
                <c:pt idx="255">
                  <c:v>7.5114554182363396</c:v>
                </c:pt>
                <c:pt idx="256">
                  <c:v>7.4595369482496832</c:v>
                </c:pt>
                <c:pt idx="257">
                  <c:v>7.4066044846328065</c:v>
                </c:pt>
                <c:pt idx="258">
                  <c:v>7.3540030279345707</c:v>
                </c:pt>
                <c:pt idx="259">
                  <c:v>7.3017283535547994</c:v>
                </c:pt>
                <c:pt idx="260">
                  <c:v>7.2497763178002561</c:v>
                </c:pt>
                <c:pt idx="261">
                  <c:v>7.1969730390960454</c:v>
                </c:pt>
                <c:pt idx="262">
                  <c:v>7.1444987144598526</c:v>
                </c:pt>
                <c:pt idx="263">
                  <c:v>7.0923491606230229</c:v>
                </c:pt>
                <c:pt idx="264">
                  <c:v>7.0405202741626898</c:v>
                </c:pt>
                <c:pt idx="265">
                  <c:v>6.9878668789758809</c:v>
                </c:pt>
                <c:pt idx="266">
                  <c:v>6.9355401371267309</c:v>
                </c:pt>
                <c:pt idx="267">
                  <c:v>6.8835359112621575</c:v>
                </c:pt>
                <c:pt idx="268">
                  <c:v>6.8318501426942717</c:v>
                </c:pt>
                <c:pt idx="269">
                  <c:v>6.7792418539103894</c:v>
                </c:pt>
                <c:pt idx="270">
                  <c:v>6.7269592199142947</c:v>
                </c:pt>
                <c:pt idx="271">
                  <c:v>6.6749981245068568</c:v>
                </c:pt>
                <c:pt idx="272">
                  <c:v>6.6233545295953791</c:v>
                </c:pt>
                <c:pt idx="273">
                  <c:v>6.5708176114778594</c:v>
                </c:pt>
                <c:pt idx="274">
                  <c:v>6.5186050277381193</c:v>
                </c:pt>
                <c:pt idx="275">
                  <c:v>6.4667126893501345</c:v>
                </c:pt>
                <c:pt idx="276">
                  <c:v>6.4151365846789261</c:v>
                </c:pt>
                <c:pt idx="277">
                  <c:v>6.3628129807842591</c:v>
                </c:pt>
                <c:pt idx="278">
                  <c:v>6.31081065424282</c:v>
                </c:pt>
                <c:pt idx="279">
                  <c:v>6.2591255757058555</c:v>
                </c:pt>
                <c:pt idx="280">
                  <c:v>6.2077537916818954</c:v>
                </c:pt>
                <c:pt idx="281">
                  <c:v>6.1553125116278924</c:v>
                </c:pt>
                <c:pt idx="282">
                  <c:v>6.1031935125679446</c:v>
                </c:pt>
                <c:pt idx="283">
                  <c:v>6.0513927484556573</c:v>
                </c:pt>
                <c:pt idx="284">
                  <c:v>5.9999062494779558</c:v>
                </c:pt>
                <c:pt idx="285">
                  <c:v>5.9477209492836902</c:v>
                </c:pt>
                <c:pt idx="286">
                  <c:v>5.8958543651079331</c:v>
                </c:pt>
                <c:pt idx="287">
                  <c:v>5.8443025196730636</c:v>
                </c:pt>
                <c:pt idx="288">
                  <c:v>5.7930615101710945</c:v>
                </c:pt>
                <c:pt idx="289">
                  <c:v>5.740814286428801</c:v>
                </c:pt>
                <c:pt idx="290">
                  <c:v>5.6888860959819461</c:v>
                </c:pt>
                <c:pt idx="291">
                  <c:v>5.6372729575580003</c:v>
                </c:pt>
                <c:pt idx="292">
                  <c:v>5.5859709644020956</c:v>
                </c:pt>
                <c:pt idx="293">
                  <c:v>5.5338014366674386</c:v>
                </c:pt>
                <c:pt idx="294">
                  <c:v>5.4819495586000215</c:v>
                </c:pt>
                <c:pt idx="295">
                  <c:v>5.4304113765098352</c:v>
                </c:pt>
                <c:pt idx="296">
                  <c:v>5.3791830104833247</c:v>
                </c:pt>
                <c:pt idx="297">
                  <c:v>5.3271139603177602</c:v>
                </c:pt>
                <c:pt idx="298">
                  <c:v>5.2753609023758719</c:v>
                </c:pt>
                <c:pt idx="299">
                  <c:v>5.2239199154025524</c:v>
                </c:pt>
                <c:pt idx="300">
                  <c:v>5.1727871510561707</c:v>
                </c:pt>
                <c:pt idx="301">
                  <c:v>5.1208395265029658</c:v>
                </c:pt>
                <c:pt idx="302">
                  <c:v>5.0692059872709505</c:v>
                </c:pt>
                <c:pt idx="303">
                  <c:v>5.0178826488741093</c:v>
                </c:pt>
                <c:pt idx="304">
                  <c:v>4.9668656987693769</c:v>
                </c:pt>
                <c:pt idx="305">
                  <c:v>4.914860068204093</c:v>
                </c:pt>
                <c:pt idx="306">
                  <c:v>4.8631687788167763</c:v>
                </c:pt>
                <c:pt idx="307">
                  <c:v>4.8117879426280847</c:v>
                </c:pt>
                <c:pt idx="308">
                  <c:v>4.760713743620145</c:v>
                </c:pt>
                <c:pt idx="309">
                  <c:v>4.7088757743604246</c:v>
                </c:pt>
                <c:pt idx="310">
                  <c:v>4.6573496826851892</c:v>
                </c:pt>
                <c:pt idx="311">
                  <c:v>4.6061316270948378</c:v>
                </c:pt>
                <c:pt idx="312">
                  <c:v>4.5552178368394873</c:v>
                </c:pt>
                <c:pt idx="313">
                  <c:v>4.5033738652668678</c:v>
                </c:pt>
                <c:pt idx="314">
                  <c:v>4.451841391971378</c:v>
                </c:pt>
                <c:pt idx="315">
                  <c:v>4.4006165831876194</c:v>
                </c:pt>
                <c:pt idx="316">
                  <c:v>4.3496956756362515</c:v>
                </c:pt>
                <c:pt idx="317">
                  <c:v>4.297873349029361</c:v>
                </c:pt>
                <c:pt idx="318">
                  <c:v>4.2463618032009141</c:v>
                </c:pt>
                <c:pt idx="319">
                  <c:v>4.1951572180535202</c:v>
                </c:pt>
                <c:pt idx="320">
                  <c:v>4.1442558435638803</c:v>
                </c:pt>
                <c:pt idx="321">
                  <c:v>4.0924807457105787</c:v>
                </c:pt>
                <c:pt idx="322">
                  <c:v>4.0410153983911794</c:v>
                </c:pt>
                <c:pt idx="323">
                  <c:v>3.9898560005920252</c:v>
                </c:pt>
                <c:pt idx="324">
                  <c:v>3.9389988208268067</c:v>
                </c:pt>
                <c:pt idx="325">
                  <c:v>3.8872945772170513</c:v>
                </c:pt>
                <c:pt idx="326">
                  <c:v>3.8358987654928844</c:v>
                </c:pt>
                <c:pt idx="327">
                  <c:v>3.7848076086382783</c:v>
                </c:pt>
                <c:pt idx="328">
                  <c:v>3.7340173984963854</c:v>
                </c:pt>
                <c:pt idx="329">
                  <c:v>3.6823197298418338</c:v>
                </c:pt>
                <c:pt idx="330">
                  <c:v>3.630929929974184</c:v>
                </c:pt>
                <c:pt idx="331">
                  <c:v>3.5798442316424479</c:v>
                </c:pt>
                <c:pt idx="332">
                  <c:v>3.5290589361289237</c:v>
                </c:pt>
                <c:pt idx="333">
                  <c:v>3.4774779308141239</c:v>
                </c:pt>
                <c:pt idx="334">
                  <c:v>3.4262029148528033</c:v>
                </c:pt>
                <c:pt idx="335">
                  <c:v>3.3752301543959713</c:v>
                </c:pt>
                <c:pt idx="336">
                  <c:v>3.3245559832286125</c:v>
                </c:pt>
                <c:pt idx="337">
                  <c:v>3.2729456908247068</c:v>
                </c:pt>
                <c:pt idx="338">
                  <c:v>3.2216412237961785</c:v>
                </c:pt>
                <c:pt idx="339">
                  <c:v>3.1706388499119487</c:v>
                </c:pt>
                <c:pt idx="340">
                  <c:v>3.119934904438467</c:v>
                </c:pt>
                <c:pt idx="341">
                  <c:v>3.0683234104910113</c:v>
                </c:pt>
                <c:pt idx="342">
                  <c:v>3.0170172281554493</c:v>
                </c:pt>
                <c:pt idx="343">
                  <c:v>2.9660126327220473</c:v>
                </c:pt>
                <c:pt idx="344">
                  <c:v>2.9153059666954064</c:v>
                </c:pt>
                <c:pt idx="345">
                  <c:v>2.8637975565607947</c:v>
                </c:pt>
                <c:pt idx="346">
                  <c:v>2.812592698223221</c:v>
                </c:pt>
                <c:pt idx="347">
                  <c:v>2.7616876966781341</c:v>
                </c:pt>
                <c:pt idx="348">
                  <c:v>2.711078923316887</c:v>
                </c:pt>
                <c:pt idx="349">
                  <c:v>2.6595392186382623</c:v>
                </c:pt>
                <c:pt idx="350">
                  <c:v>2.6083028667841681</c:v>
                </c:pt>
                <c:pt idx="351">
                  <c:v>2.5573661734519089</c:v>
                </c:pt>
                <c:pt idx="352">
                  <c:v>2.5067255106053192</c:v>
                </c:pt>
                <c:pt idx="353">
                  <c:v>2.4551820840512657</c:v>
                </c:pt>
                <c:pt idx="354">
                  <c:v>2.4039414621790907</c:v>
                </c:pt>
                <c:pt idx="355">
                  <c:v>2.3529999571290086</c:v>
                </c:pt>
                <c:pt idx="356">
                  <c:v>2.3023539470352161</c:v>
                </c:pt>
                <c:pt idx="357">
                  <c:v>2.2509052640412568</c:v>
                </c:pt>
                <c:pt idx="358">
                  <c:v>2.1997576598856918</c:v>
                </c:pt>
                <c:pt idx="359">
                  <c:v>2.1489074739178418</c:v>
                </c:pt>
                <c:pt idx="360">
                  <c:v>2.0983511107099013</c:v>
                </c:pt>
                <c:pt idx="361">
                  <c:v>2.0468730661468753</c:v>
                </c:pt>
                <c:pt idx="362">
                  <c:v>1.9956957955561618</c:v>
                </c:pt>
                <c:pt idx="363">
                  <c:v>1.9448156389205202</c:v>
                </c:pt>
                <c:pt idx="364">
                  <c:v>1.8942290012983678</c:v>
                </c:pt>
                <c:pt idx="365">
                  <c:v>1.8428179149316839</c:v>
                </c:pt>
                <c:pt idx="366">
                  <c:v>1.7917061427278127</c:v>
                </c:pt>
                <c:pt idx="367">
                  <c:v>1.7408900455254277</c:v>
                </c:pt>
                <c:pt idx="368">
                  <c:v>1.6903660486068812</c:v>
                </c:pt>
                <c:pt idx="369">
                  <c:v>1.6389056427381594</c:v>
                </c:pt>
                <c:pt idx="370">
                  <c:v>1.5877444049095875</c:v>
                </c:pt>
                <c:pt idx="371">
                  <c:v>1.5368786920632314</c:v>
                </c:pt>
                <c:pt idx="372">
                  <c:v>1.4863049255276883</c:v>
                </c:pt>
                <c:pt idx="373">
                  <c:v>1.4348891330969138</c:v>
                </c:pt>
                <c:pt idx="374">
                  <c:v>1.3837712314235382</c:v>
                </c:pt>
                <c:pt idx="375">
                  <c:v>1.3329475932075132</c:v>
                </c:pt>
                <c:pt idx="376">
                  <c:v>1.2824146550072637</c:v>
                </c:pt>
                <c:pt idx="377">
                  <c:v>1.2309342903954494</c:v>
                </c:pt>
                <c:pt idx="378">
                  <c:v>1.1797517542931739</c:v>
                </c:pt>
                <c:pt idx="379">
                  <c:v>1.1288634119988703</c:v>
                </c:pt>
                <c:pt idx="380">
                  <c:v>1.0782656926730421</c:v>
                </c:pt>
                <c:pt idx="381">
                  <c:v>1.0268755845785897</c:v>
                </c:pt>
                <c:pt idx="382">
                  <c:v>0.97578140657807722</c:v>
                </c:pt>
                <c:pt idx="383">
                  <c:v>0.92497954895008772</c:v>
                </c:pt>
                <c:pt idx="384">
                  <c:v>0.87446646507222003</c:v>
                </c:pt>
                <c:pt idx="385">
                  <c:v>0.82299746037049826</c:v>
                </c:pt>
                <c:pt idx="386">
                  <c:v>0.77182437545844695</c:v>
                </c:pt>
                <c:pt idx="387">
                  <c:v>0.72094358992220098</c:v>
                </c:pt>
                <c:pt idx="388">
                  <c:v>0.67035154650124096</c:v>
                </c:pt>
                <c:pt idx="389">
                  <c:v>0.61889229534573209</c:v>
                </c:pt>
                <c:pt idx="390">
                  <c:v>0.56772787136548153</c:v>
                </c:pt>
                <c:pt idx="391">
                  <c:v>0.51685466188889817</c:v>
                </c:pt>
                <c:pt idx="392">
                  <c:v>0.46626911700977686</c:v>
                </c:pt>
                <c:pt idx="393">
                  <c:v>0.41484128443092461</c:v>
                </c:pt>
                <c:pt idx="394">
                  <c:v>0.36370687141252889</c:v>
                </c:pt>
                <c:pt idx="395">
                  <c:v>0.31286227737285738</c:v>
                </c:pt>
                <c:pt idx="396">
                  <c:v>0.2623039639929432</c:v>
                </c:pt>
                <c:pt idx="397">
                  <c:v>0.21081137962606342</c:v>
                </c:pt>
                <c:pt idx="398">
                  <c:v>0.15961182430089527</c:v>
                </c:pt>
                <c:pt idx="399">
                  <c:v>0.10870168925923773</c:v>
                </c:pt>
                <c:pt idx="400">
                  <c:v>5.80774279518637E-2</c:v>
                </c:pt>
                <c:pt idx="401">
                  <c:v>6.6024015463166108E-3</c:v>
                </c:pt>
                <c:pt idx="402">
                  <c:v>-4.4581007092852551E-2</c:v>
                </c:pt>
                <c:pt idx="403">
                  <c:v>-9.5476397866934792E-2</c:v>
                </c:pt>
                <c:pt idx="404">
                  <c:v>-0.14608730893145272</c:v>
                </c:pt>
                <c:pt idx="405">
                  <c:v>-0.19758050079320816</c:v>
                </c:pt>
                <c:pt idx="406">
                  <c:v>-0.24878317465976607</c:v>
                </c:pt>
                <c:pt idx="407">
                  <c:v>-0.2996989292072012</c:v>
                </c:pt>
                <c:pt idx="408">
                  <c:v>-0.35033130167476978</c:v>
                </c:pt>
                <c:pt idx="409">
                  <c:v>-0.40187538566099212</c:v>
                </c:pt>
                <c:pt idx="410">
                  <c:v>-0.45312978847813262</c:v>
                </c:pt>
                <c:pt idx="411">
                  <c:v>-0.50409811456789411</c:v>
                </c:pt>
                <c:pt idx="412">
                  <c:v>-0.55478390710875447</c:v>
                </c:pt>
                <c:pt idx="413">
                  <c:v>-0.60635591156528745</c:v>
                </c:pt>
                <c:pt idx="414">
                  <c:v>-0.65763944563131438</c:v>
                </c:pt>
                <c:pt idx="415">
                  <c:v>-0.70863811489095774</c:v>
                </c:pt>
                <c:pt idx="416">
                  <c:v>-0.7593554639687663</c:v>
                </c:pt>
                <c:pt idx="417">
                  <c:v>-0.81098639441979303</c:v>
                </c:pt>
                <c:pt idx="418">
                  <c:v>-0.86232984719720829</c:v>
                </c:pt>
                <c:pt idx="419">
                  <c:v>-0.91338943566792297</c:v>
                </c:pt>
                <c:pt idx="420">
                  <c:v>-0.96416871242162561</c:v>
                </c:pt>
                <c:pt idx="421">
                  <c:v>-1.0157858264780506</c:v>
                </c:pt>
                <c:pt idx="422">
                  <c:v>-1.0671174005670219</c:v>
                </c:pt>
                <c:pt idx="423">
                  <c:v>-1.1181670408338631</c:v>
                </c:pt>
                <c:pt idx="424">
                  <c:v>-1.1689382931932428</c:v>
                </c:pt>
                <c:pt idx="425">
                  <c:v>-1.2206737370247713</c:v>
                </c:pt>
                <c:pt idx="426">
                  <c:v>-1.2721242732138589</c:v>
                </c:pt>
                <c:pt idx="427">
                  <c:v>-1.3232935284390799</c:v>
                </c:pt>
                <c:pt idx="428">
                  <c:v>-1.3741850691112159</c:v>
                </c:pt>
                <c:pt idx="429">
                  <c:v>-1.4259661668250267</c:v>
                </c:pt>
                <c:pt idx="430">
                  <c:v>-1.4774639616512202</c:v>
                </c:pt>
                <c:pt idx="431">
                  <c:v>-1.5286820857997887</c:v>
                </c:pt>
                <c:pt idx="432">
                  <c:v>-1.579624111544335</c:v>
                </c:pt>
                <c:pt idx="433">
                  <c:v>-1.6314322855757781</c:v>
                </c:pt>
                <c:pt idx="434">
                  <c:v>-1.6829591457716231</c:v>
                </c:pt>
                <c:pt idx="435">
                  <c:v>-1.7342083261496042</c:v>
                </c:pt>
                <c:pt idx="436">
                  <c:v>-1.7851834012404244</c:v>
                </c:pt>
                <c:pt idx="437">
                  <c:v>-1.8370951842836325</c:v>
                </c:pt>
                <c:pt idx="438">
                  <c:v>-1.8887270161651271</c:v>
                </c:pt>
                <c:pt idx="439">
                  <c:v>-1.9400825489032678</c:v>
                </c:pt>
                <c:pt idx="440">
                  <c:v>-1.9911653751669256</c:v>
                </c:pt>
                <c:pt idx="441">
                  <c:v>-2.0431607386738584</c:v>
                </c:pt>
                <c:pt idx="442">
                  <c:v>-2.0948779570600018</c:v>
                </c:pt>
                <c:pt idx="443">
                  <c:v>-2.1463206963099015</c:v>
                </c:pt>
                <c:pt idx="444">
                  <c:v>-2.1974925633284466</c:v>
                </c:pt>
                <c:pt idx="445">
                  <c:v>-2.2495539830655291</c:v>
                </c:pt>
                <c:pt idx="446">
                  <c:v>-2.3013394943002057</c:v>
                </c:pt>
                <c:pt idx="447">
                  <c:v>-2.3528527734255493</c:v>
                </c:pt>
                <c:pt idx="448">
                  <c:v>-2.4040974381465259</c:v>
                </c:pt>
                <c:pt idx="449">
                  <c:v>-2.4562969831866273</c:v>
                </c:pt>
                <c:pt idx="450">
                  <c:v>-2.5082223645920934</c:v>
                </c:pt>
                <c:pt idx="451">
                  <c:v>-2.5598772844836071</c:v>
                </c:pt>
                <c:pt idx="452">
                  <c:v>-2.6112653864096518</c:v>
                </c:pt>
                <c:pt idx="453">
                  <c:v>-2.6635423660046325</c:v>
                </c:pt>
                <c:pt idx="454">
                  <c:v>-2.7155478590776152</c:v>
                </c:pt>
                <c:pt idx="455">
                  <c:v>-2.7672855807182528</c:v>
                </c:pt>
                <c:pt idx="456">
                  <c:v>-2.818759187879682</c:v>
                </c:pt>
                <c:pt idx="457">
                  <c:v>-2.8711845133513139</c:v>
                </c:pt>
                <c:pt idx="458">
                  <c:v>-2.9233406152778811</c:v>
                </c:pt>
                <c:pt idx="459">
                  <c:v>-2.9752312367898726</c:v>
                </c:pt>
                <c:pt idx="460">
                  <c:v>-3.0268600630556768</c:v>
                </c:pt>
                <c:pt idx="461">
                  <c:v>-3.0794185362691398</c:v>
                </c:pt>
                <c:pt idx="462">
                  <c:v>-3.1317105615009377</c:v>
                </c:pt>
                <c:pt idx="463">
                  <c:v>-3.1837399066625069</c:v>
                </c:pt>
                <c:pt idx="464">
                  <c:v>-3.2355102820001806</c:v>
                </c:pt>
                <c:pt idx="465">
                  <c:v>-3.2882296927887817</c:v>
                </c:pt>
                <c:pt idx="466">
                  <c:v>-3.3406855366574337</c:v>
                </c:pt>
                <c:pt idx="467">
                  <c:v>-3.3928816121216832</c:v>
                </c:pt>
                <c:pt idx="468">
                  <c:v>-3.4448216602654682</c:v>
                </c:pt>
                <c:pt idx="469">
                  <c:v>-3.4976901272183856</c:v>
                </c:pt>
                <c:pt idx="470">
                  <c:v>-3.5502984464381764</c:v>
                </c:pt>
                <c:pt idx="471">
                  <c:v>-3.6026504442300746</c:v>
                </c:pt>
                <c:pt idx="472">
                  <c:v>-3.6547498898112396</c:v>
                </c:pt>
                <c:pt idx="473">
                  <c:v>-3.7078357082375497</c:v>
                </c:pt>
                <c:pt idx="474">
                  <c:v>-3.7606645878046345</c:v>
                </c:pt>
                <c:pt idx="475">
                  <c:v>-3.8132403969830313</c:v>
                </c:pt>
                <c:pt idx="476">
                  <c:v>-3.8655669472662932</c:v>
                </c:pt>
                <c:pt idx="477">
                  <c:v>-3.9188598129370873</c:v>
                </c:pt>
                <c:pt idx="478">
                  <c:v>-3.971899555741933</c:v>
                </c:pt>
                <c:pt idx="479">
                  <c:v>-4.0246900835137014</c:v>
                </c:pt>
                <c:pt idx="480">
                  <c:v>-4.077235247324893</c:v>
                </c:pt>
                <c:pt idx="481">
                  <c:v>-4.1307281614148836</c:v>
                </c:pt>
                <c:pt idx="482">
                  <c:v>-4.1839723724173776</c:v>
                </c:pt>
                <c:pt idx="483">
                  <c:v>-4.2369718251008806</c:v>
                </c:pt>
                <c:pt idx="484">
                  <c:v>-4.2897304077778884</c:v>
                </c:pt>
                <c:pt idx="485">
                  <c:v>-4.3434561689413131</c:v>
                </c:pt>
                <c:pt idx="486">
                  <c:v>-4.3969379186963202</c:v>
                </c:pt>
                <c:pt idx="487">
                  <c:v>-4.4501796447273438</c:v>
                </c:pt>
                <c:pt idx="488">
                  <c:v>-4.5031852784841826</c:v>
                </c:pt>
                <c:pt idx="489">
                  <c:v>-4.5572132610863587</c:v>
                </c:pt>
                <c:pt idx="490">
                  <c:v>-4.6110019324657863</c:v>
                </c:pt>
                <c:pt idx="491">
                  <c:v>-4.6645553370354742</c:v>
                </c:pt>
                <c:pt idx="492">
                  <c:v>-4.7178774629589979</c:v>
                </c:pt>
                <c:pt idx="493">
                  <c:v>-4.7722051511525985</c:v>
                </c:pt>
                <c:pt idx="494">
                  <c:v>-4.8262989453713745</c:v>
                </c:pt>
                <c:pt idx="495">
                  <c:v>-4.880162944134522</c:v>
                </c:pt>
                <c:pt idx="496">
                  <c:v>-4.9338011897537921</c:v>
                </c:pt>
                <c:pt idx="497">
                  <c:v>-4.9884645553435174</c:v>
                </c:pt>
                <c:pt idx="498">
                  <c:v>-5.0428998741634015</c:v>
                </c:pt>
                <c:pt idx="499">
                  <c:v>-5.0971113042138603</c:v>
                </c:pt>
                <c:pt idx="500">
                  <c:v>-5.1511029472182326</c:v>
                </c:pt>
                <c:pt idx="501">
                  <c:v>-5.2061395956509955</c:v>
                </c:pt>
                <c:pt idx="502">
                  <c:v>-5.2609545283579759</c:v>
                </c:pt>
                <c:pt idx="503">
                  <c:v>-5.315551967876246</c:v>
                </c:pt>
                <c:pt idx="504">
                  <c:v>-5.369936080266501</c:v>
                </c:pt>
                <c:pt idx="505">
                  <c:v>-5.425352020846975</c:v>
                </c:pt>
                <c:pt idx="506">
                  <c:v>-5.4805533723366517</c:v>
                </c:pt>
                <c:pt idx="507">
                  <c:v>-5.5355444187007565</c:v>
                </c:pt>
                <c:pt idx="508">
                  <c:v>-5.5903293872121873</c:v>
                </c:pt>
                <c:pt idx="509">
                  <c:v>-5.6461679292650064</c:v>
                </c:pt>
                <c:pt idx="510">
                  <c:v>-5.7017995602636438</c:v>
                </c:pt>
                <c:pt idx="511">
                  <c:v>-5.7572286299369626</c:v>
                </c:pt>
                <c:pt idx="512">
                  <c:v>-5.8124594309170687</c:v>
                </c:pt>
                <c:pt idx="513">
                  <c:v>-5.8687988412958747</c:v>
                </c:pt>
                <c:pt idx="514">
                  <c:v>-5.9249393948257625</c:v>
                </c:pt>
                <c:pt idx="515">
                  <c:v>-5.9808855182417853</c:v>
                </c:pt>
                <c:pt idx="516">
                  <c:v>-6.0366415804235052</c:v>
                </c:pt>
                <c:pt idx="517">
                  <c:v>-6.093496821374849</c:v>
                </c:pt>
                <c:pt idx="518">
                  <c:v>-6.1501621673395857</c:v>
                </c:pt>
                <c:pt idx="519">
                  <c:v>-6.2066421169241242</c:v>
                </c:pt>
                <c:pt idx="520">
                  <c:v>-6.2629411099953236</c:v>
                </c:pt>
                <c:pt idx="521">
                  <c:v>-6.320363685390439</c:v>
                </c:pt>
                <c:pt idx="522">
                  <c:v>-6.3776060299962891</c:v>
                </c:pt>
                <c:pt idx="523">
                  <c:v>-6.4346727158182473</c:v>
                </c:pt>
                <c:pt idx="524">
                  <c:v>-6.4915682549293452</c:v>
                </c:pt>
                <c:pt idx="525">
                  <c:v>-6.5496129707965958</c:v>
                </c:pt>
                <c:pt idx="526">
                  <c:v>-6.607487866271228</c:v>
                </c:pt>
                <c:pt idx="527">
                  <c:v>-6.6651975868386408</c:v>
                </c:pt>
                <c:pt idx="528">
                  <c:v>-6.7227467164972357</c:v>
                </c:pt>
                <c:pt idx="529">
                  <c:v>-6.7814719596171695</c:v>
                </c:pt>
                <c:pt idx="530">
                  <c:v>-6.8400385773646306</c:v>
                </c:pt>
                <c:pt idx="531">
                  <c:v>-6.8984512870079007</c:v>
                </c:pt>
                <c:pt idx="532">
                  <c:v>-6.9567147423521289</c:v>
                </c:pt>
                <c:pt idx="533">
                  <c:v>-7.0162133993755171</c:v>
                </c:pt>
                <c:pt idx="534">
                  <c:v>-7.0755652929940744</c:v>
                </c:pt>
                <c:pt idx="535">
                  <c:v>-7.1347752157663811</c:v>
                </c:pt>
                <c:pt idx="536">
                  <c:v>-7.1938478941898829</c:v>
                </c:pt>
                <c:pt idx="537">
                  <c:v>-7.2541246515950615</c:v>
                </c:pt>
                <c:pt idx="538">
                  <c:v>-7.3142676532702104</c:v>
                </c:pt>
                <c:pt idx="539">
                  <c:v>-7.3742817457529455</c:v>
                </c:pt>
                <c:pt idx="540">
                  <c:v>-7.4341717066382493</c:v>
                </c:pt>
                <c:pt idx="541">
                  <c:v>-7.4953581978539567</c:v>
                </c:pt>
                <c:pt idx="542">
                  <c:v>-7.5564245147318099</c:v>
                </c:pt>
                <c:pt idx="543">
                  <c:v>-7.6173755629809348</c:v>
                </c:pt>
                <c:pt idx="544">
                  <c:v>-7.6782161755797471</c:v>
                </c:pt>
                <c:pt idx="545">
                  <c:v>-7.7403567701632516</c:v>
                </c:pt>
                <c:pt idx="546">
                  <c:v>-7.8023917593112193</c:v>
                </c:pt>
                <c:pt idx="547">
                  <c:v>-7.8643260873798093</c:v>
                </c:pt>
                <c:pt idx="548">
                  <c:v>-7.9261646216483816</c:v>
                </c:pt>
                <c:pt idx="549">
                  <c:v>-7.9893388028401873</c:v>
                </c:pt>
                <c:pt idx="550">
                  <c:v>-8.0524227723159552</c:v>
                </c:pt>
                <c:pt idx="551">
                  <c:v>-8.1154214958819999</c:v>
                </c:pt>
                <c:pt idx="552">
                  <c:v>-8.1783398571597594</c:v>
                </c:pt>
                <c:pt idx="553">
                  <c:v>-8.2426611365934281</c:v>
                </c:pt>
                <c:pt idx="554">
                  <c:v>-8.3069083169286966</c:v>
                </c:pt>
                <c:pt idx="555">
                  <c:v>-8.3710863703952381</c:v>
                </c:pt>
                <c:pt idx="556">
                  <c:v>-8.4352001809534727</c:v>
                </c:pt>
                <c:pt idx="557">
                  <c:v>-8.5662556460143939</c:v>
                </c:pt>
                <c:pt idx="558">
                  <c:v>-8.6971019312981266</c:v>
                </c:pt>
                <c:pt idx="559">
                  <c:v>-8.8307710594842206</c:v>
                </c:pt>
                <c:pt idx="560">
                  <c:v>-8.9643010919026818</c:v>
                </c:pt>
                <c:pt idx="561">
                  <c:v>-9.1008947012133881</c:v>
                </c:pt>
                <c:pt idx="562">
                  <c:v>-9.2374211159072441</c:v>
                </c:pt>
                <c:pt idx="563">
                  <c:v>-9.3768464639311269</c:v>
                </c:pt>
                <c:pt idx="564">
                  <c:v>-9.5162780056811016</c:v>
                </c:pt>
                <c:pt idx="565">
                  <c:v>-9.6592684044125345</c:v>
                </c:pt>
                <c:pt idx="566">
                  <c:v>-9.8023391777047664</c:v>
                </c:pt>
                <c:pt idx="567">
                  <c:v>-9.9490472610535541</c:v>
                </c:pt>
                <c:pt idx="568">
                  <c:v>-10.095910253185805</c:v>
                </c:pt>
                <c:pt idx="569">
                  <c:v>-10.245903565720267</c:v>
                </c:pt>
                <c:pt idx="570">
                  <c:v>-10.396123464111245</c:v>
                </c:pt>
                <c:pt idx="571">
                  <c:v>-10.550733933423</c:v>
                </c:pt>
                <c:pt idx="572">
                  <c:v>-10.705643870358214</c:v>
                </c:pt>
                <c:pt idx="573">
                  <c:v>-10.863845722504646</c:v>
                </c:pt>
                <c:pt idx="574">
                  <c:v>-11.022411553753715</c:v>
                </c:pt>
                <c:pt idx="575">
                  <c:v>-11.185536631576188</c:v>
                </c:pt>
                <c:pt idx="576">
                  <c:v>-11.349090236478601</c:v>
                </c:pt>
                <c:pt idx="577">
                  <c:v>-12.046626758796625</c:v>
                </c:pt>
                <c:pt idx="578">
                  <c:v>-12.752957505880971</c:v>
                </c:pt>
                <c:pt idx="579">
                  <c:v>-14.330801632295518</c:v>
                </c:pt>
                <c:pt idx="580">
                  <c:v>-16.098970774842986</c:v>
                </c:pt>
                <c:pt idx="581">
                  <c:v>-18.054115546106161</c:v>
                </c:pt>
                <c:pt idx="582">
                  <c:v>-20.18230531081624</c:v>
                </c:pt>
                <c:pt idx="583">
                  <c:v>-22.457157870312017</c:v>
                </c:pt>
                <c:pt idx="584">
                  <c:v>-24.852050075417644</c:v>
                </c:pt>
                <c:pt idx="585">
                  <c:v>-27.338771158055259</c:v>
                </c:pt>
                <c:pt idx="586">
                  <c:v>-29.894958464105144</c:v>
                </c:pt>
                <c:pt idx="587">
                  <c:v>-32.50417433579323</c:v>
                </c:pt>
                <c:pt idx="588">
                  <c:v>-35.150417476207714</c:v>
                </c:pt>
                <c:pt idx="589">
                  <c:v>-37.825618088487403</c:v>
                </c:pt>
                <c:pt idx="590">
                  <c:v>-40.520883547178073</c:v>
                </c:pt>
                <c:pt idx="591">
                  <c:v>-43.230012462536955</c:v>
                </c:pt>
                <c:pt idx="592">
                  <c:v>-45.947067065061191</c:v>
                </c:pt>
                <c:pt idx="593">
                  <c:v>-48.667794309677731</c:v>
                </c:pt>
                <c:pt idx="594">
                  <c:v>-51.386765901058524</c:v>
                </c:pt>
                <c:pt idx="595">
                  <c:v>-54.100146156021836</c:v>
                </c:pt>
                <c:pt idx="596">
                  <c:v>-56.803388694743632</c:v>
                </c:pt>
                <c:pt idx="597">
                  <c:v>-59.493567006465128</c:v>
                </c:pt>
                <c:pt idx="598">
                  <c:v>-62.167111337138998</c:v>
                </c:pt>
                <c:pt idx="599">
                  <c:v>-64.822480445464393</c:v>
                </c:pt>
                <c:pt idx="600">
                  <c:v>-67.457764430879422</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3889.4169910497644</c:v>
                </c:pt>
              </c:numCache>
            </c:numRef>
          </c:xVal>
          <c:yVal>
            <c:numRef>
              <c:f>'Stability Calculations'!$D$635</c:f>
              <c:numCache>
                <c:formatCode>0.00</c:formatCode>
                <c:ptCount val="1"/>
                <c:pt idx="0">
                  <c:v>22.873252158617603</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0.75342856523137813</c:v>
                </c:pt>
              </c:numCache>
            </c:numRef>
          </c:xVal>
          <c:yVal>
            <c:numRef>
              <c:f>'Stability Calculations'!$U$624</c:f>
              <c:numCache>
                <c:formatCode>0.00</c:formatCode>
                <c:ptCount val="1"/>
                <c:pt idx="0">
                  <c:v>104.76750983803184</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825.19311049896191</c:v>
                </c:pt>
              </c:numCache>
            </c:numRef>
          </c:xVal>
          <c:yVal>
            <c:numRef>
              <c:f>'Stability Calculations'!$D$632</c:f>
              <c:numCache>
                <c:formatCode>0.00</c:formatCode>
                <c:ptCount val="1"/>
                <c:pt idx="0">
                  <c:v>44.168448552332961</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795774.71636878187</c:v>
                </c:pt>
              </c:numCache>
            </c:numRef>
          </c:xVal>
          <c:yVal>
            <c:numRef>
              <c:f>'Stability Calculations'!$U$623</c:f>
              <c:numCache>
                <c:formatCode>0.00</c:formatCode>
                <c:ptCount val="1"/>
                <c:pt idx="0">
                  <c:v>-60.885363162499331</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-53.059921850532632</c:v>
                </c:pt>
                <c:pt idx="1">
                  <c:v>-55.566887066393193</c:v>
                </c:pt>
                <c:pt idx="2">
                  <c:v>-57.992966245341954</c:v>
                </c:pt>
                <c:pt idx="3">
                  <c:v>-60.324323799884255</c:v>
                </c:pt>
                <c:pt idx="4">
                  <c:v>-62.548773180232232</c:v>
                </c:pt>
                <c:pt idx="5">
                  <c:v>-64.662257105788299</c:v>
                </c:pt>
                <c:pt idx="6">
                  <c:v>-66.656869745436083</c:v>
                </c:pt>
                <c:pt idx="7">
                  <c:v>-68.531759402396801</c:v>
                </c:pt>
                <c:pt idx="8">
                  <c:v>-70.285654120605841</c:v>
                </c:pt>
                <c:pt idx="9">
                  <c:v>-71.921826355848864</c:v>
                </c:pt>
                <c:pt idx="10">
                  <c:v>-73.44271304340387</c:v>
                </c:pt>
                <c:pt idx="11">
                  <c:v>-74.85308829636557</c:v>
                </c:pt>
                <c:pt idx="12">
                  <c:v>-76.158932910447845</c:v>
                </c:pt>
                <c:pt idx="13">
                  <c:v>-77.364810887540045</c:v>
                </c:pt>
                <c:pt idx="14">
                  <c:v>-78.477822360699165</c:v>
                </c:pt>
                <c:pt idx="15">
                  <c:v>-79.503733589291301</c:v>
                </c:pt>
                <c:pt idx="16">
                  <c:v>-80.448844640810634</c:v>
                </c:pt>
                <c:pt idx="17">
                  <c:v>-81.31912375345361</c:v>
                </c:pt>
                <c:pt idx="18">
                  <c:v>-82.120717990108304</c:v>
                </c:pt>
                <c:pt idx="19">
                  <c:v>-82.859063847130955</c:v>
                </c:pt>
                <c:pt idx="20">
                  <c:v>-83.539698772500245</c:v>
                </c:pt>
                <c:pt idx="21">
                  <c:v>-84.167589022448411</c:v>
                </c:pt>
                <c:pt idx="22">
                  <c:v>-84.747684776791715</c:v>
                </c:pt>
                <c:pt idx="23">
                  <c:v>-85.284375200341898</c:v>
                </c:pt>
                <c:pt idx="24">
                  <c:v>-85.782054648723189</c:v>
                </c:pt>
                <c:pt idx="25">
                  <c:v>-86.244637136806318</c:v>
                </c:pt>
                <c:pt idx="26">
                  <c:v>-86.675975643718147</c:v>
                </c:pt>
                <c:pt idx="27">
                  <c:v>-87.079457970773859</c:v>
                </c:pt>
                <c:pt idx="28">
                  <c:v>-87.45843168958443</c:v>
                </c:pt>
                <c:pt idx="29">
                  <c:v>-87.815825246160387</c:v>
                </c:pt>
                <c:pt idx="30">
                  <c:v>-88.155209533166115</c:v>
                </c:pt>
                <c:pt idx="31">
                  <c:v>-88.478927228239925</c:v>
                </c:pt>
                <c:pt idx="32">
                  <c:v>-88.789913514731865</c:v>
                </c:pt>
                <c:pt idx="33">
                  <c:v>-89.090558928296701</c:v>
                </c:pt>
                <c:pt idx="34">
                  <c:v>-89.383625014126778</c:v>
                </c:pt>
                <c:pt idx="35">
                  <c:v>-89.671410826482614</c:v>
                </c:pt>
                <c:pt idx="36">
                  <c:v>-89.956384582230811</c:v>
                </c:pt>
                <c:pt idx="37">
                  <c:v>-90.241097719431153</c:v>
                </c:pt>
                <c:pt idx="38">
                  <c:v>-90.52767234758187</c:v>
                </c:pt>
                <c:pt idx="39">
                  <c:v>-90.818746393009604</c:v>
                </c:pt>
                <c:pt idx="40">
                  <c:v>-91.11665108072792</c:v>
                </c:pt>
                <c:pt idx="41">
                  <c:v>-91.423902047452401</c:v>
                </c:pt>
                <c:pt idx="42">
                  <c:v>-91.743014399650789</c:v>
                </c:pt>
                <c:pt idx="43">
                  <c:v>-92.07672938344345</c:v>
                </c:pt>
                <c:pt idx="44">
                  <c:v>-92.427711213615709</c:v>
                </c:pt>
                <c:pt idx="45">
                  <c:v>-92.798904957154519</c:v>
                </c:pt>
                <c:pt idx="46">
                  <c:v>-93.193248291610459</c:v>
                </c:pt>
                <c:pt idx="47">
                  <c:v>-93.613993808306603</c:v>
                </c:pt>
                <c:pt idx="48">
                  <c:v>-94.064371514268785</c:v>
                </c:pt>
                <c:pt idx="49">
                  <c:v>-94.5480093757741</c:v>
                </c:pt>
                <c:pt idx="50">
                  <c:v>-95.068536449898886</c:v>
                </c:pt>
                <c:pt idx="51">
                  <c:v>-95.629971930374538</c:v>
                </c:pt>
                <c:pt idx="52">
                  <c:v>-96.236213270729223</c:v>
                </c:pt>
                <c:pt idx="53">
                  <c:v>-96.891509526116764</c:v>
                </c:pt>
                <c:pt idx="54">
                  <c:v>-97.599770424790648</c:v>
                </c:pt>
                <c:pt idx="55">
                  <c:v>-98.366694943966991</c:v>
                </c:pt>
                <c:pt idx="56">
                  <c:v>-99.195774935971642</c:v>
                </c:pt>
                <c:pt idx="57">
                  <c:v>-100.0920220610644</c:v>
                </c:pt>
                <c:pt idx="58">
                  <c:v>-101.05906690478032</c:v>
                </c:pt>
                <c:pt idx="59">
                  <c:v>-102.10160189768034</c:v>
                </c:pt>
                <c:pt idx="60">
                  <c:v>-103.22248052898649</c:v>
                </c:pt>
                <c:pt idx="61">
                  <c:v>-104.42449201637179</c:v>
                </c:pt>
                <c:pt idx="62">
                  <c:v>-105.70991576510644</c:v>
                </c:pt>
                <c:pt idx="63">
                  <c:v>-107.07769559888841</c:v>
                </c:pt>
                <c:pt idx="64">
                  <c:v>-108.5272871225299</c:v>
                </c:pt>
                <c:pt idx="65">
                  <c:v>-110.05434611055406</c:v>
                </c:pt>
                <c:pt idx="66">
                  <c:v>-111.65256622979764</c:v>
                </c:pt>
                <c:pt idx="67">
                  <c:v>-113.31231597996961</c:v>
                </c:pt>
                <c:pt idx="68">
                  <c:v>-115.02143550639892</c:v>
                </c:pt>
                <c:pt idx="69">
                  <c:v>-116.76343153130549</c:v>
                </c:pt>
                <c:pt idx="70">
                  <c:v>-118.51925781462418</c:v>
                </c:pt>
                <c:pt idx="71">
                  <c:v>-120.26608065107391</c:v>
                </c:pt>
                <c:pt idx="72">
                  <c:v>-121.97921751334491</c:v>
                </c:pt>
                <c:pt idx="73">
                  <c:v>-123.63135637104934</c:v>
                </c:pt>
                <c:pt idx="74">
                  <c:v>-125.19511012818356</c:v>
                </c:pt>
                <c:pt idx="75">
                  <c:v>-126.64253871310413</c:v>
                </c:pt>
                <c:pt idx="76">
                  <c:v>-127.94744338685136</c:v>
                </c:pt>
                <c:pt idx="77">
                  <c:v>-129.08508864013146</c:v>
                </c:pt>
                <c:pt idx="78">
                  <c:v>-130.03436197854742</c:v>
                </c:pt>
                <c:pt idx="79">
                  <c:v>-130.77752823599138</c:v>
                </c:pt>
                <c:pt idx="80">
                  <c:v>-131.30273108419391</c:v>
                </c:pt>
                <c:pt idx="81">
                  <c:v>-131.60076405298369</c:v>
                </c:pt>
                <c:pt idx="82">
                  <c:v>-131.66856317586456</c:v>
                </c:pt>
                <c:pt idx="83">
                  <c:v>-131.50790273740188</c:v>
                </c:pt>
                <c:pt idx="84">
                  <c:v>-131.12552640071888</c:v>
                </c:pt>
                <c:pt idx="85">
                  <c:v>-130.53338041763755</c:v>
                </c:pt>
                <c:pt idx="86">
                  <c:v>-129.74790711048752</c:v>
                </c:pt>
                <c:pt idx="87">
                  <c:v>-128.78928102878592</c:v>
                </c:pt>
                <c:pt idx="88">
                  <c:v>-127.68278888428279</c:v>
                </c:pt>
                <c:pt idx="89">
                  <c:v>-126.4548551265882</c:v>
                </c:pt>
                <c:pt idx="90">
                  <c:v>-125.13515695237183</c:v>
                </c:pt>
                <c:pt idx="91">
                  <c:v>-123.7538076007139</c:v>
                </c:pt>
                <c:pt idx="92">
                  <c:v>-122.3411322916091</c:v>
                </c:pt>
                <c:pt idx="93">
                  <c:v>-120.92577040978608</c:v>
                </c:pt>
                <c:pt idx="94">
                  <c:v>-120.57492176693357</c:v>
                </c:pt>
                <c:pt idx="95">
                  <c:v>-120.39912566156528</c:v>
                </c:pt>
                <c:pt idx="96">
                  <c:v>-120.22587732765193</c:v>
                </c:pt>
                <c:pt idx="97">
                  <c:v>-120.05123229447533</c:v>
                </c:pt>
                <c:pt idx="98">
                  <c:v>-119.87921717931707</c:v>
                </c:pt>
                <c:pt idx="99">
                  <c:v>-119.70587147940176</c:v>
                </c:pt>
                <c:pt idx="100">
                  <c:v>-119.53523417520029</c:v>
                </c:pt>
                <c:pt idx="101">
                  <c:v>-119.36346485358111</c:v>
                </c:pt>
                <c:pt idx="102">
                  <c:v>-119.19447453187345</c:v>
                </c:pt>
                <c:pt idx="103">
                  <c:v>-119.02429725274975</c:v>
                </c:pt>
                <c:pt idx="104">
                  <c:v>-118.85696991701464</c:v>
                </c:pt>
                <c:pt idx="105">
                  <c:v>-118.68865546642387</c:v>
                </c:pt>
                <c:pt idx="106">
                  <c:v>-118.52325387239114</c:v>
                </c:pt>
                <c:pt idx="107">
                  <c:v>-118.35705681076773</c:v>
                </c:pt>
                <c:pt idx="108">
                  <c:v>-118.19382749711228</c:v>
                </c:pt>
                <c:pt idx="109">
                  <c:v>-118.02987528586731</c:v>
                </c:pt>
                <c:pt idx="110">
                  <c:v>-117.86894184921427</c:v>
                </c:pt>
                <c:pt idx="111">
                  <c:v>-117.70725519944456</c:v>
                </c:pt>
                <c:pt idx="112">
                  <c:v>-117.54863850966434</c:v>
                </c:pt>
                <c:pt idx="113">
                  <c:v>-117.38945859880235</c:v>
                </c:pt>
                <c:pt idx="114">
                  <c:v>-117.23339176359673</c:v>
                </c:pt>
                <c:pt idx="115">
                  <c:v>-117.07684402326466</c:v>
                </c:pt>
                <c:pt idx="116">
                  <c:v>-116.92344852525669</c:v>
                </c:pt>
                <c:pt idx="117">
                  <c:v>-116.76965699026779</c:v>
                </c:pt>
                <c:pt idx="118">
                  <c:v>-116.61905289967916</c:v>
                </c:pt>
                <c:pt idx="119">
                  <c:v>-116.46823032595955</c:v>
                </c:pt>
                <c:pt idx="120">
                  <c:v>-116.32062256195231</c:v>
                </c:pt>
                <c:pt idx="121">
                  <c:v>-116.17287748870645</c:v>
                </c:pt>
                <c:pt idx="122">
                  <c:v>-116.02837081167711</c:v>
                </c:pt>
                <c:pt idx="123">
                  <c:v>-115.88372689181729</c:v>
                </c:pt>
                <c:pt idx="124">
                  <c:v>-115.74234494012423</c:v>
                </c:pt>
                <c:pt idx="125">
                  <c:v>-115.60099656334432</c:v>
                </c:pt>
                <c:pt idx="126">
                  <c:v>-115.4629261232662</c:v>
                </c:pt>
                <c:pt idx="127">
                  <c:v>-115.3249745480458</c:v>
                </c:pt>
                <c:pt idx="128">
                  <c:v>-115.19031319532884</c:v>
                </c:pt>
                <c:pt idx="129">
                  <c:v>-115.05585679731529</c:v>
                </c:pt>
                <c:pt idx="130">
                  <c:v>-114.92469927660314</c:v>
                </c:pt>
                <c:pt idx="131">
                  <c:v>-114.79383332782515</c:v>
                </c:pt>
                <c:pt idx="132">
                  <c:v>-114.72964396771076</c:v>
                </c:pt>
                <c:pt idx="133">
                  <c:v>-114.66627134113756</c:v>
                </c:pt>
                <c:pt idx="134">
                  <c:v>-114.60222878994024</c:v>
                </c:pt>
                <c:pt idx="135">
                  <c:v>-114.53902301304026</c:v>
                </c:pt>
                <c:pt idx="136">
                  <c:v>-114.47664443871081</c:v>
                </c:pt>
                <c:pt idx="137">
                  <c:v>-114.41508360700574</c:v>
                </c:pt>
                <c:pt idx="138">
                  <c:v>-114.35296116960951</c:v>
                </c:pt>
                <c:pt idx="139">
                  <c:v>-114.29167437044794</c:v>
                </c:pt>
                <c:pt idx="140">
                  <c:v>-114.23121344988239</c:v>
                </c:pt>
                <c:pt idx="141">
                  <c:v>-114.17156876806209</c:v>
                </c:pt>
                <c:pt idx="142">
                  <c:v>-114.11134526937506</c:v>
                </c:pt>
                <c:pt idx="143">
                  <c:v>-114.05195711678377</c:v>
                </c:pt>
                <c:pt idx="144">
                  <c:v>-113.9933943531031</c:v>
                </c:pt>
                <c:pt idx="145">
                  <c:v>-113.9356471489825</c:v>
                </c:pt>
                <c:pt idx="146">
                  <c:v>-113.87739627854437</c:v>
                </c:pt>
                <c:pt idx="147">
                  <c:v>-113.81997877555446</c:v>
                </c:pt>
                <c:pt idx="148">
                  <c:v>-113.76338452009799</c:v>
                </c:pt>
                <c:pt idx="149">
                  <c:v>-113.70760352744234</c:v>
                </c:pt>
                <c:pt idx="150">
                  <c:v>-113.65136421374781</c:v>
                </c:pt>
                <c:pt idx="151">
                  <c:v>-113.59595548744267</c:v>
                </c:pt>
                <c:pt idx="152">
                  <c:v>-113.54136708559044</c:v>
                </c:pt>
                <c:pt idx="153">
                  <c:v>-113.48758888731898</c:v>
                </c:pt>
                <c:pt idx="154">
                  <c:v>-113.43337334505449</c:v>
                </c:pt>
                <c:pt idx="155">
                  <c:v>-113.37998559396912</c:v>
                </c:pt>
                <c:pt idx="156">
                  <c:v>-113.32741523332818</c:v>
                </c:pt>
                <c:pt idx="157">
                  <c:v>-113.27565201114277</c:v>
                </c:pt>
                <c:pt idx="158">
                  <c:v>-113.2234996905671</c:v>
                </c:pt>
                <c:pt idx="159">
                  <c:v>-113.17217156211166</c:v>
                </c:pt>
                <c:pt idx="160">
                  <c:v>-113.12165710704045</c:v>
                </c:pt>
                <c:pt idx="161">
                  <c:v>-113.07194596157146</c:v>
                </c:pt>
                <c:pt idx="162">
                  <c:v>-113.02191586516531</c:v>
                </c:pt>
                <c:pt idx="163">
                  <c:v>-112.97270487642999</c:v>
                </c:pt>
                <c:pt idx="164">
                  <c:v>-112.92430239201414</c:v>
                </c:pt>
                <c:pt idx="165">
                  <c:v>-112.87669796896843</c:v>
                </c:pt>
                <c:pt idx="166">
                  <c:v>-112.82878004216467</c:v>
                </c:pt>
                <c:pt idx="167">
                  <c:v>-112.78167685191924</c:v>
                </c:pt>
                <c:pt idx="168">
                  <c:v>-112.73537770137429</c:v>
                </c:pt>
                <c:pt idx="169">
                  <c:v>-112.68987205960173</c:v>
                </c:pt>
                <c:pt idx="170">
                  <c:v>-112.64419835619668</c:v>
                </c:pt>
                <c:pt idx="171">
                  <c:v>-112.59933089029283</c:v>
                </c:pt>
                <c:pt idx="172">
                  <c:v>-112.55525895803113</c:v>
                </c:pt>
                <c:pt idx="173">
                  <c:v>-112.51197202510465</c:v>
                </c:pt>
                <c:pt idx="174">
                  <c:v>-112.4683979064063</c:v>
                </c:pt>
                <c:pt idx="175">
                  <c:v>-112.42562697717403</c:v>
                </c:pt>
                <c:pt idx="176">
                  <c:v>-112.38364842317041</c:v>
                </c:pt>
                <c:pt idx="177">
                  <c:v>-112.34245160541731</c:v>
                </c:pt>
                <c:pt idx="178">
                  <c:v>-112.30104161449232</c:v>
                </c:pt>
                <c:pt idx="179">
                  <c:v>-112.26043021795289</c:v>
                </c:pt>
                <c:pt idx="180">
                  <c:v>-112.22060652561518</c:v>
                </c:pt>
                <c:pt idx="181">
                  <c:v>-112.18155982747565</c:v>
                </c:pt>
                <c:pt idx="182">
                  <c:v>-112.1425217322699</c:v>
                </c:pt>
                <c:pt idx="183">
                  <c:v>-112.10427007255248</c:v>
                </c:pt>
                <c:pt idx="184">
                  <c:v>-112.06679404178549</c:v>
                </c:pt>
                <c:pt idx="185">
                  <c:v>-112.03008301490364</c:v>
                </c:pt>
                <c:pt idx="186">
                  <c:v>-111.99315004733653</c:v>
                </c:pt>
                <c:pt idx="187">
                  <c:v>-111.95700249412742</c:v>
                </c:pt>
                <c:pt idx="188">
                  <c:v>-111.92162940781807</c:v>
                </c:pt>
                <c:pt idx="189">
                  <c:v>-111.88702002865767</c:v>
                </c:pt>
                <c:pt idx="190">
                  <c:v>-111.85252492467636</c:v>
                </c:pt>
                <c:pt idx="191">
                  <c:v>-111.81880097301554</c:v>
                </c:pt>
                <c:pt idx="192">
                  <c:v>-111.78583736520858</c:v>
                </c:pt>
                <c:pt idx="193">
                  <c:v>-111.75362348027349</c:v>
                </c:pt>
                <c:pt idx="194">
                  <c:v>-111.72133355584434</c:v>
                </c:pt>
                <c:pt idx="195">
                  <c:v>-111.68981110789335</c:v>
                </c:pt>
                <c:pt idx="196">
                  <c:v>-111.65904525014753</c:v>
                </c:pt>
                <c:pt idx="197">
                  <c:v>-111.62902528849858</c:v>
                </c:pt>
                <c:pt idx="198">
                  <c:v>-111.59910759908236</c:v>
                </c:pt>
                <c:pt idx="199">
                  <c:v>-111.56994684824375</c:v>
                </c:pt>
                <c:pt idx="200">
                  <c:v>-111.54153222126156</c:v>
                </c:pt>
                <c:pt idx="201">
                  <c:v>-111.51385309669172</c:v>
                </c:pt>
                <c:pt idx="202">
                  <c:v>-111.48632931477229</c:v>
                </c:pt>
                <c:pt idx="203">
                  <c:v>-111.45955109388413</c:v>
                </c:pt>
                <c:pt idx="204">
                  <c:v>-111.43350771443224</c:v>
                </c:pt>
                <c:pt idx="205">
                  <c:v>-111.408188650532</c:v>
                </c:pt>
                <c:pt idx="206">
                  <c:v>-111.38299020877643</c:v>
                </c:pt>
                <c:pt idx="207">
                  <c:v>-111.35853021329613</c:v>
                </c:pt>
                <c:pt idx="208">
                  <c:v>-111.33479795279071</c:v>
                </c:pt>
                <c:pt idx="209">
                  <c:v>-111.31178291210226</c:v>
                </c:pt>
                <c:pt idx="210">
                  <c:v>-111.28887548948416</c:v>
                </c:pt>
                <c:pt idx="211">
                  <c:v>-111.2667031078133</c:v>
                </c:pt>
                <c:pt idx="212">
                  <c:v>-111.24525498644681</c:v>
                </c:pt>
                <c:pt idx="213">
                  <c:v>-111.22452054518568</c:v>
                </c:pt>
                <c:pt idx="214">
                  <c:v>-111.20409718727747</c:v>
                </c:pt>
                <c:pt idx="215">
                  <c:v>-111.1843946320313</c:v>
                </c:pt>
                <c:pt idx="216">
                  <c:v>-111.16540227071867</c:v>
                </c:pt>
                <c:pt idx="217">
                  <c:v>-111.14710969333181</c:v>
                </c:pt>
                <c:pt idx="218">
                  <c:v>-111.1291132743103</c:v>
                </c:pt>
                <c:pt idx="219">
                  <c:v>-111.11182750426727</c:v>
                </c:pt>
                <c:pt idx="220">
                  <c:v>-111.09524186198423</c:v>
                </c:pt>
                <c:pt idx="221">
                  <c:v>-111.07934602523295</c:v>
                </c:pt>
                <c:pt idx="222">
                  <c:v>-111.06379832088102</c:v>
                </c:pt>
                <c:pt idx="223">
                  <c:v>-111.04895032242455</c:v>
                </c:pt>
                <c:pt idx="224">
                  <c:v>-111.03479161839407</c:v>
                </c:pt>
                <c:pt idx="225">
                  <c:v>-111.02131199593465</c:v>
                </c:pt>
                <c:pt idx="226">
                  <c:v>-111.0081906299675</c:v>
                </c:pt>
                <c:pt idx="227">
                  <c:v>-110.99576151251352</c:v>
                </c:pt>
                <c:pt idx="228">
                  <c:v>-110.98401426856429</c:v>
                </c:pt>
                <c:pt idx="229">
                  <c:v>-110.9729387231426</c:v>
                </c:pt>
                <c:pt idx="230">
                  <c:v>-110.95230471373161</c:v>
                </c:pt>
                <c:pt idx="231">
                  <c:v>-110.94300305859777</c:v>
                </c:pt>
                <c:pt idx="232">
                  <c:v>-110.93436475445753</c:v>
                </c:pt>
                <c:pt idx="233">
                  <c:v>-110.9261981942294</c:v>
                </c:pt>
                <c:pt idx="234">
                  <c:v>-110.91870603210251</c:v>
                </c:pt>
                <c:pt idx="235">
                  <c:v>-110.91187804327488</c:v>
                </c:pt>
                <c:pt idx="236">
                  <c:v>-110.90570420367013</c:v>
                </c:pt>
                <c:pt idx="237">
                  <c:v>-110.90006909386051</c:v>
                </c:pt>
                <c:pt idx="238">
                  <c:v>-110.89509448448668</c:v>
                </c:pt>
                <c:pt idx="239">
                  <c:v>-110.89077034510778</c:v>
                </c:pt>
                <c:pt idx="240">
                  <c:v>-110.88708684313646</c:v>
                </c:pt>
                <c:pt idx="241">
                  <c:v>-110.88396448114611</c:v>
                </c:pt>
                <c:pt idx="242">
                  <c:v>-110.88149560574377</c:v>
                </c:pt>
                <c:pt idx="243">
                  <c:v>-110.87967022893508</c:v>
                </c:pt>
                <c:pt idx="244">
                  <c:v>-110.87847856162443</c:v>
                </c:pt>
                <c:pt idx="245">
                  <c:v>-110.87790542804073</c:v>
                </c:pt>
                <c:pt idx="246">
                  <c:v>-110.87797433546443</c:v>
                </c:pt>
                <c:pt idx="247">
                  <c:v>-110.87867544346058</c:v>
                </c:pt>
                <c:pt idx="248">
                  <c:v>-110.87999910870415</c:v>
                </c:pt>
                <c:pt idx="249">
                  <c:v>-110.88199069939296</c:v>
                </c:pt>
                <c:pt idx="250">
                  <c:v>-110.88461571436905</c:v>
                </c:pt>
                <c:pt idx="251">
                  <c:v>-110.88786440021225</c:v>
                </c:pt>
                <c:pt idx="252">
                  <c:v>-110.89172720037462</c:v>
                </c:pt>
                <c:pt idx="253">
                  <c:v>-110.89629576951353</c:v>
                </c:pt>
                <c:pt idx="254">
                  <c:v>-110.90148518801675</c:v>
                </c:pt>
                <c:pt idx="255">
                  <c:v>-110.90728588478414</c:v>
                </c:pt>
                <c:pt idx="256">
                  <c:v>-110.91368848273167</c:v>
                </c:pt>
                <c:pt idx="257">
                  <c:v>-110.92087281509936</c:v>
                </c:pt>
                <c:pt idx="258">
                  <c:v>-110.92867125148885</c:v>
                </c:pt>
                <c:pt idx="259">
                  <c:v>-110.93707427287653</c:v>
                </c:pt>
                <c:pt idx="260">
                  <c:v>-110.94607255485646</c:v>
                </c:pt>
                <c:pt idx="261">
                  <c:v>-110.95588153173449</c:v>
                </c:pt>
                <c:pt idx="262">
                  <c:v>-110.96629400887292</c:v>
                </c:pt>
                <c:pt idx="263">
                  <c:v>-110.97730061248025</c:v>
                </c:pt>
                <c:pt idx="264">
                  <c:v>-110.98889216141262</c:v>
                </c:pt>
                <c:pt idx="265">
                  <c:v>-111.00133652520812</c:v>
                </c:pt>
                <c:pt idx="266">
                  <c:v>-111.01437331570122</c:v>
                </c:pt>
                <c:pt idx="267">
                  <c:v>-111.02799331959275</c:v>
                </c:pt>
                <c:pt idx="268">
                  <c:v>-111.04218751378328</c:v>
                </c:pt>
                <c:pt idx="269">
                  <c:v>-111.0573104916816</c:v>
                </c:pt>
                <c:pt idx="270">
                  <c:v>-111.07301716754296</c:v>
                </c:pt>
                <c:pt idx="271">
                  <c:v>-111.08929843827759</c:v>
                </c:pt>
                <c:pt idx="272">
                  <c:v>-111.10614538987512</c:v>
                </c:pt>
                <c:pt idx="273">
                  <c:v>-111.12396641482773</c:v>
                </c:pt>
                <c:pt idx="274">
                  <c:v>-111.14236180576276</c:v>
                </c:pt>
                <c:pt idx="275">
                  <c:v>-111.16132258792214</c:v>
                </c:pt>
                <c:pt idx="276">
                  <c:v>-111.18083997396313</c:v>
                </c:pt>
                <c:pt idx="277">
                  <c:v>-111.20132720116106</c:v>
                </c:pt>
                <c:pt idx="278">
                  <c:v>-111.22237643215036</c:v>
                </c:pt>
                <c:pt idx="279">
                  <c:v>-111.24397889551321</c:v>
                </c:pt>
                <c:pt idx="280">
                  <c:v>-111.26612600344693</c:v>
                </c:pt>
                <c:pt idx="281">
                  <c:v>-111.28943117607855</c:v>
                </c:pt>
                <c:pt idx="282">
                  <c:v>-111.31329311057239</c:v>
                </c:pt>
                <c:pt idx="283">
                  <c:v>-111.33770307673956</c:v>
                </c:pt>
                <c:pt idx="284">
                  <c:v>-111.36265252868186</c:v>
                </c:pt>
                <c:pt idx="285">
                  <c:v>-111.38864241221108</c:v>
                </c:pt>
                <c:pt idx="286">
                  <c:v>-111.41517594966712</c:v>
                </c:pt>
                <c:pt idx="287">
                  <c:v>-111.44224464018312</c:v>
                </c:pt>
                <c:pt idx="288">
                  <c:v>-111.46984016255017</c:v>
                </c:pt>
                <c:pt idx="289">
                  <c:v>-111.49868827100082</c:v>
                </c:pt>
                <c:pt idx="290">
                  <c:v>-111.5280736332727</c:v>
                </c:pt>
                <c:pt idx="291">
                  <c:v>-111.55798782524225</c:v>
                </c:pt>
                <c:pt idx="292">
                  <c:v>-111.58842260205637</c:v>
                </c:pt>
                <c:pt idx="293">
                  <c:v>-111.62009105746922</c:v>
                </c:pt>
                <c:pt idx="294">
                  <c:v>-111.6522875311416</c:v>
                </c:pt>
                <c:pt idx="295">
                  <c:v>-111.68500374622681</c:v>
                </c:pt>
                <c:pt idx="296">
                  <c:v>-111.71823160273838</c:v>
                </c:pt>
                <c:pt idx="297">
                  <c:v>-111.75273083354058</c:v>
                </c:pt>
                <c:pt idx="298">
                  <c:v>-111.78774849507637</c:v>
                </c:pt>
                <c:pt idx="299">
                  <c:v>-111.82327647038402</c:v>
                </c:pt>
                <c:pt idx="300">
                  <c:v>-111.85930681655255</c:v>
                </c:pt>
                <c:pt idx="301">
                  <c:v>-111.89664406095055</c:v>
                </c:pt>
                <c:pt idx="302">
                  <c:v>-111.93448987274634</c:v>
                </c:pt>
                <c:pt idx="303">
                  <c:v>-111.97283630570304</c:v>
                </c:pt>
                <c:pt idx="304">
                  <c:v>-112.01167558447355</c:v>
                </c:pt>
                <c:pt idx="305">
                  <c:v>-112.05201074770582</c:v>
                </c:pt>
                <c:pt idx="306">
                  <c:v>-112.0928482213718</c:v>
                </c:pt>
                <c:pt idx="307">
                  <c:v>-112.13418015015685</c:v>
                </c:pt>
                <c:pt idx="308">
                  <c:v>-112.17599884872664</c:v>
                </c:pt>
                <c:pt idx="309">
                  <c:v>-112.21919323571187</c:v>
                </c:pt>
                <c:pt idx="310">
                  <c:v>-112.26287945243938</c:v>
                </c:pt>
                <c:pt idx="311">
                  <c:v>-112.30704983757053</c:v>
                </c:pt>
                <c:pt idx="312">
                  <c:v>-112.35169689584593</c:v>
                </c:pt>
                <c:pt idx="313">
                  <c:v>-112.39791949611357</c:v>
                </c:pt>
                <c:pt idx="314">
                  <c:v>-112.44462689844832</c:v>
                </c:pt>
                <c:pt idx="315">
                  <c:v>-112.4918115596242</c:v>
                </c:pt>
                <c:pt idx="316">
                  <c:v>-112.53946610074505</c:v>
                </c:pt>
                <c:pt idx="317">
                  <c:v>-112.5887345312055</c:v>
                </c:pt>
                <c:pt idx="318">
                  <c:v>-112.63848033933112</c:v>
                </c:pt>
                <c:pt idx="319">
                  <c:v>-112.68869611392103</c:v>
                </c:pt>
                <c:pt idx="320">
                  <c:v>-112.73937460592835</c:v>
                </c:pt>
                <c:pt idx="321">
                  <c:v>-112.79170325492721</c:v>
                </c:pt>
                <c:pt idx="322">
                  <c:v>-112.84450153813775</c:v>
                </c:pt>
                <c:pt idx="323">
                  <c:v>-112.89776218855522</c:v>
                </c:pt>
                <c:pt idx="324">
                  <c:v>-112.95147809877352</c:v>
                </c:pt>
                <c:pt idx="325">
                  <c:v>-113.00687847830942</c:v>
                </c:pt>
                <c:pt idx="326">
                  <c:v>-113.06274050206973</c:v>
                </c:pt>
                <c:pt idx="327">
                  <c:v>-113.11905705775325</c:v>
                </c:pt>
                <c:pt idx="328">
                  <c:v>-113.1758211897677</c:v>
                </c:pt>
                <c:pt idx="329">
                  <c:v>-113.23440044646372</c:v>
                </c:pt>
                <c:pt idx="330">
                  <c:v>-113.29343468433547</c:v>
                </c:pt>
                <c:pt idx="331">
                  <c:v>-113.35291692019031</c:v>
                </c:pt>
                <c:pt idx="332">
                  <c:v>-113.41284032537961</c:v>
                </c:pt>
                <c:pt idx="333">
                  <c:v>-113.47451292741847</c:v>
                </c:pt>
                <c:pt idx="334">
                  <c:v>-113.53663212038602</c:v>
                </c:pt>
                <c:pt idx="335">
                  <c:v>-113.59919109474745</c:v>
                </c:pt>
                <c:pt idx="336">
                  <c:v>-113.66218319201195</c:v>
                </c:pt>
                <c:pt idx="337">
                  <c:v>-113.72716158277319</c:v>
                </c:pt>
                <c:pt idx="338">
                  <c:v>-113.79258090775517</c:v>
                </c:pt>
                <c:pt idx="339">
                  <c:v>-113.85843447389642</c:v>
                </c:pt>
                <c:pt idx="340">
                  <c:v>-113.92471573734302</c:v>
                </c:pt>
                <c:pt idx="341">
                  <c:v>-113.99301916254453</c:v>
                </c:pt>
                <c:pt idx="342">
                  <c:v>-114.06175757043768</c:v>
                </c:pt>
                <c:pt idx="343">
                  <c:v>-114.13092439661094</c:v>
                </c:pt>
                <c:pt idx="344">
                  <c:v>-114.20051322364894</c:v>
                </c:pt>
                <c:pt idx="345">
                  <c:v>-114.27204894158818</c:v>
                </c:pt>
                <c:pt idx="346">
                  <c:v>-114.34401217180361</c:v>
                </c:pt>
                <c:pt idx="347">
                  <c:v>-114.41639651808556</c:v>
                </c:pt>
                <c:pt idx="348">
                  <c:v>-114.48919572781161</c:v>
                </c:pt>
                <c:pt idx="349">
                  <c:v>-114.56419430375554</c:v>
                </c:pt>
                <c:pt idx="350">
                  <c:v>-114.6396153897057</c:v>
                </c:pt>
                <c:pt idx="351">
                  <c:v>-114.71545270795201</c:v>
                </c:pt>
                <c:pt idx="352">
                  <c:v>-114.79170012242648</c:v>
                </c:pt>
                <c:pt idx="353">
                  <c:v>-114.8701815476216</c:v>
                </c:pt>
                <c:pt idx="354">
                  <c:v>-114.94908025174274</c:v>
                </c:pt>
                <c:pt idx="355">
                  <c:v>-115.02839008661985</c:v>
                </c:pt>
                <c:pt idx="356">
                  <c:v>-115.10810504343645</c:v>
                </c:pt>
                <c:pt idx="357">
                  <c:v>-115.18997032875805</c:v>
                </c:pt>
                <c:pt idx="358">
                  <c:v>-115.27224633851138</c:v>
                </c:pt>
                <c:pt idx="359">
                  <c:v>-115.35492708888177</c:v>
                </c:pt>
                <c:pt idx="360">
                  <c:v>-115.43800673205216</c:v>
                </c:pt>
                <c:pt idx="361">
                  <c:v>-115.52350292059866</c:v>
                </c:pt>
                <c:pt idx="362">
                  <c:v>-115.60940553220949</c:v>
                </c:pt>
                <c:pt idx="363">
                  <c:v>-115.69570870422595</c:v>
                </c:pt>
                <c:pt idx="364">
                  <c:v>-115.78240670791781</c:v>
                </c:pt>
                <c:pt idx="365">
                  <c:v>-115.87143359554986</c:v>
                </c:pt>
                <c:pt idx="366">
                  <c:v>-115.96086136513955</c:v>
                </c:pt>
                <c:pt idx="367">
                  <c:v>-116.05068430801468</c:v>
                </c:pt>
                <c:pt idx="368">
                  <c:v>-116.14089684634995</c:v>
                </c:pt>
                <c:pt idx="369">
                  <c:v>-116.2337139763639</c:v>
                </c:pt>
                <c:pt idx="370">
                  <c:v>-116.32692854564067</c:v>
                </c:pt>
                <c:pt idx="371">
                  <c:v>-116.42053496112371</c:v>
                </c:pt>
                <c:pt idx="372">
                  <c:v>-116.51452775867439</c:v>
                </c:pt>
                <c:pt idx="373">
                  <c:v>-116.61103374335798</c:v>
                </c:pt>
                <c:pt idx="374">
                  <c:v>-116.70793257159197</c:v>
                </c:pt>
                <c:pt idx="375">
                  <c:v>-116.80521879673039</c:v>
                </c:pt>
                <c:pt idx="376">
                  <c:v>-116.90288709815762</c:v>
                </c:pt>
                <c:pt idx="377">
                  <c:v>-117.00335315127592</c:v>
                </c:pt>
                <c:pt idx="378">
                  <c:v>-117.1042094249604</c:v>
                </c:pt>
                <c:pt idx="379">
                  <c:v>-117.20545058481153</c:v>
                </c:pt>
                <c:pt idx="380">
                  <c:v>-117.30707142060636</c:v>
                </c:pt>
                <c:pt idx="381">
                  <c:v>-117.41126576112178</c:v>
                </c:pt>
                <c:pt idx="382">
                  <c:v>-117.51584568475781</c:v>
                </c:pt>
                <c:pt idx="383">
                  <c:v>-117.62080601711013</c:v>
                </c:pt>
                <c:pt idx="384">
                  <c:v>-117.72614170460005</c:v>
                </c:pt>
                <c:pt idx="385">
                  <c:v>-117.83447220342441</c:v>
                </c:pt>
                <c:pt idx="386">
                  <c:v>-117.94318652176557</c:v>
                </c:pt>
                <c:pt idx="387">
                  <c:v>-118.05227959424396</c:v>
                </c:pt>
                <c:pt idx="388">
                  <c:v>-118.16174647451273</c:v>
                </c:pt>
                <c:pt idx="389">
                  <c:v>-118.2741100659366</c:v>
                </c:pt>
                <c:pt idx="390">
                  <c:v>-118.38685473446498</c:v>
                </c:pt>
                <c:pt idx="391">
                  <c:v>-118.49997555035907</c:v>
                </c:pt>
                <c:pt idx="392">
                  <c:v>-118.61346770026627</c:v>
                </c:pt>
                <c:pt idx="393">
                  <c:v>-118.7298877699096</c:v>
                </c:pt>
                <c:pt idx="394">
                  <c:v>-118.84668622168851</c:v>
                </c:pt>
                <c:pt idx="395">
                  <c:v>-118.96385826720862</c:v>
                </c:pt>
                <c:pt idx="396">
                  <c:v>-119.08139923160186</c:v>
                </c:pt>
                <c:pt idx="397">
                  <c:v>-119.20217148417312</c:v>
                </c:pt>
                <c:pt idx="398">
                  <c:v>-119.32332120902868</c:v>
                </c:pt>
                <c:pt idx="399">
                  <c:v>-119.44484373241482</c:v>
                </c:pt>
                <c:pt idx="400">
                  <c:v>-119.56673449204841</c:v>
                </c:pt>
                <c:pt idx="401">
                  <c:v>-119.69175289472797</c:v>
                </c:pt>
                <c:pt idx="402">
                  <c:v>-119.81714704045568</c:v>
                </c:pt>
                <c:pt idx="403">
                  <c:v>-119.94291239245989</c:v>
                </c:pt>
                <c:pt idx="404">
                  <c:v>-120.06904452263295</c:v>
                </c:pt>
                <c:pt idx="405">
                  <c:v>-120.19847536623537</c:v>
                </c:pt>
                <c:pt idx="406">
                  <c:v>-120.32828114426336</c:v>
                </c:pt>
                <c:pt idx="407">
                  <c:v>-120.45845744699876</c:v>
                </c:pt>
                <c:pt idx="408">
                  <c:v>-120.58899997084058</c:v>
                </c:pt>
                <c:pt idx="409">
                  <c:v>-120.72301556747747</c:v>
                </c:pt>
                <c:pt idx="410">
                  <c:v>-120.85740617432032</c:v>
                </c:pt>
                <c:pt idx="411">
                  <c:v>-120.99216750021654</c:v>
                </c:pt>
                <c:pt idx="412">
                  <c:v>-121.12729535779138</c:v>
                </c:pt>
                <c:pt idx="413">
                  <c:v>-121.2659309033897</c:v>
                </c:pt>
                <c:pt idx="414">
                  <c:v>-121.40494162255864</c:v>
                </c:pt>
                <c:pt idx="415">
                  <c:v>-121.54432334816168</c:v>
                </c:pt>
                <c:pt idx="416">
                  <c:v>-121.68407201424793</c:v>
                </c:pt>
                <c:pt idx="417">
                  <c:v>-121.82750683523456</c:v>
                </c:pt>
                <c:pt idx="418">
                  <c:v>-121.97131787567888</c:v>
                </c:pt>
                <c:pt idx="419">
                  <c:v>-122.11550108450473</c:v>
                </c:pt>
                <c:pt idx="420">
                  <c:v>-122.26005250939244</c:v>
                </c:pt>
                <c:pt idx="421">
                  <c:v>-122.40817977803717</c:v>
                </c:pt>
                <c:pt idx="422">
                  <c:v>-122.55668369601256</c:v>
                </c:pt>
                <c:pt idx="423">
                  <c:v>-122.70556034419191</c:v>
                </c:pt>
                <c:pt idx="424">
                  <c:v>-122.85480589914572</c:v>
                </c:pt>
                <c:pt idx="425">
                  <c:v>-123.00810256895929</c:v>
                </c:pt>
                <c:pt idx="426">
                  <c:v>-123.16177869313914</c:v>
                </c:pt>
                <c:pt idx="427">
                  <c:v>-123.31583045344571</c:v>
                </c:pt>
                <c:pt idx="428">
                  <c:v>-123.47025412514738</c:v>
                </c:pt>
                <c:pt idx="429">
                  <c:v>-123.62861907947992</c:v>
                </c:pt>
                <c:pt idx="430">
                  <c:v>-123.78736569250384</c:v>
                </c:pt>
                <c:pt idx="431">
                  <c:v>-123.94649026183095</c:v>
                </c:pt>
                <c:pt idx="432">
                  <c:v>-124.10598917574121</c:v>
                </c:pt>
                <c:pt idx="433">
                  <c:v>-124.26946585424172</c:v>
                </c:pt>
                <c:pt idx="434">
                  <c:v>-124.43332657997466</c:v>
                </c:pt>
                <c:pt idx="435">
                  <c:v>-124.59756776803255</c:v>
                </c:pt>
                <c:pt idx="436">
                  <c:v>-124.76218592108532</c:v>
                </c:pt>
                <c:pt idx="437">
                  <c:v>-124.93112136075008</c:v>
                </c:pt>
                <c:pt idx="438">
                  <c:v>-125.10044483006722</c:v>
                </c:pt>
                <c:pt idx="439">
                  <c:v>-125.27015284322832</c:v>
                </c:pt>
                <c:pt idx="440">
                  <c:v>-125.44024199927179</c:v>
                </c:pt>
                <c:pt idx="441">
                  <c:v>-125.61468847583474</c:v>
                </c:pt>
                <c:pt idx="442">
                  <c:v>-125.78952713265535</c:v>
                </c:pt>
                <c:pt idx="443">
                  <c:v>-125.96475458412424</c:v>
                </c:pt>
                <c:pt idx="444">
                  <c:v>-126.14036752643121</c:v>
                </c:pt>
                <c:pt idx="445">
                  <c:v>-126.32037757257191</c:v>
                </c:pt>
                <c:pt idx="446">
                  <c:v>-126.50078413790433</c:v>
                </c:pt>
                <c:pt idx="447">
                  <c:v>-126.68158393630559</c:v>
                </c:pt>
                <c:pt idx="448">
                  <c:v>-126.8627737600975</c:v>
                </c:pt>
                <c:pt idx="449">
                  <c:v>-127.04871180120392</c:v>
                </c:pt>
                <c:pt idx="450">
                  <c:v>-127.23505224149251</c:v>
                </c:pt>
                <c:pt idx="451">
                  <c:v>-127.42179187587767</c:v>
                </c:pt>
                <c:pt idx="452">
                  <c:v>-127.60892757455817</c:v>
                </c:pt>
                <c:pt idx="453">
                  <c:v>-127.80069784746499</c:v>
                </c:pt>
                <c:pt idx="454">
                  <c:v>-127.99287589473542</c:v>
                </c:pt>
                <c:pt idx="455">
                  <c:v>-128.18545859740323</c:v>
                </c:pt>
                <c:pt idx="456">
                  <c:v>-128.37844290801274</c:v>
                </c:pt>
                <c:pt idx="457">
                  <c:v>-128.57641995058287</c:v>
                </c:pt>
                <c:pt idx="458">
                  <c:v>-128.77481164423213</c:v>
                </c:pt>
                <c:pt idx="459">
                  <c:v>-128.973614935977</c:v>
                </c:pt>
                <c:pt idx="460">
                  <c:v>-129.17282684065688</c:v>
                </c:pt>
                <c:pt idx="461">
                  <c:v>-129.3770766530663</c:v>
                </c:pt>
                <c:pt idx="462">
                  <c:v>-129.58174812640343</c:v>
                </c:pt>
                <c:pt idx="463">
                  <c:v>-129.78683826739996</c:v>
                </c:pt>
                <c:pt idx="464">
                  <c:v>-129.99234414649541</c:v>
                </c:pt>
                <c:pt idx="465">
                  <c:v>-130.20309404490081</c:v>
                </c:pt>
                <c:pt idx="466">
                  <c:v>-130.41427338233771</c:v>
                </c:pt>
                <c:pt idx="467">
                  <c:v>-130.62587920965757</c:v>
                </c:pt>
                <c:pt idx="468">
                  <c:v>-130.83790863705022</c:v>
                </c:pt>
                <c:pt idx="469">
                  <c:v>-131.05522900943208</c:v>
                </c:pt>
                <c:pt idx="470">
                  <c:v>-131.27298666846872</c:v>
                </c:pt>
                <c:pt idx="471">
                  <c:v>-131.49117869803925</c:v>
                </c:pt>
                <c:pt idx="472">
                  <c:v>-131.70980223650758</c:v>
                </c:pt>
                <c:pt idx="473">
                  <c:v>-131.93409079065742</c:v>
                </c:pt>
                <c:pt idx="474">
                  <c:v>-132.15882580212477</c:v>
                </c:pt>
                <c:pt idx="475">
                  <c:v>-132.3840043610079</c:v>
                </c:pt>
                <c:pt idx="476">
                  <c:v>-132.60962360682308</c:v>
                </c:pt>
                <c:pt idx="477">
                  <c:v>-132.84095839842485</c:v>
                </c:pt>
                <c:pt idx="478">
                  <c:v>-133.0727487606805</c:v>
                </c:pt>
                <c:pt idx="479">
                  <c:v>-133.30499177315056</c:v>
                </c:pt>
                <c:pt idx="480">
                  <c:v>-133.53768455914988</c:v>
                </c:pt>
                <c:pt idx="481">
                  <c:v>-133.77614319655052</c:v>
                </c:pt>
                <c:pt idx="482">
                  <c:v>-134.0150663860519</c:v>
                </c:pt>
                <c:pt idx="483">
                  <c:v>-134.25445117602752</c:v>
                </c:pt>
                <c:pt idx="484">
                  <c:v>-134.49429465232933</c:v>
                </c:pt>
                <c:pt idx="485">
                  <c:v>-134.74012146893412</c:v>
                </c:pt>
                <c:pt idx="486">
                  <c:v>-134.98642223607789</c:v>
                </c:pt>
                <c:pt idx="487">
                  <c:v>-135.23319394005907</c:v>
                </c:pt>
                <c:pt idx="488">
                  <c:v>-135.48043359783227</c:v>
                </c:pt>
                <c:pt idx="489">
                  <c:v>-135.73404564658077</c:v>
                </c:pt>
                <c:pt idx="490">
                  <c:v>-135.98814197315531</c:v>
                </c:pt>
                <c:pt idx="491">
                  <c:v>-136.24271946025772</c:v>
                </c:pt>
                <c:pt idx="492">
                  <c:v>-136.49777501385068</c:v>
                </c:pt>
                <c:pt idx="493">
                  <c:v>-136.75925771364027</c:v>
                </c:pt>
                <c:pt idx="494">
                  <c:v>-137.02123449851518</c:v>
                </c:pt>
                <c:pt idx="495">
                  <c:v>-137.28370211318509</c:v>
                </c:pt>
                <c:pt idx="496">
                  <c:v>-137.54665731742233</c:v>
                </c:pt>
                <c:pt idx="497">
                  <c:v>-137.81626498421295</c:v>
                </c:pt>
                <c:pt idx="498">
                  <c:v>-138.08637648981164</c:v>
                </c:pt>
                <c:pt idx="499">
                  <c:v>-138.35698839439863</c:v>
                </c:pt>
                <c:pt idx="500">
                  <c:v>-138.62809726421821</c:v>
                </c:pt>
                <c:pt idx="501">
                  <c:v>-138.90608607551803</c:v>
                </c:pt>
                <c:pt idx="502">
                  <c:v>-139.18458820625222</c:v>
                </c:pt>
                <c:pt idx="503">
                  <c:v>-139.46359997880535</c:v>
                </c:pt>
                <c:pt idx="504">
                  <c:v>-139.74311771174928</c:v>
                </c:pt>
                <c:pt idx="505">
                  <c:v>-140.02957084293735</c:v>
                </c:pt>
                <c:pt idx="506">
                  <c:v>-140.31654561166607</c:v>
                </c:pt>
                <c:pt idx="507">
                  <c:v>-140.60403804894344</c:v>
                </c:pt>
                <c:pt idx="508">
                  <c:v>-140.89204417117713</c:v>
                </c:pt>
                <c:pt idx="509">
                  <c:v>-141.1872145897286</c:v>
                </c:pt>
                <c:pt idx="510">
                  <c:v>-141.4829141490988</c:v>
                </c:pt>
                <c:pt idx="511">
                  <c:v>-141.77913852075864</c:v>
                </c:pt>
                <c:pt idx="512">
                  <c:v>-142.07588334984575</c:v>
                </c:pt>
                <c:pt idx="513">
                  <c:v>-142.38019875272582</c:v>
                </c:pt>
                <c:pt idx="514">
                  <c:v>-142.68505025575058</c:v>
                </c:pt>
                <c:pt idx="515">
                  <c:v>-142.99043308558831</c:v>
                </c:pt>
                <c:pt idx="516">
                  <c:v>-143.29634242977002</c:v>
                </c:pt>
                <c:pt idx="517">
                  <c:v>-143.60987699401616</c:v>
                </c:pt>
                <c:pt idx="518">
                  <c:v>-143.92395241661035</c:v>
                </c:pt>
                <c:pt idx="519">
                  <c:v>-144.23856340046123</c:v>
                </c:pt>
                <c:pt idx="520">
                  <c:v>-144.55370459561505</c:v>
                </c:pt>
                <c:pt idx="521">
                  <c:v>-144.87670123484514</c:v>
                </c:pt>
                <c:pt idx="522">
                  <c:v>-145.20024146456359</c:v>
                </c:pt>
                <c:pt idx="523">
                  <c:v>-145.52431936716667</c:v>
                </c:pt>
                <c:pt idx="524">
                  <c:v>-145.84892895751807</c:v>
                </c:pt>
                <c:pt idx="525">
                  <c:v>-146.1816232988887</c:v>
                </c:pt>
                <c:pt idx="526">
                  <c:v>-146.51486141298417</c:v>
                </c:pt>
                <c:pt idx="527">
                  <c:v>-146.84863665434187</c:v>
                </c:pt>
                <c:pt idx="528">
                  <c:v>-147.18294229444359</c:v>
                </c:pt>
                <c:pt idx="529">
                  <c:v>-147.52556020799898</c:v>
                </c:pt>
                <c:pt idx="530">
                  <c:v>-147.8687189347315</c:v>
                </c:pt>
                <c:pt idx="531">
                  <c:v>-148.21241098314644</c:v>
                </c:pt>
                <c:pt idx="532">
                  <c:v>-148.556628762473</c:v>
                </c:pt>
                <c:pt idx="533">
                  <c:v>-148.90956580859367</c:v>
                </c:pt>
                <c:pt idx="534">
                  <c:v>-149.2630374504628</c:v>
                </c:pt>
                <c:pt idx="535">
                  <c:v>-149.61703520841675</c:v>
                </c:pt>
                <c:pt idx="536">
                  <c:v>-149.97155048660017</c:v>
                </c:pt>
                <c:pt idx="537">
                  <c:v>-150.3346408119869</c:v>
                </c:pt>
                <c:pt idx="538">
                  <c:v>-150.69825386024226</c:v>
                </c:pt>
                <c:pt idx="539">
                  <c:v>-151.06238005048451</c:v>
                </c:pt>
                <c:pt idx="540">
                  <c:v>-151.42700966909405</c:v>
                </c:pt>
                <c:pt idx="541">
                  <c:v>-151.80079709829297</c:v>
                </c:pt>
                <c:pt idx="542">
                  <c:v>-152.17509108349569</c:v>
                </c:pt>
                <c:pt idx="543">
                  <c:v>-152.54988076499427</c:v>
                </c:pt>
                <c:pt idx="544">
                  <c:v>-152.92515513362315</c:v>
                </c:pt>
                <c:pt idx="545">
                  <c:v>-153.30961242109328</c:v>
                </c:pt>
                <c:pt idx="546">
                  <c:v>-153.69455331216335</c:v>
                </c:pt>
                <c:pt idx="547">
                  <c:v>-154.07996552632073</c:v>
                </c:pt>
                <c:pt idx="548">
                  <c:v>-154.4658366181157</c:v>
                </c:pt>
                <c:pt idx="549">
                  <c:v>-154.86109134748943</c:v>
                </c:pt>
                <c:pt idx="550">
                  <c:v>-155.25679953547072</c:v>
                </c:pt>
                <c:pt idx="551">
                  <c:v>-155.65294731918488</c:v>
                </c:pt>
                <c:pt idx="552">
                  <c:v>-156.0495206570875</c:v>
                </c:pt>
                <c:pt idx="553">
                  <c:v>-156.45585538244455</c:v>
                </c:pt>
                <c:pt idx="554">
                  <c:v>-156.8626055975821</c:v>
                </c:pt>
                <c:pt idx="555">
                  <c:v>-157.26975567206495</c:v>
                </c:pt>
                <c:pt idx="556">
                  <c:v>-157.67728978540316</c:v>
                </c:pt>
                <c:pt idx="557">
                  <c:v>-158.51260878716016</c:v>
                </c:pt>
                <c:pt idx="558">
                  <c:v>-159.3493298823864</c:v>
                </c:pt>
                <c:pt idx="559">
                  <c:v>-160.20653146418005</c:v>
                </c:pt>
                <c:pt idx="560">
                  <c:v>-161.06489444604898</c:v>
                </c:pt>
                <c:pt idx="561">
                  <c:v>-161.94465942240728</c:v>
                </c:pt>
                <c:pt idx="562">
                  <c:v>-162.82530018930575</c:v>
                </c:pt>
                <c:pt idx="563">
                  <c:v>-163.72555849505883</c:v>
                </c:pt>
                <c:pt idx="564">
                  <c:v>-164.62635320080068</c:v>
                </c:pt>
                <c:pt idx="565">
                  <c:v>-165.55020956455917</c:v>
                </c:pt>
                <c:pt idx="566">
                  <c:v>-166.47421145244951</c:v>
                </c:pt>
                <c:pt idx="567">
                  <c:v>-167.42086005517419</c:v>
                </c:pt>
                <c:pt idx="568">
                  <c:v>-168.36720054819145</c:v>
                </c:pt>
                <c:pt idx="569">
                  <c:v>-169.3319052188719</c:v>
                </c:pt>
                <c:pt idx="570">
                  <c:v>-170.29579071267236</c:v>
                </c:pt>
                <c:pt idx="571">
                  <c:v>-171.28501577037139</c:v>
                </c:pt>
                <c:pt idx="572">
                  <c:v>-172.27283195504154</c:v>
                </c:pt>
                <c:pt idx="573">
                  <c:v>-173.27776401570466</c:v>
                </c:pt>
                <c:pt idx="574">
                  <c:v>-174.28065384400571</c:v>
                </c:pt>
                <c:pt idx="575">
                  <c:v>-175.3074082148747</c:v>
                </c:pt>
                <c:pt idx="576">
                  <c:v>-176.33139274718442</c:v>
                </c:pt>
                <c:pt idx="577">
                  <c:v>-180.62875646460819</c:v>
                </c:pt>
                <c:pt idx="578">
                  <c:v>-184.8483686295917</c:v>
                </c:pt>
                <c:pt idx="579">
                  <c:v>-193.72622580570308</c:v>
                </c:pt>
                <c:pt idx="580">
                  <c:v>-202.73332187513191</c:v>
                </c:pt>
                <c:pt idx="581">
                  <c:v>-211.59008288747415</c:v>
                </c:pt>
                <c:pt idx="582">
                  <c:v>-220.06412317510487</c:v>
                </c:pt>
                <c:pt idx="583">
                  <c:v>-227.97611924450297</c:v>
                </c:pt>
                <c:pt idx="584">
                  <c:v>-235.23460232397551</c:v>
                </c:pt>
                <c:pt idx="585">
                  <c:v>-241.80274900709759</c:v>
                </c:pt>
                <c:pt idx="586">
                  <c:v>-247.69362162931438</c:v>
                </c:pt>
                <c:pt idx="587">
                  <c:v>-252.94596258424042</c:v>
                </c:pt>
                <c:pt idx="588">
                  <c:v>-257.60009058134369</c:v>
                </c:pt>
                <c:pt idx="589">
                  <c:v>-261.70572674679954</c:v>
                </c:pt>
                <c:pt idx="590">
                  <c:v>-265.30332290038808</c:v>
                </c:pt>
                <c:pt idx="591">
                  <c:v>-268.43082111849071</c:v>
                </c:pt>
                <c:pt idx="592">
                  <c:v>-271.12154232032361</c:v>
                </c:pt>
                <c:pt idx="593">
                  <c:v>-273.40747116040643</c:v>
                </c:pt>
                <c:pt idx="594">
                  <c:v>-275.31827468980583</c:v>
                </c:pt>
                <c:pt idx="595">
                  <c:v>-276.88504026329167</c:v>
                </c:pt>
                <c:pt idx="596">
                  <c:v>-278.13935151062276</c:v>
                </c:pt>
                <c:pt idx="597">
                  <c:v>-279.11487449702059</c:v>
                </c:pt>
                <c:pt idx="598">
                  <c:v>-279.84607910165101</c:v>
                </c:pt>
                <c:pt idx="599">
                  <c:v>-280.36860006577763</c:v>
                </c:pt>
                <c:pt idx="600">
                  <c:v>-280.71770432544059</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39131.5</c:v>
                </c:pt>
                <c:pt idx="1">
                  <c:v>39131.5</c:v>
                </c:pt>
              </c:numCache>
            </c:numRef>
          </c:xVal>
          <c:yVal>
            <c:numRef>
              <c:f>'Stability Calculations'!$V$617:$V$618</c:f>
              <c:numCache>
                <c:formatCode>0.00</c:formatCode>
                <c:ptCount val="2"/>
                <c:pt idx="0">
                  <c:v>-119.69175289472797</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39131.5</c:v>
                </c:pt>
                <c:pt idx="1">
                  <c:v>1000000</c:v>
                </c:pt>
              </c:numCache>
            </c:numRef>
          </c:xVal>
          <c:yVal>
            <c:numRef>
              <c:f>'Stability Calculations'!$V$619:$V$620</c:f>
              <c:numCache>
                <c:formatCode>0.00</c:formatCode>
                <c:ptCount val="2"/>
                <c:pt idx="1">
                  <c:v>-119.69175289472797</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Calculations'!$AW$9:$AW$109</c:f>
              <c:numCache>
                <c:formatCode>0.0</c:formatCode>
                <c:ptCount val="101"/>
                <c:pt idx="0">
                  <c:v>2.7993832616476433</c:v>
                </c:pt>
                <c:pt idx="1">
                  <c:v>3.1625268494884988</c:v>
                </c:pt>
                <c:pt idx="2">
                  <c:v>3.5262878887490667</c:v>
                </c:pt>
                <c:pt idx="3">
                  <c:v>3.8906673389802391</c:v>
                </c:pt>
                <c:pt idx="4">
                  <c:v>4.255666168964801</c:v>
                </c:pt>
                <c:pt idx="5">
                  <c:v>4.6212853567434458</c:v>
                </c:pt>
                <c:pt idx="6">
                  <c:v>4.9875258896411525</c:v>
                </c:pt>
                <c:pt idx="7">
                  <c:v>5.3543887642939128</c:v>
                </c:pt>
                <c:pt idx="8">
                  <c:v>5.721874986675795</c:v>
                </c:pt>
                <c:pt idx="9">
                  <c:v>6.0899855721263716</c:v>
                </c:pt>
                <c:pt idx="10">
                  <c:v>6.4587215453784834</c:v>
                </c:pt>
                <c:pt idx="11">
                  <c:v>6.828083940586386</c:v>
                </c:pt>
                <c:pt idx="12">
                  <c:v>7.1980738013542132</c:v>
                </c:pt>
                <c:pt idx="13">
                  <c:v>7.5686921807648408</c:v>
                </c:pt>
                <c:pt idx="14">
                  <c:v>7.9399401414090685</c:v>
                </c:pt>
                <c:pt idx="15">
                  <c:v>8.3118187554151977</c:v>
                </c:pt>
                <c:pt idx="16">
                  <c:v>8.6843291044789463</c:v>
                </c:pt>
                <c:pt idx="17">
                  <c:v>9.0574722798937408</c:v>
                </c:pt>
                <c:pt idx="18">
                  <c:v>9.4312493825813757</c:v>
                </c:pt>
                <c:pt idx="19">
                  <c:v>9.8056615231230246</c:v>
                </c:pt>
                <c:pt idx="20">
                  <c:v>10.180709821790641</c:v>
                </c:pt>
                <c:pt idx="21">
                  <c:v>10.556395408578735</c:v>
                </c:pt>
                <c:pt idx="22">
                  <c:v>10.932719423236477</c:v>
                </c:pt>
                <c:pt idx="23">
                  <c:v>11.309683015300243</c:v>
                </c:pt>
                <c:pt idx="24">
                  <c:v>11.687287344126492</c:v>
                </c:pt>
                <c:pt idx="25">
                  <c:v>12.06553357892502</c:v>
                </c:pt>
                <c:pt idx="26">
                  <c:v>12.444422898792636</c:v>
                </c:pt>
                <c:pt idx="27">
                  <c:v>12.823956492747183</c:v>
                </c:pt>
                <c:pt idx="28">
                  <c:v>13.204135559761944</c:v>
                </c:pt>
                <c:pt idx="29">
                  <c:v>13.584961308800477</c:v>
                </c:pt>
                <c:pt idx="30">
                  <c:v>13.966434958851767</c:v>
                </c:pt>
                <c:pt idx="31">
                  <c:v>14.348557738965853</c:v>
                </c:pt>
                <c:pt idx="32">
                  <c:v>14.731330888289788</c:v>
                </c:pt>
                <c:pt idx="33">
                  <c:v>15.114755656104002</c:v>
                </c:pt>
                <c:pt idx="34">
                  <c:v>15.49883330185911</c:v>
                </c:pt>
                <c:pt idx="35">
                  <c:v>15.883565095213031</c:v>
                </c:pt>
                <c:pt idx="36">
                  <c:v>16.268952316068624</c:v>
                </c:pt>
                <c:pt idx="37">
                  <c:v>16.654996254611621</c:v>
                </c:pt>
                <c:pt idx="38">
                  <c:v>17.04169821134904</c:v>
                </c:pt>
                <c:pt idx="39">
                  <c:v>17.429059497147961</c:v>
                </c:pt>
                <c:pt idx="40">
                  <c:v>17.817081433274762</c:v>
                </c:pt>
                <c:pt idx="41">
                  <c:v>18.205765351434707</c:v>
                </c:pt>
                <c:pt idx="42">
                  <c:v>18.595112593812004</c:v>
                </c:pt>
                <c:pt idx="43">
                  <c:v>18.985124513110271</c:v>
                </c:pt>
                <c:pt idx="44">
                  <c:v>19.375802472593382</c:v>
                </c:pt>
                <c:pt idx="45">
                  <c:v>19.767147846126807</c:v>
                </c:pt>
                <c:pt idx="46">
                  <c:v>20.159162018219323</c:v>
                </c:pt>
                <c:pt idx="47">
                  <c:v>20.551846384065175</c:v>
                </c:pt>
                <c:pt idx="48">
                  <c:v>20.945202349586658</c:v>
                </c:pt>
                <c:pt idx="49">
                  <c:v>21.339231331477162</c:v>
                </c:pt>
                <c:pt idx="50">
                  <c:v>21.733934757244622</c:v>
                </c:pt>
                <c:pt idx="51">
                  <c:v>22.129314065255421</c:v>
                </c:pt>
                <c:pt idx="52">
                  <c:v>22.525370704778737</c:v>
                </c:pt>
                <c:pt idx="53">
                  <c:v>22.922106136031335</c:v>
                </c:pt>
                <c:pt idx="54">
                  <c:v>23.31952183022279</c:v>
                </c:pt>
                <c:pt idx="55">
                  <c:v>23.717619269601212</c:v>
                </c:pt>
                <c:pt idx="56">
                  <c:v>24.116399947499353</c:v>
                </c:pt>
                <c:pt idx="57">
                  <c:v>24.515865368381252</c:v>
                </c:pt>
                <c:pt idx="58">
                  <c:v>24.916017047889238</c:v>
                </c:pt>
                <c:pt idx="59">
                  <c:v>25.316856512891498</c:v>
                </c:pt>
                <c:pt idx="60">
                  <c:v>25.71838530153007</c:v>
                </c:pt>
                <c:pt idx="61">
                  <c:v>26.12060496326928</c:v>
                </c:pt>
                <c:pt idx="62">
                  <c:v>26.523517058944687</c:v>
                </c:pt>
                <c:pt idx="63">
                  <c:v>26.927123160812474</c:v>
                </c:pt>
                <c:pt idx="64">
                  <c:v>27.33142485259938</c:v>
                </c:pt>
                <c:pt idx="65">
                  <c:v>27.736423729553007</c:v>
                </c:pt>
                <c:pt idx="66">
                  <c:v>28.142121398492719</c:v>
                </c:pt>
                <c:pt idx="67">
                  <c:v>28.548519477860971</c:v>
                </c:pt>
                <c:pt idx="68">
                  <c:v>28.955619597775154</c:v>
                </c:pt>
                <c:pt idx="69">
                  <c:v>29.363423400079878</c:v>
                </c:pt>
                <c:pt idx="70">
                  <c:v>29.771932538399849</c:v>
                </c:pt>
                <c:pt idx="71">
                  <c:v>30.181148678193196</c:v>
                </c:pt>
                <c:pt idx="72">
                  <c:v>30.591073496805304</c:v>
                </c:pt>
                <c:pt idx="73">
                  <c:v>31.00170868352312</c:v>
                </c:pt>
                <c:pt idx="74">
                  <c:v>31.413055939630066</c:v>
                </c:pt>
                <c:pt idx="75">
                  <c:v>31.82511697846137</c:v>
                </c:pt>
                <c:pt idx="76">
                  <c:v>32.237893525460002</c:v>
                </c:pt>
                <c:pt idx="77">
                  <c:v>32.651387318233049</c:v>
                </c:pt>
                <c:pt idx="78">
                  <c:v>33.065600106608692</c:v>
                </c:pt>
                <c:pt idx="79">
                  <c:v>33.48053365269368</c:v>
                </c:pt>
                <c:pt idx="80">
                  <c:v>33.896189730931319</c:v>
                </c:pt>
                <c:pt idx="81">
                  <c:v>34.312570128160047</c:v>
                </c:pt>
                <c:pt idx="82">
                  <c:v>34.729676643672526</c:v>
                </c:pt>
                <c:pt idx="83">
                  <c:v>35.147511089275298</c:v>
                </c:pt>
                <c:pt idx="84">
                  <c:v>35.566075289348909</c:v>
                </c:pt>
                <c:pt idx="85">
                  <c:v>35.985371080908763</c:v>
                </c:pt>
                <c:pt idx="86">
                  <c:v>36.405400313666334</c:v>
                </c:pt>
                <c:pt idx="87">
                  <c:v>36.826164850091104</c:v>
                </c:pt>
                <c:pt idx="88">
                  <c:v>37.24766656547299</c:v>
                </c:pt>
                <c:pt idx="89">
                  <c:v>37.669907347985273</c:v>
                </c:pt>
                <c:pt idx="90">
                  <c:v>38.092889098748316</c:v>
                </c:pt>
                <c:pt idx="91">
                  <c:v>38.516613731893671</c:v>
                </c:pt>
                <c:pt idx="92">
                  <c:v>38.941083174628758</c:v>
                </c:pt>
                <c:pt idx="93">
                  <c:v>39.366299367302368</c:v>
                </c:pt>
                <c:pt idx="94">
                  <c:v>39.792264263470436</c:v>
                </c:pt>
                <c:pt idx="95">
                  <c:v>40.218979829962656</c:v>
                </c:pt>
                <c:pt idx="96">
                  <c:v>40.646448046949658</c:v>
                </c:pt>
                <c:pt idx="97">
                  <c:v>41.074670908010646</c:v>
                </c:pt>
                <c:pt idx="98">
                  <c:v>41.503650420201879</c:v>
                </c:pt>
                <c:pt idx="99">
                  <c:v>41.933388604125504</c:v>
                </c:pt>
                <c:pt idx="100">
                  <c:v>42.3638874939993</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Calculations'!$AX$9:$AX$109</c:f>
              <c:numCache>
                <c:formatCode>0.0</c:formatCode>
                <c:ptCount val="101"/>
                <c:pt idx="0">
                  <c:v>2.8678360764216486</c:v>
                </c:pt>
                <c:pt idx="1">
                  <c:v>2.9931517105635002</c:v>
                </c:pt>
                <c:pt idx="2">
                  <c:v>3.1191139655894649</c:v>
                </c:pt>
                <c:pt idx="3">
                  <c:v>3.2457228758424179</c:v>
                </c:pt>
                <c:pt idx="4">
                  <c:v>3.372978485582494</c:v>
                </c:pt>
                <c:pt idx="5">
                  <c:v>3.5008808489878525</c:v>
                </c:pt>
                <c:pt idx="6">
                  <c:v>3.6294300301557754</c:v>
                </c:pt>
                <c:pt idx="7">
                  <c:v>3.7586261031041985</c:v>
                </c:pt>
                <c:pt idx="8">
                  <c:v>3.8884691517735823</c:v>
                </c:pt>
                <c:pt idx="9">
                  <c:v>4.0189592700291783</c:v>
                </c:pt>
                <c:pt idx="10">
                  <c:v>4.1500965616636769</c:v>
                </c:pt>
                <c:pt idx="11">
                  <c:v>4.281881140400241</c:v>
                </c:pt>
                <c:pt idx="12">
                  <c:v>4.4143131298959002</c:v>
                </c:pt>
                <c:pt idx="13">
                  <c:v>4.5473926637453541</c:v>
                </c:pt>
                <c:pt idx="14">
                  <c:v>4.6811198854851304</c:v>
                </c:pt>
                <c:pt idx="15">
                  <c:v>4.8154949485981486</c:v>
                </c:pt>
                <c:pt idx="16">
                  <c:v>4.9505180165186475</c:v>
                </c:pt>
                <c:pt idx="17">
                  <c:v>5.086189262637502</c:v>
                </c:pt>
                <c:pt idx="18">
                  <c:v>5.2225088703079239</c:v>
                </c:pt>
                <c:pt idx="19">
                  <c:v>5.3594770328515464</c:v>
                </c:pt>
                <c:pt idx="20">
                  <c:v>5.4970939535648764</c:v>
                </c:pt>
                <c:pt idx="21">
                  <c:v>5.6353598457261738</c:v>
                </c:pt>
                <c:pt idx="22">
                  <c:v>5.7742749326026468</c:v>
                </c:pt>
                <c:pt idx="23">
                  <c:v>5.913839447458102</c:v>
                </c:pt>
                <c:pt idx="24">
                  <c:v>6.0540536335609314</c:v>
                </c:pt>
                <c:pt idx="25">
                  <c:v>6.1949177441925043</c:v>
                </c:pt>
                <c:pt idx="26">
                  <c:v>6.3364320426559457</c:v>
                </c:pt>
                <c:pt idx="27">
                  <c:v>6.4785968022853053</c:v>
                </c:pt>
                <c:pt idx="28">
                  <c:v>6.6214123064550954</c:v>
                </c:pt>
                <c:pt idx="29">
                  <c:v>6.7648788485902429</c:v>
                </c:pt>
                <c:pt idx="30">
                  <c:v>6.9089967321764023</c:v>
                </c:pt>
                <c:pt idx="31">
                  <c:v>7.0537662707706863</c:v>
                </c:pt>
                <c:pt idx="32">
                  <c:v>7.1991877880127708</c:v>
                </c:pt>
                <c:pt idx="33">
                  <c:v>7.3452616176363907</c:v>
                </c:pt>
                <c:pt idx="34">
                  <c:v>7.4919881034812361</c:v>
                </c:pt>
                <c:pt idx="35">
                  <c:v>7.639367599505225</c:v>
                </c:pt>
                <c:pt idx="36">
                  <c:v>7.7874004697971912</c:v>
                </c:pt>
                <c:pt idx="37">
                  <c:v>7.936087088589959</c:v>
                </c:pt>
                <c:pt idx="38">
                  <c:v>8.0854278402738018</c:v>
                </c:pt>
                <c:pt idx="39">
                  <c:v>8.2354231194103047</c:v>
                </c:pt>
                <c:pt idx="40">
                  <c:v>8.3860733307466386</c:v>
                </c:pt>
                <c:pt idx="41">
                  <c:v>8.5373788892302027</c:v>
                </c:pt>
                <c:pt idx="42">
                  <c:v>8.6893402200237002</c:v>
                </c:pt>
                <c:pt idx="43">
                  <c:v>8.8419577585205786</c:v>
                </c:pt>
                <c:pt idx="44">
                  <c:v>8.9952319503609051</c:v>
                </c:pt>
                <c:pt idx="45">
                  <c:v>9.1491632514476287</c:v>
                </c:pt>
                <c:pt idx="46">
                  <c:v>9.3037521279632358</c:v>
                </c:pt>
                <c:pt idx="47">
                  <c:v>9.4589990563868369</c:v>
                </c:pt>
                <c:pt idx="48">
                  <c:v>9.6149045235116279</c:v>
                </c:pt>
                <c:pt idx="49">
                  <c:v>9.7714690264627908</c:v>
                </c:pt>
                <c:pt idx="50">
                  <c:v>9.9286930727157774</c:v>
                </c:pt>
                <c:pt idx="51">
                  <c:v>10.086577180115018</c:v>
                </c:pt>
                <c:pt idx="52">
                  <c:v>10.245121876893037</c:v>
                </c:pt>
                <c:pt idx="53">
                  <c:v>10.404327701689969</c:v>
                </c:pt>
                <c:pt idx="54">
                  <c:v>10.564195203573513</c:v>
                </c:pt>
                <c:pt idx="55">
                  <c:v>10.724724942059289</c:v>
                </c:pt>
                <c:pt idx="56">
                  <c:v>10.885917487131598</c:v>
                </c:pt>
                <c:pt idx="57">
                  <c:v>11.04777341926464</c:v>
                </c:pt>
                <c:pt idx="58">
                  <c:v>11.210293329444081</c:v>
                </c:pt>
                <c:pt idx="59">
                  <c:v>11.373477819189139</c:v>
                </c:pt>
                <c:pt idx="60">
                  <c:v>11.537327500574998</c:v>
                </c:pt>
                <c:pt idx="61">
                  <c:v>11.701842996255708</c:v>
                </c:pt>
                <c:pt idx="62">
                  <c:v>11.867024939487491</c:v>
                </c:pt>
                <c:pt idx="63">
                  <c:v>12.032873974152466</c:v>
                </c:pt>
                <c:pt idx="64">
                  <c:v>12.199390754782826</c:v>
                </c:pt>
                <c:pt idx="65">
                  <c:v>12.366575946585408</c:v>
                </c:pt>
                <c:pt idx="66">
                  <c:v>12.534430225466764</c:v>
                </c:pt>
                <c:pt idx="67">
                  <c:v>12.702954278058572</c:v>
                </c:pt>
                <c:pt idx="68">
                  <c:v>12.872148801743577</c:v>
                </c:pt>
                <c:pt idx="69">
                  <c:v>13.042014504681909</c:v>
                </c:pt>
                <c:pt idx="70">
                  <c:v>13.21255210583786</c:v>
                </c:pt>
                <c:pt idx="71">
                  <c:v>13.383762335007114</c:v>
                </c:pt>
                <c:pt idx="72">
                  <c:v>13.555645932844421</c:v>
                </c:pt>
                <c:pt idx="73">
                  <c:v>13.728203650891665</c:v>
                </c:pt>
                <c:pt idx="74">
                  <c:v>13.901436251606492</c:v>
                </c:pt>
                <c:pt idx="75">
                  <c:v>14.075344508391243</c:v>
                </c:pt>
                <c:pt idx="76">
                  <c:v>14.24992920562249</c:v>
                </c:pt>
                <c:pt idx="77">
                  <c:v>14.425191138680901</c:v>
                </c:pt>
                <c:pt idx="78">
                  <c:v>14.601131113981637</c:v>
                </c:pt>
                <c:pt idx="79">
                  <c:v>14.777749949005191</c:v>
                </c:pt>
                <c:pt idx="80">
                  <c:v>14.955048472328651</c:v>
                </c:pt>
                <c:pt idx="81">
                  <c:v>15.133027523657498</c:v>
                </c:pt>
                <c:pt idx="82">
                  <c:v>15.31168795385781</c:v>
                </c:pt>
                <c:pt idx="83">
                  <c:v>15.491030624988964</c:v>
                </c:pt>
                <c:pt idx="84">
                  <c:v>15.671056410336774</c:v>
                </c:pt>
                <c:pt idx="85">
                  <c:v>15.851766194447173</c:v>
                </c:pt>
                <c:pt idx="86">
                  <c:v>16.033160873160277</c:v>
                </c:pt>
                <c:pt idx="87">
                  <c:v>16.215241353645006</c:v>
                </c:pt>
                <c:pt idx="88">
                  <c:v>16.398008554434167</c:v>
                </c:pt>
                <c:pt idx="89">
                  <c:v>16.581463405459946</c:v>
                </c:pt>
                <c:pt idx="90">
                  <c:v>16.765606848090027</c:v>
                </c:pt>
                <c:pt idx="91">
                  <c:v>16.950439835164083</c:v>
                </c:pt>
                <c:pt idx="92">
                  <c:v>17.135963331030773</c:v>
                </c:pt>
                <c:pt idx="93">
                  <c:v>17.322178311585326</c:v>
                </c:pt>
                <c:pt idx="94">
                  <c:v>17.509085764307471</c:v>
                </c:pt>
                <c:pt idx="95">
                  <c:v>17.696686688300002</c:v>
                </c:pt>
                <c:pt idx="96">
                  <c:v>17.884982094327771</c:v>
                </c:pt>
                <c:pt idx="97">
                  <c:v>18.073973004857219</c:v>
                </c:pt>
                <c:pt idx="98">
                  <c:v>18.263660454096414</c:v>
                </c:pt>
                <c:pt idx="99">
                  <c:v>18.454045488035529</c:v>
                </c:pt>
                <c:pt idx="100">
                  <c:v>18.64512916448799</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Calculations'!$BC$9:$BC$109</c:f>
              <c:numCache>
                <c:formatCode>0.000</c:formatCode>
                <c:ptCount val="101"/>
                <c:pt idx="0">
                  <c:v>6.6651982420181985E-2</c:v>
                </c:pt>
                <c:pt idx="1">
                  <c:v>7.5298258321154735E-2</c:v>
                </c:pt>
                <c:pt idx="2">
                  <c:v>8.395923544640635E-2</c:v>
                </c:pt>
                <c:pt idx="3">
                  <c:v>9.2634936642386645E-2</c:v>
                </c:pt>
                <c:pt idx="4">
                  <c:v>0.1013253849753524</c:v>
                </c:pt>
                <c:pt idx="5">
                  <c:v>0.11003060373198681</c:v>
                </c:pt>
                <c:pt idx="6">
                  <c:v>0.11875061642002743</c:v>
                </c:pt>
                <c:pt idx="7">
                  <c:v>0.12748544676890269</c:v>
                </c:pt>
                <c:pt idx="8">
                  <c:v>0.13623511873037608</c:v>
                </c:pt>
                <c:pt idx="9">
                  <c:v>0.14499965647919932</c:v>
                </c:pt>
                <c:pt idx="10">
                  <c:v>0.15377908441377341</c:v>
                </c:pt>
                <c:pt idx="11">
                  <c:v>0.16257342715681872</c:v>
                </c:pt>
                <c:pt idx="12">
                  <c:v>0.1713827095560527</c:v>
                </c:pt>
                <c:pt idx="13">
                  <c:v>0.18020695668487716</c:v>
                </c:pt>
                <c:pt idx="14">
                  <c:v>0.18904619384307306</c:v>
                </c:pt>
                <c:pt idx="15">
                  <c:v>0.19790044655750469</c:v>
                </c:pt>
                <c:pt idx="16">
                  <c:v>0.20676974058283204</c:v>
                </c:pt>
                <c:pt idx="17">
                  <c:v>0.21565410190223194</c:v>
                </c:pt>
                <c:pt idx="18">
                  <c:v>0.22455355672812799</c:v>
                </c:pt>
                <c:pt idx="19">
                  <c:v>0.23346813150292917</c:v>
                </c:pt>
                <c:pt idx="20">
                  <c:v>0.24239785289977717</c:v>
                </c:pt>
                <c:pt idx="21">
                  <c:v>0.25134274782330324</c:v>
                </c:pt>
                <c:pt idx="22">
                  <c:v>0.26030284341039234</c:v>
                </c:pt>
                <c:pt idx="23">
                  <c:v>0.26927816703095814</c:v>
                </c:pt>
                <c:pt idx="24">
                  <c:v>0.278268746288726</c:v>
                </c:pt>
                <c:pt idx="25">
                  <c:v>0.28727460902202429</c:v>
                </c:pt>
                <c:pt idx="26">
                  <c:v>0.29629578330458656</c:v>
                </c:pt>
                <c:pt idx="27">
                  <c:v>0.30533229744636148</c:v>
                </c:pt>
                <c:pt idx="28">
                  <c:v>0.31438417999433199</c:v>
                </c:pt>
                <c:pt idx="29">
                  <c:v>0.32345145973334466</c:v>
                </c:pt>
                <c:pt idx="30">
                  <c:v>0.33253416568694683</c:v>
                </c:pt>
                <c:pt idx="31">
                  <c:v>0.3416323271182346</c:v>
                </c:pt>
                <c:pt idx="32">
                  <c:v>0.35074597353070924</c:v>
                </c:pt>
                <c:pt idx="33">
                  <c:v>0.35987513466914289</c:v>
                </c:pt>
                <c:pt idx="34">
                  <c:v>0.369019840520455</c:v>
                </c:pt>
                <c:pt idx="35">
                  <c:v>0.378180121314596</c:v>
                </c:pt>
                <c:pt idx="36">
                  <c:v>0.38735600752544341</c:v>
                </c:pt>
                <c:pt idx="37">
                  <c:v>0.39654752987170527</c:v>
                </c:pt>
                <c:pt idx="38">
                  <c:v>0.40575471931783424</c:v>
                </c:pt>
                <c:pt idx="39">
                  <c:v>0.41497760707495146</c:v>
                </c:pt>
                <c:pt idx="40">
                  <c:v>0.42421622460178005</c:v>
                </c:pt>
                <c:pt idx="41">
                  <c:v>0.43347060360558826</c:v>
                </c:pt>
                <c:pt idx="42">
                  <c:v>0.44274077604314299</c:v>
                </c:pt>
                <c:pt idx="43">
                  <c:v>0.45202677412167314</c:v>
                </c:pt>
                <c:pt idx="44">
                  <c:v>0.46132863029984245</c:v>
                </c:pt>
                <c:pt idx="45">
                  <c:v>0.47064637728873354</c:v>
                </c:pt>
                <c:pt idx="46">
                  <c:v>0.479980048052841</c:v>
                </c:pt>
                <c:pt idx="47">
                  <c:v>0.48932967581107562</c:v>
                </c:pt>
                <c:pt idx="48">
                  <c:v>0.49869529403777757</c:v>
                </c:pt>
                <c:pt idx="49">
                  <c:v>0.50807693646374197</c:v>
                </c:pt>
                <c:pt idx="50">
                  <c:v>0.51747463707725294</c:v>
                </c:pt>
                <c:pt idx="51">
                  <c:v>0.52688843012512909</c:v>
                </c:pt>
                <c:pt idx="52">
                  <c:v>0.53631835011377949</c:v>
                </c:pt>
                <c:pt idx="53">
                  <c:v>0.5457644318102699</c:v>
                </c:pt>
                <c:pt idx="54">
                  <c:v>0.55522671024339976</c:v>
                </c:pt>
                <c:pt idx="55">
                  <c:v>0.56470522070479079</c:v>
                </c:pt>
                <c:pt idx="56">
                  <c:v>0.57419999874998462</c:v>
                </c:pt>
                <c:pt idx="57">
                  <c:v>0.58371108019955364</c:v>
                </c:pt>
                <c:pt idx="58">
                  <c:v>0.59323850114021992</c:v>
                </c:pt>
                <c:pt idx="59">
                  <c:v>0.60278229792598803</c:v>
                </c:pt>
                <c:pt idx="60">
                  <c:v>0.6123425071792874</c:v>
                </c:pt>
                <c:pt idx="61">
                  <c:v>0.62191916579212569</c:v>
                </c:pt>
                <c:pt idx="62">
                  <c:v>0.63151231092725446</c:v>
                </c:pt>
                <c:pt idx="63">
                  <c:v>0.64112198001934462</c:v>
                </c:pt>
                <c:pt idx="64">
                  <c:v>0.65074821077617573</c:v>
                </c:pt>
                <c:pt idx="65">
                  <c:v>0.66039104117983349</c:v>
                </c:pt>
                <c:pt idx="66">
                  <c:v>0.67005050948792189</c:v>
                </c:pt>
                <c:pt idx="67">
                  <c:v>0.67972665423478507</c:v>
                </c:pt>
                <c:pt idx="68">
                  <c:v>0.68941951423274173</c:v>
                </c:pt>
                <c:pt idx="69">
                  <c:v>0.69912912857333043</c:v>
                </c:pt>
                <c:pt idx="70">
                  <c:v>0.70885553662856782</c:v>
                </c:pt>
                <c:pt idx="71">
                  <c:v>0.71859877805221894</c:v>
                </c:pt>
                <c:pt idx="72">
                  <c:v>0.72835889278107868</c:v>
                </c:pt>
                <c:pt idx="73">
                  <c:v>0.7381359210362648</c:v>
                </c:pt>
                <c:pt idx="74">
                  <c:v>0.74792990332452536</c:v>
                </c:pt>
                <c:pt idx="75">
                  <c:v>0.75774088043955645</c:v>
                </c:pt>
                <c:pt idx="76">
                  <c:v>0.76756889346333335</c:v>
                </c:pt>
                <c:pt idx="77">
                  <c:v>0.77741398376745352</c:v>
                </c:pt>
                <c:pt idx="78">
                  <c:v>0.78727619301449259</c:v>
                </c:pt>
                <c:pt idx="79">
                  <c:v>0.79715556315937341</c:v>
                </c:pt>
                <c:pt idx="80">
                  <c:v>0.80705213645074569</c:v>
                </c:pt>
                <c:pt idx="81">
                  <c:v>0.81696595543238215</c:v>
                </c:pt>
                <c:pt idx="82">
                  <c:v>0.82689706294458398</c:v>
                </c:pt>
                <c:pt idx="83">
                  <c:v>0.83684550212560238</c:v>
                </c:pt>
                <c:pt idx="84">
                  <c:v>0.84681131641306928</c:v>
                </c:pt>
                <c:pt idx="85">
                  <c:v>0.85679454954544676</c:v>
                </c:pt>
                <c:pt idx="86">
                  <c:v>0.8667952455634842</c:v>
                </c:pt>
                <c:pt idx="87">
                  <c:v>0.87681344881169299</c:v>
                </c:pt>
                <c:pt idx="88">
                  <c:v>0.88684920393983302</c:v>
                </c:pt>
                <c:pt idx="89">
                  <c:v>0.89690255590441126</c:v>
                </c:pt>
                <c:pt idx="90">
                  <c:v>0.90697354997019808</c:v>
                </c:pt>
                <c:pt idx="91">
                  <c:v>0.91706223171175405</c:v>
                </c:pt>
                <c:pt idx="92">
                  <c:v>0.92716864701497048</c:v>
                </c:pt>
                <c:pt idx="93">
                  <c:v>0.93729284207862773</c:v>
                </c:pt>
                <c:pt idx="94">
                  <c:v>0.94743486341596272</c:v>
                </c:pt>
                <c:pt idx="95">
                  <c:v>0.9575947578562537</c:v>
                </c:pt>
                <c:pt idx="96">
                  <c:v>0.96777257254642035</c:v>
                </c:pt>
                <c:pt idx="97">
                  <c:v>0.97796835495263434</c:v>
                </c:pt>
                <c:pt idx="98">
                  <c:v>0.98818215286194955</c:v>
                </c:pt>
                <c:pt idx="99">
                  <c:v>0.99841401438394062</c:v>
                </c:pt>
                <c:pt idx="100">
                  <c:v>1.0086639879523642</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Calculations'!$BD$9:$BD$109</c:f>
              <c:numCache>
                <c:formatCode>0.000</c:formatCode>
                <c:ptCount val="101"/>
                <c:pt idx="0">
                  <c:v>7.0462802860482759E-2</c:v>
                </c:pt>
                <c:pt idx="1">
                  <c:v>7.3541811070356261E-2</c:v>
                </c:pt>
                <c:pt idx="2">
                  <c:v>7.6636706771239918E-2</c:v>
                </c:pt>
                <c:pt idx="3">
                  <c:v>7.9747490806939006E-2</c:v>
                </c:pt>
                <c:pt idx="4">
                  <c:v>8.2874164264926137E-2</c:v>
                </c:pt>
                <c:pt idx="5">
                  <c:v>8.6016728476360008E-2</c:v>
                </c:pt>
                <c:pt idx="6">
                  <c:v>8.9175185016112407E-2</c:v>
                </c:pt>
                <c:pt idx="7">
                  <c:v>9.2349535702805852E-2</c:v>
                </c:pt>
                <c:pt idx="8">
                  <c:v>9.5539782598859507E-2</c:v>
                </c:pt>
                <c:pt idx="9">
                  <c:v>9.8745928010544909E-2</c:v>
                </c:pt>
                <c:pt idx="10">
                  <c:v>0.10196797448805102</c:v>
                </c:pt>
                <c:pt idx="11">
                  <c:v>0.10520592482555874</c:v>
                </c:pt>
                <c:pt idx="12">
                  <c:v>0.10845978206132431</c:v>
                </c:pt>
                <c:pt idx="13">
                  <c:v>0.11172954947777282</c:v>
                </c:pt>
                <c:pt idx="14">
                  <c:v>0.11501523060160025</c:v>
                </c:pt>
                <c:pt idx="15">
                  <c:v>0.1183168292038857</c:v>
                </c:pt>
                <c:pt idx="16">
                  <c:v>0.12163434930021247</c:v>
                </c:pt>
                <c:pt idx="17">
                  <c:v>0.12496779515079856</c:v>
                </c:pt>
                <c:pt idx="18">
                  <c:v>0.12831717126063694</c:v>
                </c:pt>
                <c:pt idx="19">
                  <c:v>0.13168248237964486</c:v>
                </c:pt>
                <c:pt idx="20">
                  <c:v>0.1350637335028225</c:v>
                </c:pt>
                <c:pt idx="21">
                  <c:v>0.13846092987042194</c:v>
                </c:pt>
                <c:pt idx="22">
                  <c:v>0.14187407696812399</c:v>
                </c:pt>
                <c:pt idx="23">
                  <c:v>0.14530318052722607</c:v>
                </c:pt>
                <c:pt idx="24">
                  <c:v>0.14874824652483859</c:v>
                </c:pt>
                <c:pt idx="25">
                  <c:v>0.15220928118409099</c:v>
                </c:pt>
                <c:pt idx="26">
                  <c:v>0.15568629097434755</c:v>
                </c:pt>
                <c:pt idx="27">
                  <c:v>0.15917928261143255</c:v>
                </c:pt>
                <c:pt idx="28">
                  <c:v>0.16268826305786474</c:v>
                </c:pt>
                <c:pt idx="29">
                  <c:v>0.16621323952310177</c:v>
                </c:pt>
                <c:pt idx="30">
                  <c:v>0.16975421946379365</c:v>
                </c:pt>
                <c:pt idx="31">
                  <c:v>0.17331121058404633</c:v>
                </c:pt>
                <c:pt idx="32">
                  <c:v>0.17688422083569461</c:v>
                </c:pt>
                <c:pt idx="33">
                  <c:v>0.18047325841858453</c:v>
                </c:pt>
                <c:pt idx="34">
                  <c:v>0.18407833178086574</c:v>
                </c:pt>
                <c:pt idx="35">
                  <c:v>0.187699449619293</c:v>
                </c:pt>
                <c:pt idx="36">
                  <c:v>0.19133662087953784</c:v>
                </c:pt>
                <c:pt idx="37">
                  <c:v>0.19498985475651004</c:v>
                </c:pt>
                <c:pt idx="38">
                  <c:v>0.19865916069468798</c:v>
                </c:pt>
                <c:pt idx="39">
                  <c:v>0.20234454838845956</c:v>
                </c:pt>
                <c:pt idx="40">
                  <c:v>0.20604602778247266</c:v>
                </c:pt>
                <c:pt idx="41">
                  <c:v>0.20976360907199515</c:v>
                </c:pt>
                <c:pt idx="42">
                  <c:v>0.21349730270328499</c:v>
                </c:pt>
                <c:pt idx="43">
                  <c:v>0.21724711937396995</c:v>
                </c:pt>
                <c:pt idx="44">
                  <c:v>0.22101307003343745</c:v>
                </c:pt>
                <c:pt idx="45">
                  <c:v>0.22479516588323412</c:v>
                </c:pt>
                <c:pt idx="46">
                  <c:v>0.22859341837747504</c:v>
                </c:pt>
                <c:pt idx="47">
                  <c:v>0.2324078392232638</c:v>
                </c:pt>
                <c:pt idx="48">
                  <c:v>0.23623844038112105</c:v>
                </c:pt>
                <c:pt idx="49">
                  <c:v>0.24008523406542481</c:v>
                </c:pt>
                <c:pt idx="50">
                  <c:v>0.24394823274485938</c:v>
                </c:pt>
                <c:pt idx="51">
                  <c:v>0.24782744914287513</c:v>
                </c:pt>
                <c:pt idx="52">
                  <c:v>0.25172289623815813</c:v>
                </c:pt>
                <c:pt idx="53">
                  <c:v>0.25563458726510979</c:v>
                </c:pt>
                <c:pt idx="54">
                  <c:v>0.25956253571433691</c:v>
                </c:pt>
                <c:pt idx="55">
                  <c:v>0.26350675533315204</c:v>
                </c:pt>
                <c:pt idx="56">
                  <c:v>0.26746726012608346</c:v>
                </c:pt>
                <c:pt idx="57">
                  <c:v>0.27144406435539653</c:v>
                </c:pt>
                <c:pt idx="58">
                  <c:v>0.27543718254162358</c:v>
                </c:pt>
                <c:pt idx="59">
                  <c:v>0.27944662946410659</c:v>
                </c:pt>
                <c:pt idx="60">
                  <c:v>0.28347242016154783</c:v>
                </c:pt>
                <c:pt idx="61">
                  <c:v>0.28751456993257268</c:v>
                </c:pt>
                <c:pt idx="62">
                  <c:v>0.29157309433630196</c:v>
                </c:pt>
                <c:pt idx="63">
                  <c:v>0.29564800919293527</c:v>
                </c:pt>
                <c:pt idx="64">
                  <c:v>0.2997393305843446</c:v>
                </c:pt>
                <c:pt idx="65">
                  <c:v>0.30384707485467832</c:v>
                </c:pt>
                <c:pt idx="66">
                  <c:v>0.30797125861097696</c:v>
                </c:pt>
                <c:pt idx="67">
                  <c:v>0.3121118987237978</c:v>
                </c:pt>
                <c:pt idx="68">
                  <c:v>0.31626901232785198</c:v>
                </c:pt>
                <c:pt idx="69">
                  <c:v>0.32044261682265129</c:v>
                </c:pt>
                <c:pt idx="70">
                  <c:v>0.32463272987316605</c:v>
                </c:pt>
                <c:pt idx="71">
                  <c:v>0.32883936941049419</c:v>
                </c:pt>
                <c:pt idx="72">
                  <c:v>0.333062553632541</c:v>
                </c:pt>
                <c:pt idx="73">
                  <c:v>0.3373023010047092</c:v>
                </c:pt>
                <c:pt idx="74">
                  <c:v>0.34155863026060174</c:v>
                </c:pt>
                <c:pt idx="75">
                  <c:v>0.34583156040273322</c:v>
                </c:pt>
                <c:pt idx="76">
                  <c:v>0.35012111070325524</c:v>
                </c:pt>
                <c:pt idx="77">
                  <c:v>0.35442730070469042</c:v>
                </c:pt>
                <c:pt idx="78">
                  <c:v>0.35875015022067902</c:v>
                </c:pt>
                <c:pt idx="79">
                  <c:v>0.36308967933673686</c:v>
                </c:pt>
                <c:pt idx="80">
                  <c:v>0.36744590841102331</c:v>
                </c:pt>
                <c:pt idx="81">
                  <c:v>0.37181885807512277</c:v>
                </c:pt>
                <c:pt idx="82">
                  <c:v>0.3762085492348356</c:v>
                </c:pt>
                <c:pt idx="83">
                  <c:v>0.38061500307098189</c:v>
                </c:pt>
                <c:pt idx="84">
                  <c:v>0.38503824104021556</c:v>
                </c:pt>
                <c:pt idx="85">
                  <c:v>0.3894782848758519</c:v>
                </c:pt>
                <c:pt idx="86">
                  <c:v>0.39393515658870459</c:v>
                </c:pt>
                <c:pt idx="87">
                  <c:v>0.39840887846793627</c:v>
                </c:pt>
                <c:pt idx="88">
                  <c:v>0.40289947308192053</c:v>
                </c:pt>
                <c:pt idx="89">
                  <c:v>0.40740696327911413</c:v>
                </c:pt>
                <c:pt idx="90">
                  <c:v>0.41193137218894416</c:v>
                </c:pt>
                <c:pt idx="91">
                  <c:v>0.41647272322270468</c:v>
                </c:pt>
                <c:pt idx="92">
                  <c:v>0.42103104007446612</c:v>
                </c:pt>
                <c:pt idx="93">
                  <c:v>0.42560634672199815</c:v>
                </c:pt>
                <c:pt idx="94">
                  <c:v>0.43019866742770196</c:v>
                </c:pt>
                <c:pt idx="95">
                  <c:v>0.43480802673955771</c:v>
                </c:pt>
                <c:pt idx="96">
                  <c:v>0.43943444949208277</c:v>
                </c:pt>
                <c:pt idx="97">
                  <c:v>0.44407796080730261</c:v>
                </c:pt>
                <c:pt idx="98">
                  <c:v>0.44873858609573491</c:v>
                </c:pt>
                <c:pt idx="99">
                  <c:v>0.45341635105738398</c:v>
                </c:pt>
                <c:pt idx="100">
                  <c:v>0.45811128168275156</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Calculations'!$U$9:$U$109</c:f>
              <c:numCache>
                <c:formatCode>0.000</c:formatCode>
                <c:ptCount val="101"/>
                <c:pt idx="0">
                  <c:v>0.25683574466427173</c:v>
                </c:pt>
                <c:pt idx="1">
                  <c:v>0.25684762658060478</c:v>
                </c:pt>
                <c:pt idx="2">
                  <c:v>0.25687744802964912</c:v>
                </c:pt>
                <c:pt idx="3">
                  <c:v>0.2569252092630126</c:v>
                </c:pt>
                <c:pt idx="4">
                  <c:v>0.2569909106836758</c:v>
                </c:pt>
                <c:pt idx="5">
                  <c:v>0.25707455284600089</c:v>
                </c:pt>
                <c:pt idx="6">
                  <c:v>0.25717613645574289</c:v>
                </c:pt>
                <c:pt idx="7">
                  <c:v>0.25729566237006463</c:v>
                </c:pt>
                <c:pt idx="8">
                  <c:v>0.25743313159755521</c:v>
                </c:pt>
                <c:pt idx="9">
                  <c:v>0.2575885452982507</c:v>
                </c:pt>
                <c:pt idx="10">
                  <c:v>0.25776190478365923</c:v>
                </c:pt>
                <c:pt idx="11">
                  <c:v>0.25795321151678813</c:v>
                </c:pt>
                <c:pt idx="12">
                  <c:v>0.258162467112175</c:v>
                </c:pt>
                <c:pt idx="13">
                  <c:v>0.25838967333592194</c:v>
                </c:pt>
                <c:pt idx="14">
                  <c:v>0.25863483210573263</c:v>
                </c:pt>
                <c:pt idx="15">
                  <c:v>0.25889794549095269</c:v>
                </c:pt>
                <c:pt idx="16">
                  <c:v>0.25917901571261376</c:v>
                </c:pt>
                <c:pt idx="17">
                  <c:v>0.25947804514348</c:v>
                </c:pt>
                <c:pt idx="18">
                  <c:v>0.2597950363080983</c:v>
                </c:pt>
                <c:pt idx="19">
                  <c:v>0.2601299918828518</c:v>
                </c:pt>
                <c:pt idx="20">
                  <c:v>0.26048291469601564</c:v>
                </c:pt>
                <c:pt idx="21">
                  <c:v>0.26085380772781808</c:v>
                </c:pt>
                <c:pt idx="22">
                  <c:v>0.26124267411050167</c:v>
                </c:pt>
                <c:pt idx="23">
                  <c:v>0.26164951712839102</c:v>
                </c:pt>
                <c:pt idx="24">
                  <c:v>0.26207434021796122</c:v>
                </c:pt>
                <c:pt idx="25">
                  <c:v>0.26251714696791068</c:v>
                </c:pt>
                <c:pt idx="26">
                  <c:v>0.262977941119237</c:v>
                </c:pt>
                <c:pt idx="27">
                  <c:v>0.26345672656531621</c:v>
                </c:pt>
                <c:pt idx="28">
                  <c:v>0.26395350735198458</c:v>
                </c:pt>
                <c:pt idx="29">
                  <c:v>0.2644682876776247</c:v>
                </c:pt>
                <c:pt idx="30">
                  <c:v>0.26500107189325367</c:v>
                </c:pt>
                <c:pt idx="31">
                  <c:v>0.2655518645026157</c:v>
                </c:pt>
                <c:pt idx="32">
                  <c:v>0.26612067016227703</c:v>
                </c:pt>
                <c:pt idx="33">
                  <c:v>0.26670749368172453</c:v>
                </c:pt>
                <c:pt idx="34">
                  <c:v>0.26731234002346738</c:v>
                </c:pt>
                <c:pt idx="35">
                  <c:v>0.26793521430314193</c:v>
                </c:pt>
                <c:pt idx="36">
                  <c:v>0.26857612178962054</c:v>
                </c:pt>
                <c:pt idx="37">
                  <c:v>0.26923506790512264</c:v>
                </c:pt>
                <c:pt idx="38">
                  <c:v>0.26991205822532971</c:v>
                </c:pt>
                <c:pt idx="39">
                  <c:v>0.27060709847950326</c:v>
                </c:pt>
                <c:pt idx="40">
                  <c:v>0.27132019455060641</c:v>
                </c:pt>
                <c:pt idx="41">
                  <c:v>0.27205135247542839</c:v>
                </c:pt>
                <c:pt idx="42">
                  <c:v>0.27280057844471256</c:v>
                </c:pt>
                <c:pt idx="43">
                  <c:v>0.2735678788032877</c:v>
                </c:pt>
                <c:pt idx="44">
                  <c:v>0.27435326005020239</c:v>
                </c:pt>
                <c:pt idx="45">
                  <c:v>0.27515672883886305</c:v>
                </c:pt>
                <c:pt idx="46">
                  <c:v>0.27597829197717505</c:v>
                </c:pt>
                <c:pt idx="47">
                  <c:v>0.27681795642768692</c:v>
                </c:pt>
                <c:pt idx="48">
                  <c:v>0.27767572930773887</c:v>
                </c:pt>
                <c:pt idx="49">
                  <c:v>0.27855161788961291</c:v>
                </c:pt>
                <c:pt idx="50">
                  <c:v>0.27944562960068831</c:v>
                </c:pt>
                <c:pt idx="51">
                  <c:v>0.28035777202359874</c:v>
                </c:pt>
                <c:pt idx="52">
                  <c:v>0.28128805289639353</c:v>
                </c:pt>
                <c:pt idx="53">
                  <c:v>0.28223648011270253</c:v>
                </c:pt>
                <c:pt idx="54">
                  <c:v>0.28320306172190352</c:v>
                </c:pt>
                <c:pt idx="55">
                  <c:v>0.28418780592929371</c:v>
                </c:pt>
                <c:pt idx="56">
                  <c:v>0.28519072109626448</c:v>
                </c:pt>
                <c:pt idx="57">
                  <c:v>0.28621181574047883</c:v>
                </c:pt>
                <c:pt idx="58">
                  <c:v>0.28725109853605318</c:v>
                </c:pt>
                <c:pt idx="59">
                  <c:v>0.28830857831374246</c:v>
                </c:pt>
                <c:pt idx="60">
                  <c:v>0.28938426406112716</c:v>
                </c:pt>
                <c:pt idx="61">
                  <c:v>0.29047816492280626</c:v>
                </c:pt>
                <c:pt idx="62">
                  <c:v>0.29159029020059118</c:v>
                </c:pt>
                <c:pt idx="63">
                  <c:v>0.2927206493537049</c:v>
                </c:pt>
                <c:pt idx="64">
                  <c:v>0.29386925199898323</c:v>
                </c:pt>
                <c:pt idx="65">
                  <c:v>0.29503610791108059</c:v>
                </c:pt>
                <c:pt idx="66">
                  <c:v>0.29622122702267856</c:v>
                </c:pt>
                <c:pt idx="67">
                  <c:v>0.29742461942469789</c:v>
                </c:pt>
                <c:pt idx="68">
                  <c:v>0.2986462953665146</c:v>
                </c:pt>
                <c:pt idx="69">
                  <c:v>0.29988626525617879</c:v>
                </c:pt>
                <c:pt idx="70">
                  <c:v>0.3011445396606372</c:v>
                </c:pt>
                <c:pt idx="71">
                  <c:v>0.30242112930595966</c:v>
                </c:pt>
                <c:pt idx="72">
                  <c:v>0.30371604507756844</c:v>
                </c:pt>
                <c:pt idx="73">
                  <c:v>0.30502929802047157</c:v>
                </c:pt>
                <c:pt idx="74">
                  <c:v>0.30636089933949917</c:v>
                </c:pt>
                <c:pt idx="75">
                  <c:v>0.30771086039954409</c:v>
                </c:pt>
                <c:pt idx="76">
                  <c:v>0.3090791927258052</c:v>
                </c:pt>
                <c:pt idx="77">
                  <c:v>0.31046590800403484</c:v>
                </c:pt>
                <c:pt idx="78">
                  <c:v>0.3118710180807896</c:v>
                </c:pt>
                <c:pt idx="79">
                  <c:v>0.31329453496368515</c:v>
                </c:pt>
                <c:pt idx="80">
                  <c:v>0.31473647082165324</c:v>
                </c:pt>
                <c:pt idx="81">
                  <c:v>0.31619683798520404</c:v>
                </c:pt>
                <c:pt idx="82">
                  <c:v>0.31767564894669126</c:v>
                </c:pt>
                <c:pt idx="83">
                  <c:v>0.31917291636058065</c:v>
                </c:pt>
                <c:pt idx="84">
                  <c:v>0.32068865304372235</c:v>
                </c:pt>
                <c:pt idx="85">
                  <c:v>0.32222287197562743</c:v>
                </c:pt>
                <c:pt idx="86">
                  <c:v>0.3237755862987467</c:v>
                </c:pt>
                <c:pt idx="87">
                  <c:v>0.32534680931875504</c:v>
                </c:pt>
                <c:pt idx="88">
                  <c:v>0.32693655450483755</c:v>
                </c:pt>
                <c:pt idx="89">
                  <c:v>0.32854483548998065</c:v>
                </c:pt>
                <c:pt idx="90">
                  <c:v>0.33017166607126652</c:v>
                </c:pt>
                <c:pt idx="91">
                  <c:v>0.33181706021017082</c:v>
                </c:pt>
                <c:pt idx="92">
                  <c:v>0.3334810320328645</c:v>
                </c:pt>
                <c:pt idx="93">
                  <c:v>0.33516359583051986</c:v>
                </c:pt>
                <c:pt idx="94">
                  <c:v>0.33686476605961896</c:v>
                </c:pt>
                <c:pt idx="95">
                  <c:v>0.33858455734226733</c:v>
                </c:pt>
                <c:pt idx="96">
                  <c:v>0.34032298446651033</c:v>
                </c:pt>
                <c:pt idx="97">
                  <c:v>0.34208006238665362</c:v>
                </c:pt>
                <c:pt idx="98">
                  <c:v>0.34385580622358808</c:v>
                </c:pt>
                <c:pt idx="99">
                  <c:v>0.34565023126511696</c:v>
                </c:pt>
                <c:pt idx="100">
                  <c:v>0.34746335296628877</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Calculations'!$AV$9:$AV$109</c:f>
              <c:numCache>
                <c:formatCode>0.0%</c:formatCode>
                <c:ptCount val="101"/>
                <c:pt idx="0">
                  <c:v>0</c:v>
                </c:pt>
                <c:pt idx="1">
                  <c:v>0.54233553238401189</c:v>
                </c:pt>
                <c:pt idx="2">
                  <c:v>0.69827793351904255</c:v>
                </c:pt>
                <c:pt idx="3">
                  <c:v>0.77228024606493961</c:v>
                </c:pt>
                <c:pt idx="4">
                  <c:v>0.81547601934652192</c:v>
                </c:pt>
                <c:pt idx="5">
                  <c:v>0.84377931777745308</c:v>
                </c:pt>
                <c:pt idx="6">
                  <c:v>0.86375318930116962</c:v>
                </c:pt>
                <c:pt idx="7">
                  <c:v>0.87859821303273733</c:v>
                </c:pt>
                <c:pt idx="8">
                  <c:v>0.89006138425359693</c:v>
                </c:pt>
                <c:pt idx="9">
                  <c:v>0.8991771780319614</c:v>
                </c:pt>
                <c:pt idx="10">
                  <c:v>0.90659719333786848</c:v>
                </c:pt>
                <c:pt idx="11">
                  <c:v>0.91275228678175091</c:v>
                </c:pt>
                <c:pt idx="12">
                  <c:v>0.91793875016984128</c:v>
                </c:pt>
                <c:pt idx="13">
                  <c:v>0.92236703968150868</c:v>
                </c:pt>
                <c:pt idx="14">
                  <c:v>0.92619075986856358</c:v>
                </c:pt>
                <c:pt idx="15">
                  <c:v>0.92952464623621178</c:v>
                </c:pt>
                <c:pt idx="16">
                  <c:v>0.93245612830740288</c:v>
                </c:pt>
                <c:pt idx="17">
                  <c:v>0.9350529966482285</c:v>
                </c:pt>
                <c:pt idx="18">
                  <c:v>0.93736862393516529</c:v>
                </c:pt>
                <c:pt idx="19">
                  <c:v>0.93944560447308456</c:v>
                </c:pt>
                <c:pt idx="20">
                  <c:v>0.94131834422647631</c:v>
                </c:pt>
                <c:pt idx="21">
                  <c:v>0.94301493824045701</c:v>
                </c:pt>
                <c:pt idx="22">
                  <c:v>0.94455855416426215</c:v>
                </c:pt>
                <c:pt idx="23">
                  <c:v>0.94596846709594806</c:v>
                </c:pt>
                <c:pt idx="24">
                  <c:v>0.94726084413628375</c:v>
                </c:pt>
                <c:pt idx="25">
                  <c:v>0.94844934654067714</c:v>
                </c:pt>
                <c:pt idx="26">
                  <c:v>0.94954559709826114</c:v>
                </c:pt>
                <c:pt idx="27">
                  <c:v>0.95055954666469622</c:v>
                </c:pt>
                <c:pt idx="28">
                  <c:v>0.95149976435362882</c:v>
                </c:pt>
                <c:pt idx="29">
                  <c:v>0.9523736693148751</c:v>
                </c:pt>
                <c:pt idx="30">
                  <c:v>0.95318771737187835</c:v>
                </c:pt>
                <c:pt idx="31">
                  <c:v>0.95394755245276075</c:v>
                </c:pt>
                <c:pt idx="32">
                  <c:v>0.95465813032683311</c:v>
                </c:pt>
                <c:pt idx="33">
                  <c:v>0.95532382038086217</c:v>
                </c:pt>
                <c:pt idx="34">
                  <c:v>0.9559484898514421</c:v>
                </c:pt>
                <c:pt idx="35">
                  <c:v>0.95653557394313249</c:v>
                </c:pt>
                <c:pt idx="36">
                  <c:v>0.95708813451659247</c:v>
                </c:pt>
                <c:pt idx="37">
                  <c:v>0.95760890946296617</c:v>
                </c:pt>
                <c:pt idx="38">
                  <c:v>0.95810035444450958</c:v>
                </c:pt>
                <c:pt idx="39">
                  <c:v>0.95856467834383485</c:v>
                </c:pt>
                <c:pt idx="40">
                  <c:v>0.95900387350097471</c:v>
                </c:pt>
                <c:pt idx="41">
                  <c:v>0.95941974161096855</c:v>
                </c:pt>
                <c:pt idx="42">
                  <c:v>0.95981391599157351</c:v>
                </c:pt>
                <c:pt idx="43">
                  <c:v>0.96018788080112016</c:v>
                </c:pt>
                <c:pt idx="44">
                  <c:v>0.96054298768297319</c:v>
                </c:pt>
                <c:pt idx="45">
                  <c:v>0.96088047022984713</c:v>
                </c:pt>
                <c:pt idx="46">
                  <c:v>0.96120145659401579</c:v>
                </c:pt>
                <c:pt idx="47">
                  <c:v>0.96150698051489569</c:v>
                </c:pt>
                <c:pt idx="48">
                  <c:v>0.96179799099098295</c:v>
                </c:pt>
                <c:pt idx="49">
                  <c:v>0.96207536078667033</c:v>
                </c:pt>
                <c:pt idx="50">
                  <c:v>0.96233989393446839</c:v>
                </c:pt>
                <c:pt idx="51">
                  <c:v>0.96259233236836628</c:v>
                </c:pt>
                <c:pt idx="52">
                  <c:v>0.96283336180350698</c:v>
                </c:pt>
                <c:pt idx="53">
                  <c:v>0.9630636169602268</c:v>
                </c:pt>
                <c:pt idx="54">
                  <c:v>0.96328368621619653</c:v>
                </c:pt>
                <c:pt idx="55">
                  <c:v>0.96349411575839661</c:v>
                </c:pt>
                <c:pt idx="56">
                  <c:v>0.96369541329656261</c:v>
                </c:pt>
                <c:pt idx="57">
                  <c:v>0.96388805139119893</c:v>
                </c:pt>
                <c:pt idx="58">
                  <c:v>0.96407247044204136</c:v>
                </c:pt>
                <c:pt idx="59">
                  <c:v>0.9642490813767115</c:v>
                </c:pt>
                <c:pt idx="60">
                  <c:v>0.96441826807407527</c:v>
                </c:pt>
                <c:pt idx="61">
                  <c:v>0.96458038955234926</c:v>
                </c:pt>
                <c:pt idx="62">
                  <c:v>0.96473578194817977</c:v>
                </c:pt>
                <c:pt idx="63">
                  <c:v>0.96488476030962056</c:v>
                </c:pt>
                <c:pt idx="64">
                  <c:v>0.96502762022311162</c:v>
                </c:pt>
                <c:pt idx="65">
                  <c:v>0.96516463929212126</c:v>
                </c:pt>
                <c:pt idx="66">
                  <c:v>0.96529607848298482</c:v>
                </c:pt>
                <c:pt idx="67">
                  <c:v>0.96542218335165986</c:v>
                </c:pt>
                <c:pt idx="68">
                  <c:v>0.96554318516350479</c:v>
                </c:pt>
                <c:pt idx="69">
                  <c:v>0.96565930191681293</c:v>
                </c:pt>
                <c:pt idx="70">
                  <c:v>0.96577073927961354</c:v>
                </c:pt>
                <c:pt idx="71">
                  <c:v>0.96587769144819746</c:v>
                </c:pt>
                <c:pt idx="72">
                  <c:v>0.96598034193489102</c:v>
                </c:pt>
                <c:pt idx="73">
                  <c:v>0.9660788642917888</c:v>
                </c:pt>
                <c:pt idx="74">
                  <c:v>0.96617342277643958</c:v>
                </c:pt>
                <c:pt idx="75">
                  <c:v>0.96626417296484313</c:v>
                </c:pt>
                <c:pt idx="76">
                  <c:v>0.96635126231656066</c:v>
                </c:pt>
                <c:pt idx="77">
                  <c:v>0.96643483069624714</c:v>
                </c:pt>
                <c:pt idx="78">
                  <c:v>0.96651501085547709</c:v>
                </c:pt>
                <c:pt idx="79">
                  <c:v>0.96659192887834455</c:v>
                </c:pt>
                <c:pt idx="80">
                  <c:v>0.96666570459397771</c:v>
                </c:pt>
                <c:pt idx="81">
                  <c:v>0.96673645195879632</c:v>
                </c:pt>
                <c:pt idx="82">
                  <c:v>0.96680427941107328</c:v>
                </c:pt>
                <c:pt idx="83">
                  <c:v>0.96686929020011003</c:v>
                </c:pt>
                <c:pt idx="84">
                  <c:v>0.96693158269212387</c:v>
                </c:pt>
                <c:pt idx="85">
                  <c:v>0.96699125065474512</c:v>
                </c:pt>
                <c:pt idx="86">
                  <c:v>0.96704838352185041</c:v>
                </c:pt>
                <c:pt idx="87">
                  <c:v>0.96710306664029877</c:v>
                </c:pt>
                <c:pt idx="88">
                  <c:v>0.96715538149999714</c:v>
                </c:pt>
                <c:pt idx="89">
                  <c:v>0.96720540594859528</c:v>
                </c:pt>
                <c:pt idx="90">
                  <c:v>0.96725321439199408</c:v>
                </c:pt>
                <c:pt idx="91">
                  <c:v>0.96729887798174929</c:v>
                </c:pt>
                <c:pt idx="92">
                  <c:v>0.96734246479035946</c:v>
                </c:pt>
                <c:pt idx="93">
                  <c:v>0.96738403997534161</c:v>
                </c:pt>
                <c:pt idx="94">
                  <c:v>0.96742366593292284</c:v>
                </c:pt>
                <c:pt idx="95">
                  <c:v>0.96746140244210654</c:v>
                </c:pt>
                <c:pt idx="96">
                  <c:v>0.96749730679980839</c:v>
                </c:pt>
                <c:pt idx="97">
                  <c:v>0.96753143394770336</c:v>
                </c:pt>
                <c:pt idx="98">
                  <c:v>0.96756383659136769</c:v>
                </c:pt>
                <c:pt idx="99">
                  <c:v>0.96759456531226085</c:v>
                </c:pt>
                <c:pt idx="100">
                  <c:v>0.96762366867303817</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Calculations'!$AZ$9:$AZ$109</c:f>
              <c:numCache>
                <c:formatCode>0.00</c:formatCode>
                <c:ptCount val="101"/>
                <c:pt idx="0">
                  <c:v>0</c:v>
                </c:pt>
                <c:pt idx="1">
                  <c:v>54.233553238401186</c:v>
                </c:pt>
                <c:pt idx="2">
                  <c:v>69.827793351904262</c:v>
                </c:pt>
                <c:pt idx="3">
                  <c:v>77.22802460649396</c:v>
                </c:pt>
                <c:pt idx="4">
                  <c:v>81.547601934652192</c:v>
                </c:pt>
                <c:pt idx="5">
                  <c:v>84.377931777745303</c:v>
                </c:pt>
                <c:pt idx="6">
                  <c:v>86.375318930116961</c:v>
                </c:pt>
                <c:pt idx="7">
                  <c:v>87.859821303273733</c:v>
                </c:pt>
                <c:pt idx="8">
                  <c:v>89.006138425359694</c:v>
                </c:pt>
                <c:pt idx="9">
                  <c:v>89.91771780319614</c:v>
                </c:pt>
                <c:pt idx="10">
                  <c:v>90.659719333786853</c:v>
                </c:pt>
                <c:pt idx="11">
                  <c:v>91.275228678175097</c:v>
                </c:pt>
                <c:pt idx="12">
                  <c:v>91.793875016984131</c:v>
                </c:pt>
                <c:pt idx="13">
                  <c:v>92.236703968150863</c:v>
                </c:pt>
                <c:pt idx="14">
                  <c:v>92.619075986856359</c:v>
                </c:pt>
                <c:pt idx="15">
                  <c:v>92.952464623621182</c:v>
                </c:pt>
                <c:pt idx="16">
                  <c:v>93.245612830740285</c:v>
                </c:pt>
                <c:pt idx="17">
                  <c:v>93.505299664822843</c:v>
                </c:pt>
                <c:pt idx="18">
                  <c:v>93.736862393516532</c:v>
                </c:pt>
                <c:pt idx="19">
                  <c:v>93.944560447308461</c:v>
                </c:pt>
                <c:pt idx="20">
                  <c:v>94.131834422647628</c:v>
                </c:pt>
                <c:pt idx="21">
                  <c:v>94.301493824045707</c:v>
                </c:pt>
                <c:pt idx="22">
                  <c:v>94.455855416426218</c:v>
                </c:pt>
                <c:pt idx="23">
                  <c:v>94.5968467095948</c:v>
                </c:pt>
                <c:pt idx="24">
                  <c:v>94.726084413628371</c:v>
                </c:pt>
                <c:pt idx="25">
                  <c:v>94.844934654067714</c:v>
                </c:pt>
                <c:pt idx="26">
                  <c:v>94.954559709826114</c:v>
                </c:pt>
                <c:pt idx="27">
                  <c:v>95.055954666469617</c:v>
                </c:pt>
                <c:pt idx="28">
                  <c:v>95.149976435362888</c:v>
                </c:pt>
                <c:pt idx="29">
                  <c:v>95.237366931487514</c:v>
                </c:pt>
                <c:pt idx="30">
                  <c:v>95.318771737187831</c:v>
                </c:pt>
                <c:pt idx="31">
                  <c:v>95.394755245276073</c:v>
                </c:pt>
                <c:pt idx="32">
                  <c:v>95.465813032683315</c:v>
                </c:pt>
                <c:pt idx="33">
                  <c:v>95.532382038086212</c:v>
                </c:pt>
                <c:pt idx="34">
                  <c:v>95.59484898514421</c:v>
                </c:pt>
                <c:pt idx="35">
                  <c:v>95.653557394313253</c:v>
                </c:pt>
                <c:pt idx="36">
                  <c:v>95.708813451659253</c:v>
                </c:pt>
                <c:pt idx="37">
                  <c:v>95.760890946296612</c:v>
                </c:pt>
                <c:pt idx="38">
                  <c:v>95.810035444450961</c:v>
                </c:pt>
                <c:pt idx="39">
                  <c:v>95.85646783438348</c:v>
                </c:pt>
                <c:pt idx="40">
                  <c:v>95.900387350097475</c:v>
                </c:pt>
                <c:pt idx="41">
                  <c:v>95.941974161096852</c:v>
                </c:pt>
                <c:pt idx="42">
                  <c:v>95.981391599157348</c:v>
                </c:pt>
                <c:pt idx="43">
                  <c:v>96.018788080112017</c:v>
                </c:pt>
                <c:pt idx="44">
                  <c:v>96.054298768297315</c:v>
                </c:pt>
                <c:pt idx="45">
                  <c:v>96.088047022984711</c:v>
                </c:pt>
                <c:pt idx="46">
                  <c:v>96.120145659401572</c:v>
                </c:pt>
                <c:pt idx="47">
                  <c:v>96.15069805148957</c:v>
                </c:pt>
                <c:pt idx="48">
                  <c:v>96.17979909909829</c:v>
                </c:pt>
                <c:pt idx="49">
                  <c:v>96.207536078667033</c:v>
                </c:pt>
                <c:pt idx="50">
                  <c:v>96.233989393446834</c:v>
                </c:pt>
                <c:pt idx="51">
                  <c:v>96.259233236836621</c:v>
                </c:pt>
                <c:pt idx="52">
                  <c:v>96.283336180350702</c:v>
                </c:pt>
                <c:pt idx="53">
                  <c:v>96.306361696022677</c:v>
                </c:pt>
                <c:pt idx="54">
                  <c:v>96.32836862161966</c:v>
                </c:pt>
                <c:pt idx="55">
                  <c:v>96.349411575839667</c:v>
                </c:pt>
                <c:pt idx="56">
                  <c:v>96.369541329656258</c:v>
                </c:pt>
                <c:pt idx="57">
                  <c:v>96.388805139119896</c:v>
                </c:pt>
                <c:pt idx="58">
                  <c:v>96.407247044204141</c:v>
                </c:pt>
                <c:pt idx="59">
                  <c:v>96.424908137671153</c:v>
                </c:pt>
                <c:pt idx="60">
                  <c:v>96.441826807407523</c:v>
                </c:pt>
                <c:pt idx="61">
                  <c:v>96.458038955234926</c:v>
                </c:pt>
                <c:pt idx="62">
                  <c:v>96.473578194817975</c:v>
                </c:pt>
                <c:pt idx="63">
                  <c:v>96.488476030962062</c:v>
                </c:pt>
                <c:pt idx="64">
                  <c:v>96.50276202231116</c:v>
                </c:pt>
                <c:pt idx="65">
                  <c:v>96.516463929212122</c:v>
                </c:pt>
                <c:pt idx="66">
                  <c:v>96.529607848298483</c:v>
                </c:pt>
                <c:pt idx="67">
                  <c:v>96.542218335165984</c:v>
                </c:pt>
                <c:pt idx="68">
                  <c:v>96.554318516350477</c:v>
                </c:pt>
                <c:pt idx="69">
                  <c:v>96.565930191681289</c:v>
                </c:pt>
                <c:pt idx="70">
                  <c:v>96.577073927961351</c:v>
                </c:pt>
                <c:pt idx="71">
                  <c:v>96.587769144819745</c:v>
                </c:pt>
                <c:pt idx="72">
                  <c:v>96.598034193489099</c:v>
                </c:pt>
                <c:pt idx="73">
                  <c:v>96.607886429178876</c:v>
                </c:pt>
                <c:pt idx="74">
                  <c:v>96.617342277643957</c:v>
                </c:pt>
                <c:pt idx="75">
                  <c:v>96.626417296484306</c:v>
                </c:pt>
                <c:pt idx="76">
                  <c:v>96.635126231656059</c:v>
                </c:pt>
                <c:pt idx="77">
                  <c:v>96.643483069624708</c:v>
                </c:pt>
                <c:pt idx="78">
                  <c:v>96.651501085547707</c:v>
                </c:pt>
                <c:pt idx="79">
                  <c:v>96.65919288783445</c:v>
                </c:pt>
                <c:pt idx="80">
                  <c:v>96.666570459397775</c:v>
                </c:pt>
                <c:pt idx="81">
                  <c:v>96.673645195879629</c:v>
                </c:pt>
                <c:pt idx="82">
                  <c:v>96.680427941107325</c:v>
                </c:pt>
                <c:pt idx="83">
                  <c:v>96.686929020011007</c:v>
                </c:pt>
                <c:pt idx="84">
                  <c:v>96.69315826921239</c:v>
                </c:pt>
                <c:pt idx="85">
                  <c:v>96.699125065474504</c:v>
                </c:pt>
                <c:pt idx="86">
                  <c:v>96.704838352185035</c:v>
                </c:pt>
                <c:pt idx="87">
                  <c:v>96.710306664029872</c:v>
                </c:pt>
                <c:pt idx="88">
                  <c:v>96.715538149999716</c:v>
                </c:pt>
                <c:pt idx="89">
                  <c:v>96.720540594859528</c:v>
                </c:pt>
                <c:pt idx="90">
                  <c:v>96.725321439199405</c:v>
                </c:pt>
                <c:pt idx="91">
                  <c:v>96.729887798174929</c:v>
                </c:pt>
                <c:pt idx="92">
                  <c:v>96.734246479035946</c:v>
                </c:pt>
                <c:pt idx="93">
                  <c:v>96.738403997534164</c:v>
                </c:pt>
                <c:pt idx="94">
                  <c:v>96.742366593292289</c:v>
                </c:pt>
                <c:pt idx="95">
                  <c:v>96.74614024421065</c:v>
                </c:pt>
                <c:pt idx="96">
                  <c:v>96.749730679980843</c:v>
                </c:pt>
                <c:pt idx="97">
                  <c:v>96.753143394770333</c:v>
                </c:pt>
                <c:pt idx="98">
                  <c:v>96.756383659136773</c:v>
                </c:pt>
                <c:pt idx="99">
                  <c:v>96.759456531226078</c:v>
                </c:pt>
                <c:pt idx="100">
                  <c:v>96.762366867303811</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Calculations'!$BC$9:$BC$109</c:f>
              <c:numCache>
                <c:formatCode>0.000</c:formatCode>
                <c:ptCount val="101"/>
                <c:pt idx="0">
                  <c:v>6.6651982420181985E-2</c:v>
                </c:pt>
                <c:pt idx="1">
                  <c:v>7.5298258321154735E-2</c:v>
                </c:pt>
                <c:pt idx="2">
                  <c:v>8.395923544640635E-2</c:v>
                </c:pt>
                <c:pt idx="3">
                  <c:v>9.2634936642386645E-2</c:v>
                </c:pt>
                <c:pt idx="4">
                  <c:v>0.1013253849753524</c:v>
                </c:pt>
                <c:pt idx="5">
                  <c:v>0.11003060373198681</c:v>
                </c:pt>
                <c:pt idx="6">
                  <c:v>0.11875061642002743</c:v>
                </c:pt>
                <c:pt idx="7">
                  <c:v>0.12748544676890269</c:v>
                </c:pt>
                <c:pt idx="8">
                  <c:v>0.13623511873037608</c:v>
                </c:pt>
                <c:pt idx="9">
                  <c:v>0.14499965647919932</c:v>
                </c:pt>
                <c:pt idx="10">
                  <c:v>0.15377908441377341</c:v>
                </c:pt>
                <c:pt idx="11">
                  <c:v>0.16257342715681872</c:v>
                </c:pt>
                <c:pt idx="12">
                  <c:v>0.1713827095560527</c:v>
                </c:pt>
                <c:pt idx="13">
                  <c:v>0.18020695668487716</c:v>
                </c:pt>
                <c:pt idx="14">
                  <c:v>0.18904619384307306</c:v>
                </c:pt>
                <c:pt idx="15">
                  <c:v>0.19790044655750469</c:v>
                </c:pt>
                <c:pt idx="16">
                  <c:v>0.20676974058283204</c:v>
                </c:pt>
                <c:pt idx="17">
                  <c:v>0.21565410190223194</c:v>
                </c:pt>
                <c:pt idx="18">
                  <c:v>0.22455355672812799</c:v>
                </c:pt>
                <c:pt idx="19">
                  <c:v>0.23346813150292917</c:v>
                </c:pt>
                <c:pt idx="20">
                  <c:v>0.24239785289977717</c:v>
                </c:pt>
                <c:pt idx="21">
                  <c:v>0.25134274782330324</c:v>
                </c:pt>
                <c:pt idx="22">
                  <c:v>0.26030284341039234</c:v>
                </c:pt>
                <c:pt idx="23">
                  <c:v>0.26927816703095814</c:v>
                </c:pt>
                <c:pt idx="24">
                  <c:v>0.278268746288726</c:v>
                </c:pt>
                <c:pt idx="25">
                  <c:v>0.28727460902202429</c:v>
                </c:pt>
                <c:pt idx="26">
                  <c:v>0.29629578330458656</c:v>
                </c:pt>
                <c:pt idx="27">
                  <c:v>0.30533229744636148</c:v>
                </c:pt>
                <c:pt idx="28">
                  <c:v>0.31438417999433199</c:v>
                </c:pt>
                <c:pt idx="29">
                  <c:v>0.32345145973334466</c:v>
                </c:pt>
                <c:pt idx="30">
                  <c:v>0.33253416568694683</c:v>
                </c:pt>
                <c:pt idx="31">
                  <c:v>0.3416323271182346</c:v>
                </c:pt>
                <c:pt idx="32">
                  <c:v>0.35074597353070924</c:v>
                </c:pt>
                <c:pt idx="33">
                  <c:v>0.35987513466914289</c:v>
                </c:pt>
                <c:pt idx="34">
                  <c:v>0.369019840520455</c:v>
                </c:pt>
                <c:pt idx="35">
                  <c:v>0.378180121314596</c:v>
                </c:pt>
                <c:pt idx="36">
                  <c:v>0.38735600752544341</c:v>
                </c:pt>
                <c:pt idx="37">
                  <c:v>0.39654752987170527</c:v>
                </c:pt>
                <c:pt idx="38">
                  <c:v>0.40575471931783424</c:v>
                </c:pt>
                <c:pt idx="39">
                  <c:v>0.41497760707495146</c:v>
                </c:pt>
                <c:pt idx="40">
                  <c:v>0.42421622460178005</c:v>
                </c:pt>
                <c:pt idx="41">
                  <c:v>0.43347060360558826</c:v>
                </c:pt>
                <c:pt idx="42">
                  <c:v>0.44274077604314299</c:v>
                </c:pt>
                <c:pt idx="43">
                  <c:v>0.45202677412167314</c:v>
                </c:pt>
                <c:pt idx="44">
                  <c:v>0.46132863029984245</c:v>
                </c:pt>
                <c:pt idx="45">
                  <c:v>0.47064637728873354</c:v>
                </c:pt>
                <c:pt idx="46">
                  <c:v>0.479980048052841</c:v>
                </c:pt>
                <c:pt idx="47">
                  <c:v>0.48932967581107562</c:v>
                </c:pt>
                <c:pt idx="48">
                  <c:v>0.49869529403777757</c:v>
                </c:pt>
                <c:pt idx="49">
                  <c:v>0.50807693646374197</c:v>
                </c:pt>
                <c:pt idx="50">
                  <c:v>0.51747463707725294</c:v>
                </c:pt>
                <c:pt idx="51">
                  <c:v>0.52688843012512909</c:v>
                </c:pt>
                <c:pt idx="52">
                  <c:v>0.53631835011377949</c:v>
                </c:pt>
                <c:pt idx="53">
                  <c:v>0.5457644318102699</c:v>
                </c:pt>
                <c:pt idx="54">
                  <c:v>0.55522671024339976</c:v>
                </c:pt>
                <c:pt idx="55">
                  <c:v>0.56470522070479079</c:v>
                </c:pt>
                <c:pt idx="56">
                  <c:v>0.57419999874998462</c:v>
                </c:pt>
                <c:pt idx="57">
                  <c:v>0.58371108019955364</c:v>
                </c:pt>
                <c:pt idx="58">
                  <c:v>0.59323850114021992</c:v>
                </c:pt>
                <c:pt idx="59">
                  <c:v>0.60278229792598803</c:v>
                </c:pt>
                <c:pt idx="60">
                  <c:v>0.6123425071792874</c:v>
                </c:pt>
                <c:pt idx="61">
                  <c:v>0.62191916579212569</c:v>
                </c:pt>
                <c:pt idx="62">
                  <c:v>0.63151231092725446</c:v>
                </c:pt>
                <c:pt idx="63">
                  <c:v>0.64112198001934462</c:v>
                </c:pt>
                <c:pt idx="64">
                  <c:v>0.65074821077617573</c:v>
                </c:pt>
                <c:pt idx="65">
                  <c:v>0.66039104117983349</c:v>
                </c:pt>
                <c:pt idx="66">
                  <c:v>0.67005050948792189</c:v>
                </c:pt>
                <c:pt idx="67">
                  <c:v>0.67972665423478507</c:v>
                </c:pt>
                <c:pt idx="68">
                  <c:v>0.68941951423274173</c:v>
                </c:pt>
                <c:pt idx="69">
                  <c:v>0.69912912857333043</c:v>
                </c:pt>
                <c:pt idx="70">
                  <c:v>0.70885553662856782</c:v>
                </c:pt>
                <c:pt idx="71">
                  <c:v>0.71859877805221894</c:v>
                </c:pt>
                <c:pt idx="72">
                  <c:v>0.72835889278107868</c:v>
                </c:pt>
                <c:pt idx="73">
                  <c:v>0.7381359210362648</c:v>
                </c:pt>
                <c:pt idx="74">
                  <c:v>0.74792990332452536</c:v>
                </c:pt>
                <c:pt idx="75">
                  <c:v>0.75774088043955645</c:v>
                </c:pt>
                <c:pt idx="76">
                  <c:v>0.76756889346333335</c:v>
                </c:pt>
                <c:pt idx="77">
                  <c:v>0.77741398376745352</c:v>
                </c:pt>
                <c:pt idx="78">
                  <c:v>0.78727619301449259</c:v>
                </c:pt>
                <c:pt idx="79">
                  <c:v>0.79715556315937341</c:v>
                </c:pt>
                <c:pt idx="80">
                  <c:v>0.80705213645074569</c:v>
                </c:pt>
                <c:pt idx="81">
                  <c:v>0.81696595543238215</c:v>
                </c:pt>
                <c:pt idx="82">
                  <c:v>0.82689706294458398</c:v>
                </c:pt>
                <c:pt idx="83">
                  <c:v>0.83684550212560238</c:v>
                </c:pt>
                <c:pt idx="84">
                  <c:v>0.84681131641306928</c:v>
                </c:pt>
                <c:pt idx="85">
                  <c:v>0.85679454954544676</c:v>
                </c:pt>
                <c:pt idx="86">
                  <c:v>0.8667952455634842</c:v>
                </c:pt>
                <c:pt idx="87">
                  <c:v>0.87681344881169299</c:v>
                </c:pt>
                <c:pt idx="88">
                  <c:v>0.88684920393983302</c:v>
                </c:pt>
                <c:pt idx="89">
                  <c:v>0.89690255590441126</c:v>
                </c:pt>
                <c:pt idx="90">
                  <c:v>0.90697354997019808</c:v>
                </c:pt>
                <c:pt idx="91">
                  <c:v>0.91706223171175405</c:v>
                </c:pt>
                <c:pt idx="92">
                  <c:v>0.92716864701497048</c:v>
                </c:pt>
                <c:pt idx="93">
                  <c:v>0.93729284207862773</c:v>
                </c:pt>
                <c:pt idx="94">
                  <c:v>0.94743486341596272</c:v>
                </c:pt>
                <c:pt idx="95">
                  <c:v>0.9575947578562537</c:v>
                </c:pt>
                <c:pt idx="96">
                  <c:v>0.96777257254642035</c:v>
                </c:pt>
                <c:pt idx="97">
                  <c:v>0.97796835495263434</c:v>
                </c:pt>
                <c:pt idx="98">
                  <c:v>0.98818215286194955</c:v>
                </c:pt>
                <c:pt idx="99">
                  <c:v>0.99841401438394062</c:v>
                </c:pt>
                <c:pt idx="100">
                  <c:v>1.0086639879523642</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Calculations'!$BA$9:$BA$109</c:f>
              <c:numCache>
                <c:formatCode>0.000</c:formatCode>
                <c:ptCount val="101"/>
                <c:pt idx="0">
                  <c:v>0.25683574466427173</c:v>
                </c:pt>
                <c:pt idx="1">
                  <c:v>0.25684762658060478</c:v>
                </c:pt>
                <c:pt idx="2">
                  <c:v>0.25687744802964912</c:v>
                </c:pt>
                <c:pt idx="3">
                  <c:v>0.2569252092630126</c:v>
                </c:pt>
                <c:pt idx="4">
                  <c:v>0.2569909106836758</c:v>
                </c:pt>
                <c:pt idx="5">
                  <c:v>0.25707455284600089</c:v>
                </c:pt>
                <c:pt idx="6">
                  <c:v>0.25717613645574289</c:v>
                </c:pt>
                <c:pt idx="7">
                  <c:v>0.25729566237006463</c:v>
                </c:pt>
                <c:pt idx="8">
                  <c:v>0.25743313159755521</c:v>
                </c:pt>
                <c:pt idx="9">
                  <c:v>0.2575885452982507</c:v>
                </c:pt>
                <c:pt idx="10">
                  <c:v>0.25776190478365923</c:v>
                </c:pt>
                <c:pt idx="11">
                  <c:v>0.25795321151678813</c:v>
                </c:pt>
                <c:pt idx="12">
                  <c:v>0.258162467112175</c:v>
                </c:pt>
                <c:pt idx="13">
                  <c:v>0.25838967333592194</c:v>
                </c:pt>
                <c:pt idx="14">
                  <c:v>0.25863483210573263</c:v>
                </c:pt>
                <c:pt idx="15">
                  <c:v>0.25889794549095269</c:v>
                </c:pt>
                <c:pt idx="16">
                  <c:v>0.25917901571261376</c:v>
                </c:pt>
                <c:pt idx="17">
                  <c:v>0.25947804514348</c:v>
                </c:pt>
                <c:pt idx="18">
                  <c:v>0.2597950363080983</c:v>
                </c:pt>
                <c:pt idx="19">
                  <c:v>0.2601299918828518</c:v>
                </c:pt>
                <c:pt idx="20">
                  <c:v>0.26048291469601564</c:v>
                </c:pt>
                <c:pt idx="21">
                  <c:v>0.26085380772781808</c:v>
                </c:pt>
                <c:pt idx="22">
                  <c:v>0.26124267411050167</c:v>
                </c:pt>
                <c:pt idx="23">
                  <c:v>0.26164951712839102</c:v>
                </c:pt>
                <c:pt idx="24">
                  <c:v>0.26207434021796122</c:v>
                </c:pt>
                <c:pt idx="25">
                  <c:v>0.26251714696791068</c:v>
                </c:pt>
                <c:pt idx="26">
                  <c:v>0.262977941119237</c:v>
                </c:pt>
                <c:pt idx="27">
                  <c:v>0.26345672656531621</c:v>
                </c:pt>
                <c:pt idx="28">
                  <c:v>0.26395350735198458</c:v>
                </c:pt>
                <c:pt idx="29">
                  <c:v>0.2644682876776247</c:v>
                </c:pt>
                <c:pt idx="30">
                  <c:v>0.26500107189325367</c:v>
                </c:pt>
                <c:pt idx="31">
                  <c:v>0.2655518645026157</c:v>
                </c:pt>
                <c:pt idx="32">
                  <c:v>0.26612067016227703</c:v>
                </c:pt>
                <c:pt idx="33">
                  <c:v>0.26670749368172453</c:v>
                </c:pt>
                <c:pt idx="34">
                  <c:v>0.26731234002346738</c:v>
                </c:pt>
                <c:pt idx="35">
                  <c:v>0.26793521430314193</c:v>
                </c:pt>
                <c:pt idx="36">
                  <c:v>0.26857612178962054</c:v>
                </c:pt>
                <c:pt idx="37">
                  <c:v>0.26923506790512264</c:v>
                </c:pt>
                <c:pt idx="38">
                  <c:v>0.26991205822532971</c:v>
                </c:pt>
                <c:pt idx="39">
                  <c:v>0.27060709847950326</c:v>
                </c:pt>
                <c:pt idx="40">
                  <c:v>0.27132019455060641</c:v>
                </c:pt>
                <c:pt idx="41">
                  <c:v>0.27205135247542839</c:v>
                </c:pt>
                <c:pt idx="42">
                  <c:v>0.27280057844471256</c:v>
                </c:pt>
                <c:pt idx="43">
                  <c:v>0.2735678788032877</c:v>
                </c:pt>
                <c:pt idx="44">
                  <c:v>0.27435326005020239</c:v>
                </c:pt>
                <c:pt idx="45">
                  <c:v>0.27515672883886305</c:v>
                </c:pt>
                <c:pt idx="46">
                  <c:v>0.27597829197717505</c:v>
                </c:pt>
                <c:pt idx="47">
                  <c:v>0.27681795642768692</c:v>
                </c:pt>
                <c:pt idx="48">
                  <c:v>0.27767572930773887</c:v>
                </c:pt>
                <c:pt idx="49">
                  <c:v>0.27855161788961291</c:v>
                </c:pt>
                <c:pt idx="50">
                  <c:v>0.27944562960068831</c:v>
                </c:pt>
                <c:pt idx="51">
                  <c:v>0.28035777202359874</c:v>
                </c:pt>
                <c:pt idx="52">
                  <c:v>0.28128805289639353</c:v>
                </c:pt>
                <c:pt idx="53">
                  <c:v>0.28223648011270253</c:v>
                </c:pt>
                <c:pt idx="54">
                  <c:v>0.28320306172190352</c:v>
                </c:pt>
                <c:pt idx="55">
                  <c:v>0.28418780592929371</c:v>
                </c:pt>
                <c:pt idx="56">
                  <c:v>0.28519072109626448</c:v>
                </c:pt>
                <c:pt idx="57">
                  <c:v>0.28621181574047883</c:v>
                </c:pt>
                <c:pt idx="58">
                  <c:v>0.28725109853605318</c:v>
                </c:pt>
                <c:pt idx="59">
                  <c:v>0.28830857831374246</c:v>
                </c:pt>
                <c:pt idx="60">
                  <c:v>0.28938426406112716</c:v>
                </c:pt>
                <c:pt idx="61">
                  <c:v>0.29047816492280626</c:v>
                </c:pt>
                <c:pt idx="62">
                  <c:v>0.29159029020059118</c:v>
                </c:pt>
                <c:pt idx="63">
                  <c:v>0.2927206493537049</c:v>
                </c:pt>
                <c:pt idx="64">
                  <c:v>0.29386925199898323</c:v>
                </c:pt>
                <c:pt idx="65">
                  <c:v>0.29503610791108059</c:v>
                </c:pt>
                <c:pt idx="66">
                  <c:v>0.29622122702267856</c:v>
                </c:pt>
                <c:pt idx="67">
                  <c:v>0.29742461942469789</c:v>
                </c:pt>
                <c:pt idx="68">
                  <c:v>0.2986462953665146</c:v>
                </c:pt>
                <c:pt idx="69">
                  <c:v>0.29988626525617879</c:v>
                </c:pt>
                <c:pt idx="70">
                  <c:v>0.3011445396606372</c:v>
                </c:pt>
                <c:pt idx="71">
                  <c:v>0.30242112930595966</c:v>
                </c:pt>
                <c:pt idx="72">
                  <c:v>0.30371604507756844</c:v>
                </c:pt>
                <c:pt idx="73">
                  <c:v>0.30502929802047157</c:v>
                </c:pt>
                <c:pt idx="74">
                  <c:v>0.30636089933949917</c:v>
                </c:pt>
                <c:pt idx="75">
                  <c:v>0.30771086039954409</c:v>
                </c:pt>
                <c:pt idx="76">
                  <c:v>0.3090791927258052</c:v>
                </c:pt>
                <c:pt idx="77">
                  <c:v>0.31046590800403484</c:v>
                </c:pt>
                <c:pt idx="78">
                  <c:v>0.3118710180807896</c:v>
                </c:pt>
                <c:pt idx="79">
                  <c:v>0.31329453496368515</c:v>
                </c:pt>
                <c:pt idx="80">
                  <c:v>0.31473647082165324</c:v>
                </c:pt>
                <c:pt idx="81">
                  <c:v>0.31619683798520404</c:v>
                </c:pt>
                <c:pt idx="82">
                  <c:v>0.31767564894669126</c:v>
                </c:pt>
                <c:pt idx="83">
                  <c:v>0.31917291636058065</c:v>
                </c:pt>
                <c:pt idx="84">
                  <c:v>0.32068865304372235</c:v>
                </c:pt>
                <c:pt idx="85">
                  <c:v>0.32222287197562743</c:v>
                </c:pt>
                <c:pt idx="86">
                  <c:v>0.3237755862987467</c:v>
                </c:pt>
                <c:pt idx="87">
                  <c:v>0.32534680931875504</c:v>
                </c:pt>
                <c:pt idx="88">
                  <c:v>0.32693655450483755</c:v>
                </c:pt>
                <c:pt idx="89">
                  <c:v>0.32854483548998065</c:v>
                </c:pt>
                <c:pt idx="90">
                  <c:v>0.33017166607126652</c:v>
                </c:pt>
                <c:pt idx="91">
                  <c:v>0.33181706021017082</c:v>
                </c:pt>
                <c:pt idx="92">
                  <c:v>0.3334810320328645</c:v>
                </c:pt>
                <c:pt idx="93">
                  <c:v>0.33516359583051986</c:v>
                </c:pt>
                <c:pt idx="94">
                  <c:v>0.33686476605961896</c:v>
                </c:pt>
                <c:pt idx="95">
                  <c:v>0.33858455734226733</c:v>
                </c:pt>
                <c:pt idx="96">
                  <c:v>0.34032298446651033</c:v>
                </c:pt>
                <c:pt idx="97">
                  <c:v>0.34208006238665362</c:v>
                </c:pt>
                <c:pt idx="98">
                  <c:v>0.34385580622358808</c:v>
                </c:pt>
                <c:pt idx="99">
                  <c:v>0.34565023126511696</c:v>
                </c:pt>
                <c:pt idx="100">
                  <c:v>0.34746335296628877</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Calculations'!$BD$9:$BD$109</c:f>
              <c:numCache>
                <c:formatCode>0.000</c:formatCode>
                <c:ptCount val="101"/>
                <c:pt idx="0">
                  <c:v>7.0462802860482759E-2</c:v>
                </c:pt>
                <c:pt idx="1">
                  <c:v>7.3541811070356261E-2</c:v>
                </c:pt>
                <c:pt idx="2">
                  <c:v>7.6636706771239918E-2</c:v>
                </c:pt>
                <c:pt idx="3">
                  <c:v>7.9747490806939006E-2</c:v>
                </c:pt>
                <c:pt idx="4">
                  <c:v>8.2874164264926137E-2</c:v>
                </c:pt>
                <c:pt idx="5">
                  <c:v>8.6016728476360008E-2</c:v>
                </c:pt>
                <c:pt idx="6">
                  <c:v>8.9175185016112407E-2</c:v>
                </c:pt>
                <c:pt idx="7">
                  <c:v>9.2349535702805852E-2</c:v>
                </c:pt>
                <c:pt idx="8">
                  <c:v>9.5539782598859507E-2</c:v>
                </c:pt>
                <c:pt idx="9">
                  <c:v>9.8745928010544909E-2</c:v>
                </c:pt>
                <c:pt idx="10">
                  <c:v>0.10196797448805102</c:v>
                </c:pt>
                <c:pt idx="11">
                  <c:v>0.10520592482555874</c:v>
                </c:pt>
                <c:pt idx="12">
                  <c:v>0.10845978206132431</c:v>
                </c:pt>
                <c:pt idx="13">
                  <c:v>0.11172954947777282</c:v>
                </c:pt>
                <c:pt idx="14">
                  <c:v>0.11501523060160025</c:v>
                </c:pt>
                <c:pt idx="15">
                  <c:v>0.1183168292038857</c:v>
                </c:pt>
                <c:pt idx="16">
                  <c:v>0.12163434930021247</c:v>
                </c:pt>
                <c:pt idx="17">
                  <c:v>0.12496779515079856</c:v>
                </c:pt>
                <c:pt idx="18">
                  <c:v>0.12831717126063694</c:v>
                </c:pt>
                <c:pt idx="19">
                  <c:v>0.13168248237964486</c:v>
                </c:pt>
                <c:pt idx="20">
                  <c:v>0.1350637335028225</c:v>
                </c:pt>
                <c:pt idx="21">
                  <c:v>0.13846092987042194</c:v>
                </c:pt>
                <c:pt idx="22">
                  <c:v>0.14187407696812399</c:v>
                </c:pt>
                <c:pt idx="23">
                  <c:v>0.14530318052722607</c:v>
                </c:pt>
                <c:pt idx="24">
                  <c:v>0.14874824652483859</c:v>
                </c:pt>
                <c:pt idx="25">
                  <c:v>0.15220928118409099</c:v>
                </c:pt>
                <c:pt idx="26">
                  <c:v>0.15568629097434755</c:v>
                </c:pt>
                <c:pt idx="27">
                  <c:v>0.15917928261143255</c:v>
                </c:pt>
                <c:pt idx="28">
                  <c:v>0.16268826305786474</c:v>
                </c:pt>
                <c:pt idx="29">
                  <c:v>0.16621323952310177</c:v>
                </c:pt>
                <c:pt idx="30">
                  <c:v>0.16975421946379365</c:v>
                </c:pt>
                <c:pt idx="31">
                  <c:v>0.17331121058404633</c:v>
                </c:pt>
                <c:pt idx="32">
                  <c:v>0.17688422083569461</c:v>
                </c:pt>
                <c:pt idx="33">
                  <c:v>0.18047325841858453</c:v>
                </c:pt>
                <c:pt idx="34">
                  <c:v>0.18407833178086574</c:v>
                </c:pt>
                <c:pt idx="35">
                  <c:v>0.187699449619293</c:v>
                </c:pt>
                <c:pt idx="36">
                  <c:v>0.19133662087953784</c:v>
                </c:pt>
                <c:pt idx="37">
                  <c:v>0.19498985475651004</c:v>
                </c:pt>
                <c:pt idx="38">
                  <c:v>0.19865916069468798</c:v>
                </c:pt>
                <c:pt idx="39">
                  <c:v>0.20234454838845956</c:v>
                </c:pt>
                <c:pt idx="40">
                  <c:v>0.20604602778247266</c:v>
                </c:pt>
                <c:pt idx="41">
                  <c:v>0.20976360907199515</c:v>
                </c:pt>
                <c:pt idx="42">
                  <c:v>0.21349730270328499</c:v>
                </c:pt>
                <c:pt idx="43">
                  <c:v>0.21724711937396995</c:v>
                </c:pt>
                <c:pt idx="44">
                  <c:v>0.22101307003343745</c:v>
                </c:pt>
                <c:pt idx="45">
                  <c:v>0.22479516588323412</c:v>
                </c:pt>
                <c:pt idx="46">
                  <c:v>0.22859341837747504</c:v>
                </c:pt>
                <c:pt idx="47">
                  <c:v>0.2324078392232638</c:v>
                </c:pt>
                <c:pt idx="48">
                  <c:v>0.23623844038112105</c:v>
                </c:pt>
                <c:pt idx="49">
                  <c:v>0.24008523406542481</c:v>
                </c:pt>
                <c:pt idx="50">
                  <c:v>0.24394823274485938</c:v>
                </c:pt>
                <c:pt idx="51">
                  <c:v>0.24782744914287513</c:v>
                </c:pt>
                <c:pt idx="52">
                  <c:v>0.25172289623815813</c:v>
                </c:pt>
                <c:pt idx="53">
                  <c:v>0.25563458726510979</c:v>
                </c:pt>
                <c:pt idx="54">
                  <c:v>0.25956253571433691</c:v>
                </c:pt>
                <c:pt idx="55">
                  <c:v>0.26350675533315204</c:v>
                </c:pt>
                <c:pt idx="56">
                  <c:v>0.26746726012608346</c:v>
                </c:pt>
                <c:pt idx="57">
                  <c:v>0.27144406435539653</c:v>
                </c:pt>
                <c:pt idx="58">
                  <c:v>0.27543718254162358</c:v>
                </c:pt>
                <c:pt idx="59">
                  <c:v>0.27944662946410659</c:v>
                </c:pt>
                <c:pt idx="60">
                  <c:v>0.28347242016154783</c:v>
                </c:pt>
                <c:pt idx="61">
                  <c:v>0.28751456993257268</c:v>
                </c:pt>
                <c:pt idx="62">
                  <c:v>0.29157309433630196</c:v>
                </c:pt>
                <c:pt idx="63">
                  <c:v>0.29564800919293527</c:v>
                </c:pt>
                <c:pt idx="64">
                  <c:v>0.2997393305843446</c:v>
                </c:pt>
                <c:pt idx="65">
                  <c:v>0.30384707485467832</c:v>
                </c:pt>
                <c:pt idx="66">
                  <c:v>0.30797125861097696</c:v>
                </c:pt>
                <c:pt idx="67">
                  <c:v>0.3121118987237978</c:v>
                </c:pt>
                <c:pt idx="68">
                  <c:v>0.31626901232785198</c:v>
                </c:pt>
                <c:pt idx="69">
                  <c:v>0.32044261682265129</c:v>
                </c:pt>
                <c:pt idx="70">
                  <c:v>0.32463272987316605</c:v>
                </c:pt>
                <c:pt idx="71">
                  <c:v>0.32883936941049419</c:v>
                </c:pt>
                <c:pt idx="72">
                  <c:v>0.333062553632541</c:v>
                </c:pt>
                <c:pt idx="73">
                  <c:v>0.3373023010047092</c:v>
                </c:pt>
                <c:pt idx="74">
                  <c:v>0.34155863026060174</c:v>
                </c:pt>
                <c:pt idx="75">
                  <c:v>0.34583156040273322</c:v>
                </c:pt>
                <c:pt idx="76">
                  <c:v>0.35012111070325524</c:v>
                </c:pt>
                <c:pt idx="77">
                  <c:v>0.35442730070469042</c:v>
                </c:pt>
                <c:pt idx="78">
                  <c:v>0.35875015022067902</c:v>
                </c:pt>
                <c:pt idx="79">
                  <c:v>0.36308967933673686</c:v>
                </c:pt>
                <c:pt idx="80">
                  <c:v>0.36744590841102331</c:v>
                </c:pt>
                <c:pt idx="81">
                  <c:v>0.37181885807512277</c:v>
                </c:pt>
                <c:pt idx="82">
                  <c:v>0.3762085492348356</c:v>
                </c:pt>
                <c:pt idx="83">
                  <c:v>0.38061500307098189</c:v>
                </c:pt>
                <c:pt idx="84">
                  <c:v>0.38503824104021556</c:v>
                </c:pt>
                <c:pt idx="85">
                  <c:v>0.3894782848758519</c:v>
                </c:pt>
                <c:pt idx="86">
                  <c:v>0.39393515658870459</c:v>
                </c:pt>
                <c:pt idx="87">
                  <c:v>0.39840887846793627</c:v>
                </c:pt>
                <c:pt idx="88">
                  <c:v>0.40289947308192053</c:v>
                </c:pt>
                <c:pt idx="89">
                  <c:v>0.40740696327911413</c:v>
                </c:pt>
                <c:pt idx="90">
                  <c:v>0.41193137218894416</c:v>
                </c:pt>
                <c:pt idx="91">
                  <c:v>0.41647272322270468</c:v>
                </c:pt>
                <c:pt idx="92">
                  <c:v>0.42103104007446612</c:v>
                </c:pt>
                <c:pt idx="93">
                  <c:v>0.42560634672199815</c:v>
                </c:pt>
                <c:pt idx="94">
                  <c:v>0.43019866742770196</c:v>
                </c:pt>
                <c:pt idx="95">
                  <c:v>0.43480802673955771</c:v>
                </c:pt>
                <c:pt idx="96">
                  <c:v>0.43943444949208277</c:v>
                </c:pt>
                <c:pt idx="97">
                  <c:v>0.44407796080730261</c:v>
                </c:pt>
                <c:pt idx="98">
                  <c:v>0.44873858609573491</c:v>
                </c:pt>
                <c:pt idx="99">
                  <c:v>0.45341635105738398</c:v>
                </c:pt>
                <c:pt idx="100">
                  <c:v>0.45811128168275156</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50"/>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1"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jp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70</xdr:row>
          <xdr:rowOff>76200</xdr:rowOff>
        </xdr:from>
        <xdr:to>
          <xdr:col>2</xdr:col>
          <xdr:colOff>899160</xdr:colOff>
          <xdr:row>72</xdr:row>
          <xdr:rowOff>137160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327660</xdr:colOff>
          <xdr:row>70</xdr:row>
          <xdr:rowOff>76200</xdr:rowOff>
        </xdr:from>
        <xdr:to>
          <xdr:col>2</xdr:col>
          <xdr:colOff>899160</xdr:colOff>
          <xdr:row>72</xdr:row>
          <xdr:rowOff>137160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5478780</xdr:colOff>
          <xdr:row>0</xdr:row>
          <xdr:rowOff>175260</xdr:rowOff>
        </xdr:from>
        <xdr:to>
          <xdr:col>15</xdr:col>
          <xdr:colOff>5859780</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16188</xdr:rowOff>
        </xdr:from>
        <xdr:to>
          <xdr:col>15</xdr:col>
          <xdr:colOff>3999951</xdr:colOff>
          <xdr:row>70</xdr:row>
          <xdr:rowOff>163416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51"/>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270920</xdr:colOff>
          <xdr:row>76</xdr:row>
          <xdr:rowOff>124506</xdr:rowOff>
        </xdr:from>
        <xdr:to>
          <xdr:col>15</xdr:col>
          <xdr:colOff>5414862</xdr:colOff>
          <xdr:row>105</xdr:row>
          <xdr:rowOff>65295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52"/>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39kHz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60°</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22860</xdr:colOff>
          <xdr:row>62</xdr:row>
          <xdr:rowOff>0</xdr:rowOff>
        </xdr:from>
        <xdr:to>
          <xdr:col>5</xdr:col>
          <xdr:colOff>182880</xdr:colOff>
          <xdr:row>62</xdr:row>
          <xdr:rowOff>182880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6</xdr:row>
          <xdr:rowOff>22860</xdr:rowOff>
        </xdr:from>
        <xdr:to>
          <xdr:col>5</xdr:col>
          <xdr:colOff>304800</xdr:colOff>
          <xdr:row>7</xdr:row>
          <xdr:rowOff>22860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xdr:colOff>
          <xdr:row>50</xdr:row>
          <xdr:rowOff>60960</xdr:rowOff>
        </xdr:from>
        <xdr:to>
          <xdr:col>3</xdr:col>
          <xdr:colOff>449580</xdr:colOff>
          <xdr:row>51</xdr:row>
          <xdr:rowOff>137160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233354</xdr:colOff>
          <xdr:row>5</xdr:row>
          <xdr:rowOff>3569</xdr:rowOff>
        </xdr:from>
        <xdr:to>
          <xdr:col>15</xdr:col>
          <xdr:colOff>4080910</xdr:colOff>
          <xdr:row>30</xdr:row>
          <xdr:rowOff>80952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53"/>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80277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148590</xdr:colOff>
      <xdr:row>1</xdr:row>
      <xdr:rowOff>3463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68580</xdr:colOff>
          <xdr:row>50</xdr:row>
          <xdr:rowOff>60960</xdr:rowOff>
        </xdr:from>
        <xdr:to>
          <xdr:col>5</xdr:col>
          <xdr:colOff>335280</xdr:colOff>
          <xdr:row>51</xdr:row>
          <xdr:rowOff>137160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96.8%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96.2%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101</xdr:row>
          <xdr:rowOff>0</xdr:rowOff>
        </xdr:from>
        <xdr:to>
          <xdr:col>2</xdr:col>
          <xdr:colOff>22860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808966</xdr:colOff>
      <xdr:row>25</xdr:row>
      <xdr:rowOff>102425</xdr:rowOff>
    </xdr:from>
    <xdr:to>
      <xdr:col>11</xdr:col>
      <xdr:colOff>409761</xdr:colOff>
      <xdr:row>27</xdr:row>
      <xdr:rowOff>18374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56pF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126514</xdr:rowOff>
    </xdr:from>
    <xdr:to>
      <xdr:col>10</xdr:col>
      <xdr:colOff>407471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3133628</xdr:colOff>
      <xdr:row>15</xdr:row>
      <xdr:rowOff>59531</xdr:rowOff>
    </xdr:from>
    <xdr:to>
      <xdr:col>15</xdr:col>
      <xdr:colOff>3629712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1837592</xdr:colOff>
      <xdr:row>14</xdr:row>
      <xdr:rowOff>17964</xdr:rowOff>
    </xdr:from>
    <xdr:to>
      <xdr:col>15</xdr:col>
      <xdr:colOff>2333341</xdr:colOff>
      <xdr:row>14</xdr:row>
      <xdr:rowOff>241555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2067626</xdr:colOff>
      <xdr:row>8</xdr:row>
      <xdr:rowOff>50997</xdr:rowOff>
    </xdr:from>
    <xdr:to>
      <xdr:col>15</xdr:col>
      <xdr:colOff>2561649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3227835</xdr:colOff>
      <xdr:row>11</xdr:row>
      <xdr:rowOff>48221</xdr:rowOff>
    </xdr:from>
    <xdr:to>
      <xdr:col>15</xdr:col>
      <xdr:colOff>3838088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124573</xdr:rowOff>
    </xdr:from>
    <xdr:to>
      <xdr:col>15</xdr:col>
      <xdr:colOff>3643985</xdr:colOff>
      <xdr:row>13</xdr:row>
      <xdr:rowOff>162140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2372103</xdr:colOff>
      <xdr:row>12</xdr:row>
      <xdr:rowOff>173205</xdr:rowOff>
    </xdr:from>
    <xdr:to>
      <xdr:col>15</xdr:col>
      <xdr:colOff>2828283</xdr:colOff>
      <xdr:row>13</xdr:row>
      <xdr:rowOff>204628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410523</xdr:colOff>
      <xdr:row>26</xdr:row>
      <xdr:rowOff>137173</xdr:rowOff>
    </xdr:from>
    <xdr:to>
      <xdr:col>10</xdr:col>
      <xdr:colOff>304313</xdr:colOff>
      <xdr:row>28</xdr:row>
      <xdr:rowOff>50975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157074</xdr:colOff>
      <xdr:row>27</xdr:row>
      <xdr:rowOff>32820</xdr:rowOff>
    </xdr:from>
    <xdr:to>
      <xdr:col>12</xdr:col>
      <xdr:colOff>118722</xdr:colOff>
      <xdr:row>28</xdr:row>
      <xdr:rowOff>104903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73.2kΩ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142326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82424</xdr:colOff>
      <xdr:row>20</xdr:row>
      <xdr:rowOff>148157</xdr:rowOff>
    </xdr:from>
    <xdr:to>
      <xdr:col>10</xdr:col>
      <xdr:colOff>653836</xdr:colOff>
      <xdr:row>22</xdr:row>
      <xdr:rowOff>33747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175260</xdr:rowOff>
        </xdr:from>
        <xdr:to>
          <xdr:col>6</xdr:col>
          <xdr:colOff>0</xdr:colOff>
          <xdr:row>59</xdr:row>
          <xdr:rowOff>236220</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164682</xdr:colOff>
      <xdr:row>27</xdr:row>
      <xdr:rowOff>28100</xdr:rowOff>
    </xdr:from>
    <xdr:to>
      <xdr:col>13</xdr:col>
      <xdr:colOff>88364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490735</xdr:colOff>
      <xdr:row>31</xdr:row>
      <xdr:rowOff>77416</xdr:rowOff>
    </xdr:from>
    <xdr:to>
      <xdr:col>13</xdr:col>
      <xdr:colOff>338748</xdr:colOff>
      <xdr:row>32</xdr:row>
      <xdr:rowOff>71599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385274</xdr:colOff>
      <xdr:row>10</xdr:row>
      <xdr:rowOff>156195</xdr:rowOff>
    </xdr:from>
    <xdr:to>
      <xdr:col>10</xdr:col>
      <xdr:colOff>384896</xdr:colOff>
      <xdr:row>12</xdr:row>
      <xdr:rowOff>42552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384414</xdr:colOff>
      <xdr:row>7</xdr:row>
      <xdr:rowOff>148504</xdr:rowOff>
    </xdr:from>
    <xdr:to>
      <xdr:col>10</xdr:col>
      <xdr:colOff>384036</xdr:colOff>
      <xdr:row>9</xdr:row>
      <xdr:rowOff>34136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42135</xdr:rowOff>
    </xdr:from>
    <xdr:to>
      <xdr:col>9</xdr:col>
      <xdr:colOff>270281</xdr:colOff>
      <xdr:row>23</xdr:row>
      <xdr:rowOff>80809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461799</xdr:colOff>
      <xdr:row>8</xdr:row>
      <xdr:rowOff>110241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40V...60V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142496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60960</xdr:colOff>
          <xdr:row>50</xdr:row>
          <xdr:rowOff>60960</xdr:rowOff>
        </xdr:from>
        <xdr:to>
          <xdr:col>2</xdr:col>
          <xdr:colOff>30480</xdr:colOff>
          <xdr:row>51</xdr:row>
          <xdr:rowOff>137160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51297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126070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3470</xdr:rowOff>
    </xdr:from>
    <xdr:to>
      <xdr:col>11</xdr:col>
      <xdr:colOff>307735</xdr:colOff>
      <xdr:row>9</xdr:row>
      <xdr:rowOff>42738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80228</xdr:rowOff>
    </xdr:from>
    <xdr:to>
      <xdr:col>11</xdr:col>
      <xdr:colOff>307735</xdr:colOff>
      <xdr:row>11</xdr:row>
      <xdr:rowOff>156445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92678</xdr:colOff>
      <xdr:row>22</xdr:row>
      <xdr:rowOff>118704</xdr:rowOff>
    </xdr:from>
    <xdr:to>
      <xdr:col>10</xdr:col>
      <xdr:colOff>739363</xdr:colOff>
      <xdr:row>23</xdr:row>
      <xdr:rowOff>194771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42394</xdr:colOff>
      <xdr:row>22</xdr:row>
      <xdr:rowOff>79883</xdr:rowOff>
    </xdr:from>
    <xdr:to>
      <xdr:col>10</xdr:col>
      <xdr:colOff>156515</xdr:colOff>
      <xdr:row>23</xdr:row>
      <xdr:rowOff>193945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7620</xdr:rowOff>
        </xdr:from>
        <xdr:to>
          <xdr:col>7</xdr:col>
          <xdr:colOff>114300</xdr:colOff>
          <xdr:row>5</xdr:row>
          <xdr:rowOff>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15240</xdr:rowOff>
    </xdr:from>
    <xdr:to>
      <xdr:col>15</xdr:col>
      <xdr:colOff>2894921</xdr:colOff>
      <xdr:row>24</xdr:row>
      <xdr:rowOff>30359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640080</xdr:colOff>
      <xdr:row>43</xdr:row>
      <xdr:rowOff>76200</xdr:rowOff>
    </xdr:from>
    <xdr:to>
      <xdr:col>15</xdr:col>
      <xdr:colOff>3368040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99060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63"/>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22860</xdr:colOff>
          <xdr:row>32</xdr:row>
          <xdr:rowOff>137160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2"/>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50"/>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56pF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73.2kΩ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40V...60V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99060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69</xdr:row>
          <xdr:rowOff>99060</xdr:rowOff>
        </xdr:from>
        <xdr:to>
          <xdr:col>24</xdr:col>
          <xdr:colOff>137160</xdr:colOff>
          <xdr:row>96</xdr:row>
          <xdr:rowOff>68580</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40</xdr:row>
          <xdr:rowOff>60960</xdr:rowOff>
        </xdr:from>
        <xdr:to>
          <xdr:col>24</xdr:col>
          <xdr:colOff>106680</xdr:colOff>
          <xdr:row>67</xdr:row>
          <xdr:rowOff>22860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40</xdr:row>
          <xdr:rowOff>60960</xdr:rowOff>
        </xdr:from>
        <xdr:to>
          <xdr:col>12</xdr:col>
          <xdr:colOff>441960</xdr:colOff>
          <xdr:row>67</xdr:row>
          <xdr:rowOff>60960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60960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9</xdr:row>
          <xdr:rowOff>76200</xdr:rowOff>
        </xdr:from>
        <xdr:to>
          <xdr:col>12</xdr:col>
          <xdr:colOff>441960</xdr:colOff>
          <xdr:row>36</xdr:row>
          <xdr:rowOff>30480</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605841" y="6330398"/>
          <a:ext cx="6798366" cy="52768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177kΩ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12.4kΩ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12V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365760</xdr:colOff>
          <xdr:row>18</xdr:row>
          <xdr:rowOff>60960</xdr:rowOff>
        </xdr:from>
        <xdr:to>
          <xdr:col>11</xdr:col>
          <xdr:colOff>0</xdr:colOff>
          <xdr:row>19</xdr:row>
          <xdr:rowOff>137160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365760</xdr:colOff>
          <xdr:row>15</xdr:row>
          <xdr:rowOff>137160</xdr:rowOff>
        </xdr:from>
        <xdr:to>
          <xdr:col>20</xdr:col>
          <xdr:colOff>30480</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411480</xdr:colOff>
          <xdr:row>31</xdr:row>
          <xdr:rowOff>38100</xdr:rowOff>
        </xdr:from>
        <xdr:to>
          <xdr:col>25</xdr:col>
          <xdr:colOff>68580</xdr:colOff>
          <xdr:row>32</xdr:row>
          <xdr:rowOff>175260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525780</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96.8%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96.2%</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3.emf"/><Relationship Id="rId3" Type="http://schemas.openxmlformats.org/officeDocument/2006/relationships/vmlDrawing" Target="../drawings/vmlDrawing6.vml"/><Relationship Id="rId7" Type="http://schemas.openxmlformats.org/officeDocument/2006/relationships/image" Target="../media/image20.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21.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topLeftCell="A2" zoomScaleNormal="100" zoomScaleSheetLayoutView="100" workbookViewId="0">
      <selection activeCell="E9" sqref="E6:E9"/>
    </sheetView>
  </sheetViews>
  <sheetFormatPr defaultColWidth="9.109375" defaultRowHeight="13.8" x14ac:dyDescent="0.3"/>
  <cols>
    <col min="1" max="1" width="8.33203125" style="187" customWidth="1"/>
    <col min="2" max="2" width="8.33203125" style="79" customWidth="1"/>
    <col min="3" max="3" width="13.5546875" style="79" customWidth="1"/>
    <col min="4" max="4" width="8.33203125" style="79" customWidth="1"/>
    <col min="5" max="5" width="8.5546875" style="79" customWidth="1"/>
    <col min="6" max="6" width="7.5546875" style="79" customWidth="1"/>
    <col min="7" max="7" width="14" style="79" customWidth="1"/>
    <col min="8" max="8" width="6.5546875" style="79" customWidth="1"/>
    <col min="9" max="9" width="6.6640625" style="79" customWidth="1"/>
    <col min="10" max="10" width="7.5546875" style="79" customWidth="1"/>
    <col min="11" max="11" width="12.44140625" style="79" bestFit="1" customWidth="1"/>
    <col min="12" max="14" width="9.109375" style="79"/>
    <col min="15" max="15" width="10.109375" style="79" customWidth="1"/>
    <col min="16" max="16" width="89" style="79" customWidth="1"/>
    <col min="17" max="17" width="3.109375" style="79" customWidth="1"/>
    <col min="18" max="18" width="10" style="79" bestFit="1" customWidth="1"/>
    <col min="19" max="16384" width="9.109375" style="79"/>
  </cols>
  <sheetData>
    <row r="1" spans="1:17" ht="47.25" customHeight="1" x14ac:dyDescent="0.3">
      <c r="A1" s="787" t="s">
        <v>919</v>
      </c>
      <c r="B1" s="788"/>
      <c r="C1" s="788"/>
      <c r="D1" s="788"/>
      <c r="E1" s="788"/>
      <c r="F1" s="788"/>
      <c r="G1" s="788"/>
      <c r="H1" s="788"/>
      <c r="I1" s="788"/>
      <c r="J1" s="788"/>
      <c r="K1" s="788"/>
      <c r="L1" s="788"/>
      <c r="M1" s="788"/>
      <c r="N1" s="788"/>
      <c r="O1" s="788"/>
      <c r="P1" s="788"/>
      <c r="Q1" s="484"/>
    </row>
    <row r="2" spans="1:17" ht="14.1" customHeight="1" x14ac:dyDescent="0.55000000000000004">
      <c r="A2" s="487"/>
      <c r="B2" s="488"/>
      <c r="C2" s="488"/>
      <c r="D2" s="488"/>
      <c r="E2" s="488"/>
      <c r="F2" s="488"/>
      <c r="G2" s="488"/>
      <c r="H2" s="488"/>
      <c r="I2" s="488"/>
      <c r="J2" s="488"/>
      <c r="K2" s="488"/>
      <c r="L2" s="488"/>
      <c r="M2" s="488"/>
      <c r="N2" s="502" t="s">
        <v>585</v>
      </c>
      <c r="O2" s="488"/>
      <c r="P2" s="488"/>
      <c r="Q2" s="484"/>
    </row>
    <row r="3" spans="1:17" ht="16.2" customHeight="1" x14ac:dyDescent="0.55000000000000004">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4">
      <c r="A4" s="492"/>
      <c r="B4" s="493"/>
      <c r="C4" s="494"/>
      <c r="D4" s="494"/>
      <c r="E4" s="494"/>
      <c r="F4" s="494"/>
      <c r="G4" s="494"/>
      <c r="H4" s="494"/>
      <c r="I4" s="494"/>
      <c r="J4" s="494"/>
      <c r="K4" s="494"/>
      <c r="L4" s="499"/>
      <c r="M4" s="499"/>
      <c r="N4" s="499"/>
      <c r="O4" s="499"/>
      <c r="P4" s="500"/>
      <c r="Q4" s="484"/>
    </row>
    <row r="5" spans="1:17" ht="20.100000000000001" customHeight="1" thickBot="1" x14ac:dyDescent="0.4">
      <c r="A5" s="182" t="s">
        <v>222</v>
      </c>
      <c r="B5" s="118"/>
      <c r="C5" s="80"/>
      <c r="D5" s="80"/>
      <c r="E5" s="82"/>
      <c r="F5" s="80"/>
      <c r="G5" s="107"/>
      <c r="H5" s="83"/>
      <c r="I5" s="83"/>
      <c r="J5" s="83"/>
      <c r="K5" s="83"/>
      <c r="L5" s="83"/>
      <c r="M5" s="83"/>
      <c r="N5" s="83"/>
      <c r="O5" s="83"/>
      <c r="P5" s="106"/>
      <c r="Q5" s="484"/>
    </row>
    <row r="6" spans="1:17" ht="15.75" customHeight="1" x14ac:dyDescent="0.3">
      <c r="A6" s="261"/>
      <c r="B6" s="613"/>
      <c r="C6" s="614"/>
      <c r="D6" s="615" t="s">
        <v>690</v>
      </c>
      <c r="E6" s="616">
        <v>40</v>
      </c>
      <c r="F6" s="617" t="s">
        <v>0</v>
      </c>
      <c r="G6" s="129"/>
      <c r="H6" s="127"/>
      <c r="I6" s="83"/>
      <c r="J6" s="83"/>
      <c r="K6" s="83"/>
      <c r="L6" s="83"/>
      <c r="M6" s="83"/>
      <c r="N6" s="83"/>
      <c r="O6" s="83"/>
      <c r="P6" s="106"/>
      <c r="Q6" s="484"/>
    </row>
    <row r="7" spans="1:17" ht="13.5" customHeight="1" x14ac:dyDescent="0.3">
      <c r="A7" s="254"/>
      <c r="B7" s="253"/>
      <c r="C7" s="255"/>
      <c r="D7" s="265" t="s">
        <v>691</v>
      </c>
      <c r="E7" s="266">
        <v>50</v>
      </c>
      <c r="F7" s="278" t="s">
        <v>0</v>
      </c>
      <c r="G7" s="129"/>
      <c r="H7" s="127"/>
      <c r="I7" s="83"/>
      <c r="J7" s="83"/>
      <c r="K7" s="83"/>
      <c r="L7" s="83"/>
      <c r="M7" s="83"/>
      <c r="N7" s="83"/>
      <c r="O7" s="83"/>
      <c r="P7" s="106"/>
      <c r="Q7" s="484"/>
    </row>
    <row r="8" spans="1:17" ht="13.5" customHeight="1" x14ac:dyDescent="0.3">
      <c r="A8" s="254"/>
      <c r="B8" s="253"/>
      <c r="C8" s="255"/>
      <c r="D8" s="265" t="s">
        <v>692</v>
      </c>
      <c r="E8" s="266">
        <v>60</v>
      </c>
      <c r="F8" s="267" t="s">
        <v>0</v>
      </c>
      <c r="G8" s="129"/>
      <c r="H8" s="127"/>
      <c r="I8" s="83"/>
      <c r="J8" s="83"/>
      <c r="K8" s="83"/>
      <c r="L8" s="83"/>
      <c r="M8" s="83"/>
      <c r="N8" s="83"/>
      <c r="O8" s="83"/>
      <c r="P8" s="106"/>
      <c r="Q8" s="484"/>
    </row>
    <row r="9" spans="1:17" ht="13.5" customHeight="1" x14ac:dyDescent="0.3">
      <c r="A9" s="254"/>
      <c r="B9" s="253"/>
      <c r="C9" s="255"/>
      <c r="D9" s="265" t="s">
        <v>699</v>
      </c>
      <c r="E9" s="266">
        <v>12</v>
      </c>
      <c r="F9" s="267" t="s">
        <v>0</v>
      </c>
      <c r="G9" s="129"/>
      <c r="H9" s="127"/>
      <c r="I9" s="83"/>
      <c r="J9" s="83"/>
      <c r="K9" s="83"/>
      <c r="L9" s="83"/>
      <c r="M9" s="83"/>
      <c r="N9" s="83"/>
      <c r="O9" s="83"/>
      <c r="P9" s="106"/>
      <c r="Q9" s="484"/>
    </row>
    <row r="10" spans="1:17" ht="13.5" customHeight="1" x14ac:dyDescent="0.3">
      <c r="A10" s="254"/>
      <c r="B10" s="253"/>
      <c r="C10" s="255"/>
      <c r="D10" s="265" t="s">
        <v>700</v>
      </c>
      <c r="E10" s="266">
        <v>5</v>
      </c>
      <c r="F10" s="267" t="s">
        <v>1</v>
      </c>
      <c r="G10" s="610"/>
      <c r="H10" s="112"/>
      <c r="I10" s="590"/>
      <c r="J10" s="590"/>
      <c r="K10" s="83"/>
      <c r="L10" s="83"/>
      <c r="M10" s="83"/>
      <c r="N10" s="83"/>
      <c r="O10" s="83"/>
      <c r="P10" s="106"/>
      <c r="Q10" s="484"/>
    </row>
    <row r="11" spans="1:17" ht="13.5" customHeight="1" x14ac:dyDescent="0.3">
      <c r="A11" s="254"/>
      <c r="B11" s="253"/>
      <c r="C11" s="255"/>
      <c r="D11" s="265" t="s">
        <v>693</v>
      </c>
      <c r="E11" s="268">
        <v>300</v>
      </c>
      <c r="F11" s="267" t="s">
        <v>2</v>
      </c>
      <c r="G11" s="606"/>
      <c r="H11" s="134"/>
      <c r="I11" s="112"/>
      <c r="J11" s="112"/>
      <c r="K11" s="83"/>
      <c r="L11" s="83"/>
      <c r="M11" s="83"/>
      <c r="N11" s="83"/>
      <c r="O11" s="83"/>
      <c r="P11" s="106"/>
      <c r="Q11" s="484"/>
    </row>
    <row r="12" spans="1:17" ht="13.5" customHeight="1" x14ac:dyDescent="0.3">
      <c r="A12" s="572"/>
      <c r="B12" s="253"/>
      <c r="C12" s="255"/>
      <c r="D12" s="255" t="s">
        <v>273</v>
      </c>
      <c r="E12" s="255">
        <f>'Variable Management'!C443</f>
        <v>73.2</v>
      </c>
      <c r="F12" s="257" t="s">
        <v>50</v>
      </c>
      <c r="G12" s="606"/>
      <c r="H12" s="134"/>
      <c r="I12" s="112"/>
      <c r="J12" s="112"/>
      <c r="K12" s="83"/>
      <c r="L12" s="83"/>
      <c r="M12" s="83"/>
      <c r="N12" s="83"/>
      <c r="O12" s="83"/>
      <c r="P12" s="106"/>
      <c r="Q12" s="484"/>
    </row>
    <row r="13" spans="1:17" ht="17.25" customHeight="1" thickBot="1" x14ac:dyDescent="0.35">
      <c r="A13" s="259"/>
      <c r="B13" s="543"/>
      <c r="C13" s="272"/>
      <c r="D13" s="574" t="s">
        <v>689</v>
      </c>
      <c r="E13" s="587">
        <v>25</v>
      </c>
      <c r="F13" s="573" t="s">
        <v>223</v>
      </c>
      <c r="G13" s="606"/>
      <c r="H13" s="134"/>
      <c r="I13" s="112"/>
      <c r="J13" s="112"/>
      <c r="K13" s="83"/>
      <c r="L13" s="83"/>
      <c r="M13" s="83"/>
      <c r="N13" s="83"/>
      <c r="O13" s="83"/>
      <c r="P13" s="106"/>
      <c r="Q13" s="484"/>
    </row>
    <row r="14" spans="1:17" ht="17.25" customHeight="1" x14ac:dyDescent="0.3">
      <c r="A14" s="572"/>
      <c r="B14" s="253"/>
      <c r="C14" s="255"/>
      <c r="D14" s="589"/>
      <c r="E14" s="589"/>
      <c r="F14" s="590"/>
      <c r="G14" s="606"/>
      <c r="H14" s="134"/>
      <c r="I14" s="112"/>
      <c r="J14" s="112"/>
      <c r="K14" s="83"/>
      <c r="L14" s="83"/>
      <c r="M14" s="83"/>
      <c r="N14" s="83"/>
      <c r="O14" s="83"/>
      <c r="P14" s="106"/>
      <c r="Q14" s="484"/>
    </row>
    <row r="15" spans="1:17" ht="20.100000000000001" customHeight="1" thickBot="1" x14ac:dyDescent="0.35">
      <c r="A15" s="182" t="s">
        <v>755</v>
      </c>
      <c r="B15" s="131"/>
      <c r="C15" s="127"/>
      <c r="D15" s="127"/>
      <c r="E15" s="127"/>
      <c r="F15" s="127"/>
      <c r="G15" s="606"/>
      <c r="H15" s="134"/>
      <c r="I15" s="112"/>
      <c r="J15" s="112"/>
      <c r="K15" s="83"/>
      <c r="L15" s="83"/>
      <c r="M15" s="83"/>
      <c r="N15" s="83"/>
      <c r="O15" s="83"/>
      <c r="P15" s="106"/>
      <c r="Q15" s="484"/>
    </row>
    <row r="16" spans="1:17" ht="15" customHeight="1" x14ac:dyDescent="0.35">
      <c r="A16" s="261"/>
      <c r="B16" s="153"/>
      <c r="C16" s="153"/>
      <c r="D16" s="155" t="s">
        <v>609</v>
      </c>
      <c r="E16" s="293">
        <v>25</v>
      </c>
      <c r="F16" s="156" t="s">
        <v>1</v>
      </c>
      <c r="G16" s="610"/>
      <c r="H16" s="134"/>
      <c r="I16" s="581"/>
      <c r="J16" s="581"/>
      <c r="K16" s="83"/>
      <c r="L16" s="83"/>
      <c r="M16" s="83"/>
      <c r="N16" s="83"/>
      <c r="O16" s="83"/>
      <c r="P16" s="106"/>
      <c r="Q16" s="484"/>
    </row>
    <row r="17" spans="1:17" ht="15" customHeight="1" x14ac:dyDescent="0.3">
      <c r="A17" s="254"/>
      <c r="B17" s="127"/>
      <c r="C17" s="127"/>
      <c r="D17" s="124" t="s">
        <v>949</v>
      </c>
      <c r="E17" s="295">
        <f>Rs_ideal*1000</f>
        <v>1.8794908357553828</v>
      </c>
      <c r="F17" s="162" t="s">
        <v>49</v>
      </c>
      <c r="G17" s="606"/>
      <c r="H17" s="134"/>
      <c r="I17" s="536"/>
      <c r="J17" s="134"/>
      <c r="K17" s="83"/>
      <c r="L17" s="83"/>
      <c r="M17" s="83"/>
      <c r="N17" s="83"/>
      <c r="O17" s="83"/>
      <c r="P17" s="106"/>
      <c r="Q17" s="484"/>
    </row>
    <row r="18" spans="1:17" ht="13.95" customHeight="1" x14ac:dyDescent="0.35">
      <c r="A18" s="254"/>
      <c r="B18" s="127"/>
      <c r="C18" s="127"/>
      <c r="D18" s="152" t="s">
        <v>948</v>
      </c>
      <c r="E18" s="128">
        <v>2</v>
      </c>
      <c r="F18" s="157" t="s">
        <v>49</v>
      </c>
      <c r="G18" s="606"/>
      <c r="H18" s="134"/>
      <c r="I18" s="581"/>
      <c r="J18" s="581"/>
      <c r="K18" s="83"/>
      <c r="L18" s="83"/>
      <c r="M18" s="83"/>
      <c r="N18" s="83"/>
      <c r="O18" s="83"/>
      <c r="P18" s="106"/>
      <c r="Q18" s="484"/>
    </row>
    <row r="19" spans="1:17" ht="13.5" customHeight="1" x14ac:dyDescent="0.35">
      <c r="A19" s="254"/>
      <c r="B19" s="127"/>
      <c r="C19" s="127"/>
      <c r="D19" s="513" t="s">
        <v>639</v>
      </c>
      <c r="E19" s="536">
        <f>'Variable Management'!B95</f>
        <v>30</v>
      </c>
      <c r="F19" s="162" t="s">
        <v>1</v>
      </c>
      <c r="G19" s="606"/>
      <c r="H19" s="134"/>
      <c r="I19" s="536"/>
      <c r="J19" s="134"/>
      <c r="K19" s="83"/>
      <c r="L19" s="83"/>
      <c r="M19" s="83"/>
      <c r="N19" s="83"/>
      <c r="O19" s="83"/>
      <c r="P19" s="106"/>
      <c r="Q19" s="484"/>
    </row>
    <row r="20" spans="1:17" ht="13.95" customHeight="1" x14ac:dyDescent="0.3">
      <c r="A20" s="254"/>
      <c r="B20" s="127"/>
      <c r="C20" s="127"/>
      <c r="D20" s="513" t="s">
        <v>950</v>
      </c>
      <c r="E20" s="514">
        <f>'Variable Management'!B105</f>
        <v>1.143235210556081</v>
      </c>
      <c r="F20" s="162" t="s">
        <v>116</v>
      </c>
      <c r="G20" s="606"/>
      <c r="H20" s="134"/>
      <c r="I20" s="514"/>
      <c r="J20" s="134"/>
      <c r="K20" s="83"/>
      <c r="L20" s="83"/>
      <c r="M20" s="83"/>
      <c r="N20" s="83"/>
      <c r="O20" s="83"/>
      <c r="P20" s="106"/>
      <c r="Q20" s="484"/>
    </row>
    <row r="21" spans="1:17" ht="13.95" customHeight="1" x14ac:dyDescent="0.35">
      <c r="A21" s="254"/>
      <c r="B21" s="127"/>
      <c r="C21" s="112"/>
      <c r="D21" s="294" t="s">
        <v>274</v>
      </c>
      <c r="E21" s="256">
        <f>'Variable Management'!B97</f>
        <v>23.623374459415448</v>
      </c>
      <c r="F21" s="257" t="s">
        <v>1</v>
      </c>
      <c r="G21" s="606"/>
      <c r="H21" s="134"/>
      <c r="I21" s="603"/>
      <c r="J21" s="601"/>
      <c r="K21" s="83"/>
      <c r="L21" s="83"/>
      <c r="M21" s="83"/>
      <c r="N21" s="83"/>
      <c r="O21" s="83"/>
      <c r="P21" s="106"/>
      <c r="Q21" s="484"/>
    </row>
    <row r="22" spans="1:17" ht="13.95" customHeight="1" x14ac:dyDescent="0.35">
      <c r="A22" s="254"/>
      <c r="B22" s="127"/>
      <c r="C22" s="124" t="s">
        <v>501</v>
      </c>
      <c r="D22" s="294" t="s">
        <v>275</v>
      </c>
      <c r="E22" s="256">
        <f>'Variable Management'!B98</f>
        <v>23.076460465482661</v>
      </c>
      <c r="F22" s="257" t="s">
        <v>1</v>
      </c>
      <c r="G22" s="606"/>
      <c r="H22" s="607"/>
      <c r="I22" s="603"/>
      <c r="J22" s="601"/>
      <c r="K22" s="83"/>
      <c r="L22" s="83"/>
      <c r="M22" s="83"/>
      <c r="N22" s="83"/>
      <c r="O22" s="83"/>
      <c r="P22" s="106"/>
      <c r="Q22" s="484"/>
    </row>
    <row r="23" spans="1:17" ht="13.5" customHeight="1" thickBot="1" x14ac:dyDescent="0.4">
      <c r="A23" s="273"/>
      <c r="B23" s="174"/>
      <c r="C23" s="174"/>
      <c r="D23" s="544" t="s">
        <v>276</v>
      </c>
      <c r="E23" s="545">
        <f>'Variable Management'!B99</f>
        <v>22.711820757146537</v>
      </c>
      <c r="F23" s="275" t="s">
        <v>1</v>
      </c>
      <c r="G23" s="610"/>
      <c r="H23" s="134"/>
      <c r="I23" s="603"/>
      <c r="J23" s="601"/>
      <c r="K23" s="83"/>
      <c r="L23" s="83"/>
      <c r="M23" s="83"/>
      <c r="N23" s="83"/>
      <c r="O23" s="83"/>
      <c r="P23" s="106"/>
      <c r="Q23" s="484"/>
    </row>
    <row r="24" spans="1:17" ht="17.25" customHeight="1" x14ac:dyDescent="0.3">
      <c r="A24" s="572"/>
      <c r="B24" s="253"/>
      <c r="C24" s="255"/>
      <c r="D24" s="589"/>
      <c r="E24" s="589"/>
      <c r="F24" s="590"/>
      <c r="G24" s="606"/>
      <c r="H24" s="134"/>
      <c r="I24" s="112"/>
      <c r="J24" s="112"/>
      <c r="K24" s="83"/>
      <c r="L24" s="83"/>
      <c r="M24" s="83"/>
      <c r="N24" s="83"/>
      <c r="O24" s="83"/>
      <c r="P24" s="106"/>
      <c r="Q24" s="484"/>
    </row>
    <row r="25" spans="1:17" ht="19.5" customHeight="1" thickBot="1" x14ac:dyDescent="0.35">
      <c r="A25" s="182" t="s">
        <v>754</v>
      </c>
      <c r="B25" s="131"/>
      <c r="C25" s="132"/>
      <c r="D25" s="132"/>
      <c r="E25" s="133"/>
      <c r="F25" s="132"/>
      <c r="G25" s="606"/>
      <c r="H25" s="134"/>
      <c r="I25" s="112"/>
      <c r="J25" s="112"/>
      <c r="K25" s="83"/>
      <c r="L25" s="83"/>
      <c r="M25" s="83"/>
      <c r="N25" s="83"/>
      <c r="O25" s="83"/>
      <c r="P25" s="106"/>
      <c r="Q25" s="484"/>
    </row>
    <row r="26" spans="1:17" ht="13.5" customHeight="1" x14ac:dyDescent="0.3">
      <c r="A26" s="183"/>
      <c r="B26" s="153"/>
      <c r="C26" s="154"/>
      <c r="D26" s="154" t="s">
        <v>946</v>
      </c>
      <c r="E26" s="541">
        <f>Lopt*1000000</f>
        <v>3.5211267605633809</v>
      </c>
      <c r="F26" s="161" t="s">
        <v>214</v>
      </c>
      <c r="G26" s="610"/>
      <c r="H26" s="134"/>
      <c r="I26" s="612"/>
      <c r="J26" s="134"/>
      <c r="K26" s="83"/>
      <c r="L26" s="83"/>
      <c r="M26" s="83"/>
      <c r="N26" s="83"/>
      <c r="O26" s="83"/>
      <c r="P26" s="106"/>
      <c r="Q26" s="484"/>
    </row>
    <row r="27" spans="1:17" ht="13.5" customHeight="1" x14ac:dyDescent="0.35">
      <c r="A27" s="126"/>
      <c r="B27" s="127"/>
      <c r="C27" s="124"/>
      <c r="D27" s="152" t="s">
        <v>748</v>
      </c>
      <c r="E27" s="128">
        <v>2.2000000000000002</v>
      </c>
      <c r="F27" s="157" t="s">
        <v>214</v>
      </c>
      <c r="G27" s="606"/>
      <c r="H27" s="607"/>
      <c r="I27" s="581"/>
      <c r="J27" s="581"/>
      <c r="K27" s="83"/>
      <c r="L27" s="83"/>
      <c r="M27" s="83"/>
      <c r="N27" s="83"/>
      <c r="O27" s="83"/>
      <c r="P27" s="106"/>
      <c r="Q27" s="484"/>
    </row>
    <row r="28" spans="1:17" ht="13.5" customHeight="1" x14ac:dyDescent="0.3">
      <c r="A28" s="126"/>
      <c r="B28" s="127"/>
      <c r="C28" s="124"/>
      <c r="D28" s="152" t="s">
        <v>740</v>
      </c>
      <c r="E28" s="128">
        <v>3.5</v>
      </c>
      <c r="F28" s="157" t="s">
        <v>49</v>
      </c>
      <c r="G28" s="606"/>
      <c r="H28" s="607"/>
      <c r="I28" s="581"/>
      <c r="J28" s="581"/>
      <c r="K28" s="83"/>
      <c r="L28" s="83"/>
      <c r="M28" s="83"/>
      <c r="N28" s="83"/>
      <c r="O28" s="83"/>
      <c r="P28" s="106"/>
      <c r="Q28" s="484"/>
    </row>
    <row r="29" spans="1:17" ht="13.5" customHeight="1" x14ac:dyDescent="0.3">
      <c r="A29" s="583"/>
      <c r="B29" s="127"/>
      <c r="C29" s="124"/>
      <c r="D29" s="255" t="s">
        <v>295</v>
      </c>
      <c r="E29" s="258">
        <f>'Variable Management'!B68*100</f>
        <v>276.94158138069349</v>
      </c>
      <c r="F29" s="257" t="s">
        <v>153</v>
      </c>
      <c r="G29" s="606"/>
      <c r="H29" s="607"/>
      <c r="I29" s="581"/>
      <c r="J29" s="581"/>
      <c r="K29" s="83"/>
      <c r="L29" s="83"/>
      <c r="M29" s="83"/>
      <c r="N29" s="83"/>
      <c r="O29" s="83"/>
      <c r="P29" s="106"/>
      <c r="Q29" s="484"/>
    </row>
    <row r="30" spans="1:17" ht="16.5" customHeight="1" thickBot="1" x14ac:dyDescent="0.35">
      <c r="A30" s="273"/>
      <c r="B30" s="274"/>
      <c r="C30" s="272"/>
      <c r="D30" s="767" t="s">
        <v>947</v>
      </c>
      <c r="E30" s="781">
        <v>0.2</v>
      </c>
      <c r="F30" s="779" t="s">
        <v>116</v>
      </c>
      <c r="G30" s="610"/>
      <c r="H30" s="134"/>
      <c r="I30" s="602"/>
      <c r="J30" s="601"/>
      <c r="K30" s="83"/>
      <c r="L30" s="83"/>
      <c r="M30" s="83"/>
      <c r="N30" s="83"/>
      <c r="O30" s="83"/>
      <c r="P30" s="106"/>
      <c r="Q30" s="484"/>
    </row>
    <row r="31" spans="1:17" ht="14.1" customHeight="1" x14ac:dyDescent="0.3">
      <c r="A31" s="126"/>
      <c r="B31" s="127"/>
      <c r="C31" s="134"/>
      <c r="D31" s="134"/>
      <c r="E31" s="134"/>
      <c r="F31" s="134"/>
      <c r="G31" s="134"/>
      <c r="H31" s="134"/>
      <c r="I31" s="112"/>
      <c r="J31" s="112"/>
      <c r="K31" s="83"/>
      <c r="L31" s="83"/>
      <c r="M31" s="83"/>
      <c r="N31" s="83"/>
      <c r="O31" s="83"/>
      <c r="P31" s="106"/>
      <c r="Q31" s="484"/>
    </row>
    <row r="32" spans="1:17" ht="18" thickBot="1" x14ac:dyDescent="0.35">
      <c r="A32" s="182" t="s">
        <v>587</v>
      </c>
      <c r="B32" s="131"/>
      <c r="C32" s="132"/>
      <c r="D32" s="132"/>
      <c r="E32" s="133"/>
      <c r="F32" s="132"/>
      <c r="G32" s="134"/>
      <c r="H32" s="134"/>
      <c r="I32" s="112"/>
      <c r="J32" s="112"/>
      <c r="K32" s="83"/>
      <c r="L32" s="83"/>
      <c r="M32" s="83"/>
      <c r="N32" s="83"/>
      <c r="O32" s="83"/>
      <c r="P32" s="106"/>
      <c r="Q32" s="484"/>
    </row>
    <row r="33" spans="1:17" ht="15.75" customHeight="1" x14ac:dyDescent="0.35">
      <c r="A33" s="172"/>
      <c r="B33" s="163"/>
      <c r="C33" s="154"/>
      <c r="D33" s="164" t="s">
        <v>741</v>
      </c>
      <c r="E33" s="165">
        <v>50</v>
      </c>
      <c r="F33" s="156" t="s">
        <v>920</v>
      </c>
      <c r="G33" s="582"/>
      <c r="H33" s="134"/>
      <c r="I33" s="633"/>
      <c r="J33" s="581"/>
      <c r="K33" s="83"/>
      <c r="L33" s="83"/>
      <c r="M33" s="83"/>
      <c r="N33" s="83"/>
      <c r="O33" s="83"/>
      <c r="P33" s="106"/>
      <c r="Q33" s="484"/>
    </row>
    <row r="34" spans="1:17" ht="14.1" customHeight="1" x14ac:dyDescent="0.3">
      <c r="A34" s="126"/>
      <c r="B34" s="127"/>
      <c r="C34" s="124"/>
      <c r="D34" s="124" t="s">
        <v>742</v>
      </c>
      <c r="E34" s="511">
        <f>'Variable Management'!B121</f>
        <v>115.39232557528896</v>
      </c>
      <c r="F34" s="162" t="s">
        <v>215</v>
      </c>
      <c r="G34" s="134"/>
      <c r="H34" s="134"/>
      <c r="I34" s="608"/>
      <c r="J34" s="134"/>
      <c r="K34" s="83"/>
      <c r="L34" s="83"/>
      <c r="M34" s="83"/>
      <c r="N34" s="83"/>
      <c r="O34" s="83"/>
      <c r="P34" s="106"/>
      <c r="Q34" s="484"/>
    </row>
    <row r="35" spans="1:17" ht="14.1" customHeight="1" x14ac:dyDescent="0.35">
      <c r="A35" s="126"/>
      <c r="B35" s="127"/>
      <c r="C35" s="124"/>
      <c r="D35" s="123" t="s">
        <v>758</v>
      </c>
      <c r="E35" s="130">
        <v>200</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 customHeight="1" x14ac:dyDescent="0.3">
      <c r="A36" s="126"/>
      <c r="B36" s="127"/>
      <c r="C36" s="124"/>
      <c r="D36" s="124" t="s">
        <v>726</v>
      </c>
      <c r="E36" s="560">
        <f>'Variable Management'!B125</f>
        <v>2.9492546733841021</v>
      </c>
      <c r="F36" s="162" t="s">
        <v>49</v>
      </c>
      <c r="G36" s="606"/>
      <c r="H36" s="134"/>
      <c r="I36" s="144"/>
      <c r="J36" s="134"/>
      <c r="K36" s="791"/>
      <c r="L36" s="791"/>
      <c r="M36" s="791"/>
      <c r="N36" s="791"/>
      <c r="O36" s="791"/>
      <c r="P36" s="792"/>
      <c r="Q36" s="484"/>
    </row>
    <row r="37" spans="1:17" ht="14.1" customHeight="1" x14ac:dyDescent="0.3">
      <c r="A37" s="126"/>
      <c r="B37" s="127"/>
      <c r="C37" s="124"/>
      <c r="D37" s="123" t="s">
        <v>466</v>
      </c>
      <c r="E37" s="130">
        <v>1</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 customHeight="1" x14ac:dyDescent="0.35">
      <c r="A38" s="126"/>
      <c r="B38" s="127"/>
      <c r="C38" s="127"/>
      <c r="D38" s="124" t="s">
        <v>539</v>
      </c>
      <c r="E38" s="151">
        <f>'Variable Management'!B127*1000</f>
        <v>31.999271848726355</v>
      </c>
      <c r="F38" s="162" t="s">
        <v>921</v>
      </c>
      <c r="G38" s="606"/>
      <c r="H38" s="134"/>
      <c r="I38" s="609"/>
      <c r="J38" s="134"/>
      <c r="K38" s="270" t="str">
        <f>IF(OR(SCH_MODE=3, SCH_MODE=4),"** Tie VCCX to GND if not used **", "")</f>
        <v/>
      </c>
      <c r="L38" s="112"/>
      <c r="M38" s="83"/>
      <c r="N38" s="83"/>
      <c r="O38" s="83"/>
      <c r="P38" s="106"/>
      <c r="Q38" s="484"/>
    </row>
    <row r="39" spans="1:17" ht="14.1" customHeight="1" thickBot="1" x14ac:dyDescent="0.4">
      <c r="A39" s="158"/>
      <c r="B39" s="159"/>
      <c r="C39" s="159"/>
      <c r="D39" s="125" t="s">
        <v>540</v>
      </c>
      <c r="E39" s="554">
        <f>'Variable Management'!B114</f>
        <v>4.2078322477636902</v>
      </c>
      <c r="F39" s="160" t="s">
        <v>922</v>
      </c>
      <c r="G39" s="611"/>
      <c r="H39" s="134"/>
      <c r="I39" s="514"/>
      <c r="J39" s="134"/>
      <c r="K39" s="112"/>
      <c r="L39" s="83"/>
      <c r="M39" s="83"/>
      <c r="N39" s="83"/>
      <c r="O39" s="83"/>
      <c r="P39" s="570"/>
      <c r="Q39" s="484"/>
    </row>
    <row r="40" spans="1:17" ht="13.5" customHeight="1" x14ac:dyDescent="0.3">
      <c r="A40" s="184"/>
      <c r="B40" s="134"/>
      <c r="C40" s="134"/>
      <c r="D40" s="134"/>
      <c r="E40" s="134"/>
      <c r="F40" s="134"/>
      <c r="G40" s="134"/>
      <c r="H40" s="127"/>
      <c r="I40" s="83"/>
      <c r="J40" s="83"/>
      <c r="K40" s="83"/>
      <c r="L40" s="112"/>
      <c r="M40" s="112"/>
      <c r="N40" s="112"/>
      <c r="O40" s="112"/>
      <c r="P40" s="106"/>
      <c r="Q40" s="484"/>
    </row>
    <row r="41" spans="1:17" ht="18" thickBot="1" x14ac:dyDescent="0.35">
      <c r="A41" s="182" t="s">
        <v>918</v>
      </c>
      <c r="B41" s="131"/>
      <c r="C41" s="132"/>
      <c r="D41" s="132"/>
      <c r="E41" s="127"/>
      <c r="F41" s="134"/>
      <c r="G41" s="134"/>
      <c r="H41" s="134"/>
      <c r="I41" s="83"/>
      <c r="J41" s="83"/>
      <c r="K41" s="108"/>
      <c r="L41" s="112"/>
      <c r="M41" s="112"/>
      <c r="N41" s="83"/>
      <c r="O41" s="83"/>
      <c r="P41" s="106"/>
      <c r="Q41" s="484"/>
    </row>
    <row r="42" spans="1:17" ht="14.1" customHeight="1" x14ac:dyDescent="0.35">
      <c r="A42" s="172"/>
      <c r="B42" s="163"/>
      <c r="C42" s="153"/>
      <c r="D42" s="155" t="s">
        <v>545</v>
      </c>
      <c r="E42" s="165">
        <v>400</v>
      </c>
      <c r="F42" s="156" t="s">
        <v>923</v>
      </c>
      <c r="G42" s="127"/>
      <c r="H42" s="127"/>
      <c r="I42" s="109"/>
      <c r="J42" s="83"/>
      <c r="K42" s="83"/>
      <c r="L42" s="83"/>
      <c r="M42" s="83"/>
      <c r="N42" s="83"/>
      <c r="O42" s="83"/>
      <c r="P42" s="106"/>
      <c r="Q42" s="484"/>
    </row>
    <row r="43" spans="1:17" ht="14.1" customHeight="1" x14ac:dyDescent="0.3">
      <c r="A43" s="135"/>
      <c r="B43" s="132"/>
      <c r="C43" s="127"/>
      <c r="D43" s="124" t="s">
        <v>546</v>
      </c>
      <c r="E43" s="560">
        <f>'Variable Management'!B148</f>
        <v>8.75</v>
      </c>
      <c r="F43" s="162" t="s">
        <v>215</v>
      </c>
      <c r="G43" s="611"/>
      <c r="H43" s="134"/>
      <c r="I43" s="109"/>
      <c r="J43" s="83"/>
      <c r="K43" s="83"/>
      <c r="L43" s="265"/>
      <c r="M43" s="290"/>
      <c r="N43" s="83"/>
      <c r="O43" s="83"/>
      <c r="P43" s="106"/>
      <c r="Q43" s="484"/>
    </row>
    <row r="44" spans="1:17" ht="14.1" customHeight="1" x14ac:dyDescent="0.35">
      <c r="A44" s="126"/>
      <c r="B44" s="127"/>
      <c r="C44" s="132"/>
      <c r="D44" s="152" t="s">
        <v>759</v>
      </c>
      <c r="E44" s="128">
        <v>30</v>
      </c>
      <c r="F44" s="157" t="s">
        <v>215</v>
      </c>
      <c r="G44" s="127"/>
      <c r="H44" s="127"/>
      <c r="I44" s="109"/>
      <c r="J44" s="83"/>
      <c r="K44" s="83"/>
      <c r="L44" s="83"/>
      <c r="M44" s="83"/>
      <c r="N44" s="83"/>
      <c r="O44" s="83"/>
      <c r="P44" s="106"/>
      <c r="Q44" s="484"/>
    </row>
    <row r="45" spans="1:17" ht="14.1" customHeight="1" x14ac:dyDescent="0.3">
      <c r="A45" s="126"/>
      <c r="B45" s="127"/>
      <c r="C45" s="132"/>
      <c r="D45" s="124" t="s">
        <v>726</v>
      </c>
      <c r="E45" s="510">
        <f>'Variable Management'!B155</f>
        <v>24.904865886864304</v>
      </c>
      <c r="F45" s="162" t="s">
        <v>49</v>
      </c>
      <c r="G45" s="611"/>
      <c r="H45" s="127"/>
      <c r="I45" s="110"/>
      <c r="J45" s="83"/>
      <c r="K45" s="83"/>
      <c r="L45" s="83"/>
      <c r="M45" s="83"/>
      <c r="N45" s="83"/>
      <c r="O45" s="83"/>
      <c r="P45" s="106" t="s">
        <v>175</v>
      </c>
      <c r="Q45" s="484"/>
    </row>
    <row r="46" spans="1:17" ht="14.1" customHeight="1" x14ac:dyDescent="0.3">
      <c r="A46" s="126"/>
      <c r="B46" s="127"/>
      <c r="C46" s="132"/>
      <c r="D46" s="152" t="s">
        <v>464</v>
      </c>
      <c r="E46" s="128">
        <v>1</v>
      </c>
      <c r="F46" s="157" t="s">
        <v>49</v>
      </c>
      <c r="G46" s="127"/>
      <c r="H46" s="127"/>
      <c r="I46" s="110"/>
      <c r="J46" s="83"/>
      <c r="K46" s="83"/>
      <c r="L46" s="83"/>
      <c r="M46" s="83"/>
      <c r="N46" s="83"/>
      <c r="O46" s="83"/>
      <c r="P46" s="106"/>
      <c r="Q46" s="484"/>
    </row>
    <row r="47" spans="1:17" ht="14.1" customHeight="1" x14ac:dyDescent="0.3">
      <c r="A47" s="126"/>
      <c r="B47" s="127"/>
      <c r="C47" s="132"/>
      <c r="D47" s="255" t="s">
        <v>727</v>
      </c>
      <c r="E47" s="258">
        <f>'Variable Management'!B162*1000</f>
        <v>128.17916098312148</v>
      </c>
      <c r="F47" s="257" t="s">
        <v>921</v>
      </c>
      <c r="G47" s="611"/>
      <c r="H47" s="127"/>
      <c r="I47" s="110"/>
      <c r="J47" s="83"/>
      <c r="K47" s="83"/>
      <c r="L47" s="83"/>
      <c r="M47" s="83"/>
      <c r="N47" s="83"/>
      <c r="O47" s="83"/>
      <c r="P47" s="106"/>
      <c r="Q47" s="484"/>
    </row>
    <row r="48" spans="1:17" ht="15.75" customHeight="1" thickBot="1" x14ac:dyDescent="0.35">
      <c r="A48" s="693"/>
      <c r="B48" s="694"/>
      <c r="C48" s="694"/>
      <c r="D48" s="695" t="s">
        <v>541</v>
      </c>
      <c r="E48" s="772">
        <f>'Variable Management'!B138</f>
        <v>3.0545947425895128</v>
      </c>
      <c r="F48" s="782" t="s">
        <v>922</v>
      </c>
      <c r="G48" s="611"/>
      <c r="H48" s="127"/>
      <c r="I48" s="110"/>
      <c r="J48" s="83"/>
      <c r="K48" s="83"/>
      <c r="L48" s="83"/>
      <c r="M48" s="83"/>
      <c r="N48" s="83"/>
      <c r="O48" s="83"/>
      <c r="P48" s="106"/>
      <c r="Q48" s="484"/>
    </row>
    <row r="49" spans="1:34" ht="15.75" customHeight="1" x14ac:dyDescent="0.3">
      <c r="A49" s="583"/>
      <c r="B49" s="127"/>
      <c r="C49" s="134"/>
      <c r="D49" s="152" t="s">
        <v>814</v>
      </c>
      <c r="E49" s="776">
        <v>0.68</v>
      </c>
      <c r="F49" s="700" t="s">
        <v>214</v>
      </c>
      <c r="G49" s="699"/>
      <c r="H49" s="127"/>
      <c r="I49" s="110"/>
      <c r="J49" s="83"/>
      <c r="K49" s="83"/>
      <c r="L49" s="83"/>
      <c r="M49" s="83"/>
      <c r="N49" s="83"/>
      <c r="O49" s="83"/>
      <c r="P49" s="106"/>
      <c r="Q49" s="484"/>
    </row>
    <row r="50" spans="1:34" ht="18" thickBot="1" x14ac:dyDescent="0.35">
      <c r="A50" s="182" t="s">
        <v>945</v>
      </c>
      <c r="B50" s="131"/>
      <c r="C50" s="127"/>
      <c r="D50" s="124"/>
      <c r="E50" s="127"/>
      <c r="F50" s="127"/>
      <c r="G50" s="127"/>
      <c r="H50" s="136"/>
      <c r="I50" s="112"/>
      <c r="J50" s="112"/>
      <c r="K50" s="112"/>
      <c r="L50" s="112"/>
      <c r="M50" s="83"/>
      <c r="N50" s="83"/>
      <c r="O50" s="83"/>
      <c r="P50" s="106"/>
      <c r="Q50" s="484"/>
    </row>
    <row r="51" spans="1:34" ht="13.95" customHeight="1" x14ac:dyDescent="0.3">
      <c r="A51" s="261"/>
      <c r="B51" s="262"/>
      <c r="C51" s="262"/>
      <c r="D51" s="269"/>
      <c r="E51" s="269"/>
      <c r="F51" s="264"/>
      <c r="G51" s="127"/>
      <c r="H51" s="134"/>
      <c r="I51" s="112"/>
      <c r="J51" s="112"/>
      <c r="K51" s="112"/>
      <c r="L51" s="112"/>
      <c r="M51" s="83"/>
      <c r="N51" s="83"/>
      <c r="O51" s="83"/>
      <c r="P51" s="106"/>
      <c r="Q51" s="484"/>
    </row>
    <row r="52" spans="1:34" ht="13.95" customHeight="1" x14ac:dyDescent="0.3">
      <c r="A52" s="254"/>
      <c r="B52" s="253"/>
      <c r="C52" s="253"/>
      <c r="D52" s="112"/>
      <c r="E52" s="112"/>
      <c r="F52" s="267"/>
      <c r="G52" s="127"/>
      <c r="H52" s="134"/>
      <c r="I52" s="112"/>
      <c r="J52" s="112"/>
      <c r="K52" s="112"/>
      <c r="L52" s="112"/>
      <c r="M52" s="83"/>
      <c r="N52" s="83"/>
      <c r="O52" s="83"/>
      <c r="P52" s="106"/>
      <c r="Q52" s="484"/>
    </row>
    <row r="53" spans="1:34" ht="13.95" customHeight="1" x14ac:dyDescent="0.3">
      <c r="A53" s="254"/>
      <c r="B53" s="253"/>
      <c r="C53" s="270"/>
      <c r="D53" s="271" t="s">
        <v>924</v>
      </c>
      <c r="E53" s="266">
        <v>22</v>
      </c>
      <c r="F53" s="267" t="s">
        <v>0</v>
      </c>
      <c r="G53" s="127"/>
      <c r="H53" s="134"/>
      <c r="I53" s="112"/>
      <c r="J53" s="112"/>
      <c r="K53" s="112"/>
      <c r="L53" s="112"/>
      <c r="M53" s="83"/>
      <c r="N53" s="83"/>
      <c r="O53" s="83"/>
      <c r="P53" s="106"/>
      <c r="Q53" s="484"/>
    </row>
    <row r="54" spans="1:34" ht="13.95" customHeight="1" x14ac:dyDescent="0.3">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35">
      <c r="A55" s="254"/>
      <c r="B55" s="253"/>
      <c r="C55" s="253"/>
      <c r="D55" s="607" t="s">
        <v>892</v>
      </c>
      <c r="E55" s="255">
        <f>IF(UVLO_TYPE=1,'Variable Management'!B188,0)</f>
        <v>200</v>
      </c>
      <c r="F55" s="257" t="s">
        <v>50</v>
      </c>
      <c r="G55" s="127"/>
      <c r="H55" s="127"/>
      <c r="I55" s="81"/>
      <c r="J55" s="122"/>
      <c r="K55" s="83"/>
      <c r="L55" s="112"/>
      <c r="M55" s="83"/>
      <c r="N55" s="83"/>
      <c r="O55" s="83"/>
      <c r="P55" s="106"/>
      <c r="Q55" s="484"/>
    </row>
    <row r="56" spans="1:34" ht="13.95" customHeight="1" x14ac:dyDescent="0.35">
      <c r="A56" s="254"/>
      <c r="B56" s="253"/>
      <c r="C56" s="253"/>
      <c r="D56" s="607" t="s">
        <v>893</v>
      </c>
      <c r="E56" s="511">
        <f>IF(UVLO_TYPE=1,'Variable Management'!B189,"DNP")</f>
        <v>9.5299999999999994</v>
      </c>
      <c r="F56" s="257" t="s">
        <v>50</v>
      </c>
      <c r="G56" s="127"/>
      <c r="H56" s="127"/>
      <c r="I56" s="81"/>
      <c r="J56" s="122"/>
      <c r="K56" s="83"/>
      <c r="L56" s="112"/>
      <c r="M56" s="83"/>
      <c r="N56" s="83"/>
      <c r="O56" s="83"/>
      <c r="P56" s="106"/>
      <c r="Q56" s="484"/>
    </row>
    <row r="57" spans="1:34" ht="15.75" customHeight="1" x14ac:dyDescent="0.35">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3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 customHeight="1" x14ac:dyDescent="0.3">
      <c r="A59" s="126"/>
      <c r="B59" s="127"/>
      <c r="C59" s="127"/>
      <c r="D59" s="124"/>
      <c r="E59" s="137"/>
      <c r="F59" s="127"/>
      <c r="G59" s="127"/>
      <c r="H59" s="127"/>
      <c r="I59" s="81"/>
      <c r="J59" s="122"/>
      <c r="K59" s="83"/>
      <c r="L59" s="112"/>
      <c r="M59" s="83"/>
      <c r="N59" s="83"/>
      <c r="O59" s="83"/>
      <c r="P59" s="106"/>
      <c r="Q59" s="484"/>
    </row>
    <row r="60" spans="1:34" ht="19.5" customHeight="1" thickBot="1" x14ac:dyDescent="0.3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3">
      <c r="A61" s="261"/>
      <c r="B61" s="262"/>
      <c r="C61" s="263"/>
      <c r="D61" s="263" t="s">
        <v>738</v>
      </c>
      <c r="E61" s="356">
        <f>Fp_dominant</f>
        <v>825.19311049896191</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3">
      <c r="A62" s="254"/>
      <c r="B62" s="253"/>
      <c r="C62" s="255"/>
      <c r="D62" s="255" t="s">
        <v>739</v>
      </c>
      <c r="E62" s="258">
        <f>Fesr/1000</f>
        <v>795.77471636878192</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3">
      <c r="A63" s="254"/>
      <c r="B63" s="253"/>
      <c r="C63" s="255"/>
      <c r="D63" s="271" t="s">
        <v>395</v>
      </c>
      <c r="E63" s="277">
        <v>40</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3">
      <c r="A64" s="254"/>
      <c r="B64" s="253"/>
      <c r="C64" s="255"/>
      <c r="D64" s="255" t="s">
        <v>830</v>
      </c>
      <c r="E64" s="784">
        <f>Fp1_u</f>
        <v>0.75342856523137813</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3">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3">
      <c r="A66" s="572"/>
      <c r="B66" s="253"/>
      <c r="C66" s="255"/>
      <c r="D66" s="255" t="str">
        <f>CHOOSE(VOUT_setting, "Lower Feedback Resistor", "* Connect "&amp;'Variable Management'!D419&amp;" from FB to VDDA","* Tie FB to VDDA","* Connect "&amp;'Variable Management'!D419&amp;" from FB to VDDA")</f>
        <v>* Connect 48.7kΩ from FB to VDDA</v>
      </c>
      <c r="E66" s="255">
        <f>IF(Vout=Vref,"OPEN",Rfb2_u/1000)</f>
        <v>177</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35">
      <c r="A67" s="273"/>
      <c r="B67" s="274"/>
      <c r="C67" s="272"/>
      <c r="D67" s="272" t="str">
        <f>CHOOSE(VOUT_setting, "Actual Output Voltage Setpoint","","","")</f>
        <v/>
      </c>
      <c r="E67" s="783">
        <f>0.8/E66*(E65+E66)</f>
        <v>1.1557062146892656</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3">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3">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3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6" x14ac:dyDescent="0.35">
      <c r="A71" s="170" t="s">
        <v>643</v>
      </c>
      <c r="B71" s="180">
        <f>Rcea1/1000</f>
        <v>12.411840966876641</v>
      </c>
      <c r="C71" s="166">
        <f>'Standard Value Calculator'!S32</f>
        <v>12.4</v>
      </c>
      <c r="D71" s="167">
        <f>C71</f>
        <v>12.4</v>
      </c>
      <c r="E71" s="168" t="s">
        <v>50</v>
      </c>
      <c r="F71" s="778">
        <f>Fp1_u</f>
        <v>0.75342856523137813</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6" x14ac:dyDescent="0.35">
      <c r="A72" s="171" t="s">
        <v>227</v>
      </c>
      <c r="B72" s="470">
        <f>Cc1ea*1000000000</f>
        <v>3.2057078337228866</v>
      </c>
      <c r="C72" s="143">
        <f>'Standard Value Calculator'!S33</f>
        <v>3.3000000000000003</v>
      </c>
      <c r="D72" s="148">
        <f>C72</f>
        <v>3.3000000000000003</v>
      </c>
      <c r="E72" s="169" t="s">
        <v>141</v>
      </c>
      <c r="F72" s="419">
        <f>Fz1_u/1000</f>
        <v>3.8894169910497642</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2" thickBot="1" x14ac:dyDescent="0.4">
      <c r="A73" s="357" t="s">
        <v>228</v>
      </c>
      <c r="B73" s="181">
        <f>IF(Cc2ea&lt;0, "N/A", Cc2ea*1000000000000)</f>
        <v>53.654553577859048</v>
      </c>
      <c r="C73" s="177">
        <f>'Standard Value Calculator'!S34</f>
        <v>56</v>
      </c>
      <c r="D73" s="178">
        <f>C73</f>
        <v>56</v>
      </c>
      <c r="E73" s="179" t="s">
        <v>30</v>
      </c>
      <c r="F73" s="423">
        <f>Fp2_u/1000</f>
        <v>146.13379932357057</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3">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4.4" thickBot="1" x14ac:dyDescent="0.3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 thickBot="1" x14ac:dyDescent="0.35">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3">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8" thickBot="1" x14ac:dyDescent="0.35">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35">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3">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7" customHeight="1" x14ac:dyDescent="0.3">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7" customHeight="1" x14ac:dyDescent="0.35">
      <c r="A82" s="126"/>
      <c r="B82" s="127"/>
      <c r="C82" s="132"/>
      <c r="D82" s="123" t="s">
        <v>264</v>
      </c>
      <c r="E82" s="250">
        <v>12</v>
      </c>
      <c r="F82" s="128">
        <v>4.0999999999999996</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7" customHeight="1" x14ac:dyDescent="0.35">
      <c r="A83" s="126"/>
      <c r="B83" s="127"/>
      <c r="C83" s="132"/>
      <c r="D83" s="123" t="s">
        <v>265</v>
      </c>
      <c r="E83" s="128">
        <v>8</v>
      </c>
      <c r="F83" s="128">
        <v>25</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7" customHeight="1" x14ac:dyDescent="0.35">
      <c r="A84" s="126"/>
      <c r="B84" s="127"/>
      <c r="C84" s="132"/>
      <c r="D84" s="123" t="s">
        <v>266</v>
      </c>
      <c r="E84" s="128">
        <v>2.9</v>
      </c>
      <c r="F84" s="128">
        <v>9</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7" customHeight="1" x14ac:dyDescent="0.35">
      <c r="A85" s="126"/>
      <c r="B85" s="127"/>
      <c r="C85" s="132"/>
      <c r="D85" s="123" t="s">
        <v>267</v>
      </c>
      <c r="E85" s="128">
        <v>3.1</v>
      </c>
      <c r="F85" s="128">
        <v>8.6999999999999993</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7" customHeight="1" x14ac:dyDescent="0.35">
      <c r="A86" s="468"/>
      <c r="B86" s="112"/>
      <c r="C86" s="112"/>
      <c r="D86" s="123" t="s">
        <v>714</v>
      </c>
      <c r="E86" s="581"/>
      <c r="F86" s="128">
        <v>30</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7" customHeight="1" x14ac:dyDescent="0.35">
      <c r="A87" s="468"/>
      <c r="B87" s="112"/>
      <c r="C87" s="112"/>
      <c r="D87" s="123" t="s">
        <v>713</v>
      </c>
      <c r="E87" s="128">
        <v>116</v>
      </c>
      <c r="F87" s="128">
        <v>366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7" customHeight="1" x14ac:dyDescent="0.35">
      <c r="A88" s="126"/>
      <c r="B88" s="127"/>
      <c r="C88" s="132"/>
      <c r="D88" s="123" t="s">
        <v>268</v>
      </c>
      <c r="E88" s="128">
        <v>1.2</v>
      </c>
      <c r="F88" s="128">
        <v>1.2</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7" customHeight="1" x14ac:dyDescent="0.35">
      <c r="A89" s="126"/>
      <c r="B89" s="127"/>
      <c r="C89" s="132"/>
      <c r="D89" s="123" t="s">
        <v>269</v>
      </c>
      <c r="E89" s="128">
        <v>55</v>
      </c>
      <c r="F89" s="128">
        <v>178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7" customHeight="1" x14ac:dyDescent="0.35">
      <c r="A90" s="126"/>
      <c r="B90" s="127"/>
      <c r="C90" s="132"/>
      <c r="D90" s="123" t="s">
        <v>526</v>
      </c>
      <c r="E90" s="128">
        <v>3.1</v>
      </c>
      <c r="F90" s="128">
        <v>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7" customHeight="1" x14ac:dyDescent="0.35">
      <c r="A91" s="126"/>
      <c r="B91" s="127"/>
      <c r="C91" s="132"/>
      <c r="D91" s="123" t="s">
        <v>523</v>
      </c>
      <c r="E91" s="128">
        <v>0.7</v>
      </c>
      <c r="F91" s="128">
        <v>0.7</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35">
      <c r="A92" s="126"/>
      <c r="B92" s="127"/>
      <c r="C92" s="127"/>
      <c r="D92" s="123" t="s">
        <v>525</v>
      </c>
      <c r="E92" s="2"/>
      <c r="F92" s="128">
        <v>59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7" customHeight="1" thickBot="1" x14ac:dyDescent="0.4">
      <c r="A93" s="192"/>
      <c r="B93" s="174"/>
      <c r="C93" s="193"/>
      <c r="D93" s="175" t="s">
        <v>270</v>
      </c>
      <c r="E93" s="246">
        <v>42</v>
      </c>
      <c r="F93" s="246">
        <v>40.700000000000003</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7" customHeight="1" thickBot="1" x14ac:dyDescent="0.3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7" customHeight="1" x14ac:dyDescent="0.3">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7" customHeight="1" x14ac:dyDescent="0.35">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7" customHeight="1" thickBot="1" x14ac:dyDescent="0.4">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7" customHeight="1" x14ac:dyDescent="0.3">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3">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3">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35">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3">
      <c r="A102" s="183"/>
      <c r="B102" s="153"/>
      <c r="C102" s="154"/>
      <c r="D102" s="154" t="s">
        <v>712</v>
      </c>
      <c r="E102" s="541">
        <f>'Variable Management'!B362</f>
        <v>4.9499999999999995E-2</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3">
      <c r="A103" s="583"/>
      <c r="B103" s="127"/>
      <c r="C103" s="127"/>
      <c r="D103" s="255" t="s">
        <v>702</v>
      </c>
      <c r="E103" s="256">
        <f>'Variable Management'!B364</f>
        <v>26.687950000000001</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35">
      <c r="A104" s="643"/>
      <c r="B104" s="644"/>
      <c r="C104" s="644"/>
      <c r="D104" s="645"/>
      <c r="E104" s="645" t="str">
        <f>CHOOSE(Ext_VCC, "", "* Tie VCCX to PGND")</f>
        <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7" customHeight="1" x14ac:dyDescent="0.3">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4.4" thickBot="1" x14ac:dyDescent="0.3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3">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3">
      <c r="A108" s="79"/>
      <c r="Q108" s="54"/>
      <c r="R108" s="54"/>
      <c r="S108" s="54"/>
      <c r="V108" s="54"/>
      <c r="W108" s="54"/>
      <c r="X108" s="54"/>
      <c r="AA108" s="54"/>
      <c r="AB108" s="54"/>
      <c r="AC108" s="54"/>
      <c r="AF108" s="54"/>
      <c r="AG108" s="54"/>
      <c r="AH108" s="54"/>
    </row>
    <row r="109" spans="1:34" x14ac:dyDescent="0.3">
      <c r="Q109" s="54"/>
      <c r="R109" s="54"/>
      <c r="S109" s="54"/>
      <c r="V109" s="54"/>
      <c r="W109" s="54"/>
      <c r="X109" s="54"/>
      <c r="AA109" s="54"/>
      <c r="AB109" s="54"/>
      <c r="AC109" s="54"/>
      <c r="AF109" s="54"/>
      <c r="AG109" s="54"/>
      <c r="AH109" s="54"/>
    </row>
    <row r="110" spans="1:34" x14ac:dyDescent="0.3">
      <c r="Q110" s="54"/>
      <c r="R110" s="54"/>
      <c r="S110" s="54"/>
      <c r="V110" s="54"/>
      <c r="W110" s="54"/>
      <c r="X110" s="54"/>
      <c r="AA110" s="54"/>
      <c r="AB110" s="54"/>
      <c r="AC110" s="54"/>
      <c r="AF110" s="54"/>
      <c r="AG110" s="54"/>
      <c r="AH110" s="54"/>
    </row>
    <row r="111" spans="1:34" x14ac:dyDescent="0.3">
      <c r="Q111" s="54"/>
      <c r="R111" s="54"/>
      <c r="S111" s="54"/>
      <c r="V111" s="54"/>
      <c r="W111" s="54"/>
      <c r="X111" s="54"/>
      <c r="AA111" s="54"/>
      <c r="AB111" s="54"/>
      <c r="AC111" s="54"/>
      <c r="AF111" s="54"/>
      <c r="AG111" s="54"/>
      <c r="AH111" s="54"/>
    </row>
    <row r="112" spans="1:34" x14ac:dyDescent="0.3">
      <c r="Q112" s="54"/>
      <c r="R112" s="54"/>
      <c r="S112" s="54"/>
      <c r="V112" s="54"/>
      <c r="W112" s="54"/>
      <c r="X112" s="54"/>
      <c r="AA112" s="54"/>
      <c r="AB112" s="54"/>
      <c r="AC112" s="54"/>
      <c r="AF112" s="54"/>
      <c r="AG112" s="54"/>
      <c r="AH112" s="54"/>
    </row>
    <row r="113" spans="17:34" x14ac:dyDescent="0.3">
      <c r="Q113" s="54"/>
      <c r="R113" s="54"/>
      <c r="S113" s="54"/>
      <c r="V113" s="54"/>
      <c r="W113" s="54"/>
      <c r="X113" s="54"/>
      <c r="AA113" s="54"/>
      <c r="AB113" s="54"/>
      <c r="AC113" s="54"/>
      <c r="AF113" s="54"/>
      <c r="AG113" s="54"/>
      <c r="AH113" s="54"/>
    </row>
    <row r="114" spans="17:34" x14ac:dyDescent="0.3">
      <c r="Q114" s="54"/>
      <c r="R114" s="54"/>
      <c r="S114" s="54"/>
      <c r="V114" s="54"/>
      <c r="W114" s="54"/>
      <c r="X114" s="54"/>
      <c r="AA114" s="54"/>
      <c r="AB114" s="54"/>
      <c r="AC114" s="54"/>
      <c r="AF114" s="54"/>
      <c r="AG114" s="54"/>
      <c r="AH114" s="54"/>
    </row>
    <row r="115" spans="17:34" x14ac:dyDescent="0.3">
      <c r="Q115" s="54"/>
      <c r="R115" s="54"/>
      <c r="S115" s="54"/>
      <c r="V115" s="54"/>
      <c r="W115" s="54"/>
      <c r="X115" s="54"/>
      <c r="AA115" s="54"/>
      <c r="AB115" s="54"/>
      <c r="AC115" s="54"/>
      <c r="AF115" s="54"/>
      <c r="AG115" s="54"/>
      <c r="AH115" s="54"/>
    </row>
    <row r="116" spans="17:34" x14ac:dyDescent="0.3">
      <c r="Q116" s="54"/>
      <c r="R116" s="54"/>
      <c r="S116" s="54"/>
      <c r="V116" s="54"/>
      <c r="W116" s="54"/>
      <c r="X116" s="54"/>
      <c r="AA116" s="54"/>
      <c r="AB116" s="54"/>
      <c r="AC116" s="54"/>
      <c r="AF116" s="54"/>
      <c r="AG116" s="54"/>
      <c r="AH116" s="54"/>
    </row>
    <row r="117" spans="17:34" x14ac:dyDescent="0.3">
      <c r="Q117" s="54"/>
      <c r="R117" s="54"/>
      <c r="S117" s="54"/>
      <c r="V117" s="54"/>
      <c r="W117" s="54"/>
      <c r="X117" s="54"/>
      <c r="AA117" s="54"/>
      <c r="AB117" s="54"/>
      <c r="AC117" s="54"/>
      <c r="AF117" s="54"/>
      <c r="AG117" s="54"/>
      <c r="AH117" s="54"/>
    </row>
    <row r="118" spans="17:34" x14ac:dyDescent="0.3">
      <c r="Q118" s="54"/>
      <c r="R118" s="54"/>
      <c r="S118" s="54"/>
      <c r="V118" s="54"/>
      <c r="W118" s="54"/>
      <c r="X118" s="54"/>
      <c r="AA118" s="54"/>
      <c r="AB118" s="54"/>
      <c r="AC118" s="54"/>
      <c r="AF118" s="54"/>
      <c r="AG118" s="54"/>
      <c r="AH118" s="54"/>
    </row>
    <row r="119" spans="17:34" x14ac:dyDescent="0.3">
      <c r="Q119" s="54"/>
      <c r="R119" s="54"/>
      <c r="S119" s="54"/>
      <c r="V119" s="54"/>
      <c r="W119" s="54"/>
      <c r="X119" s="54"/>
      <c r="AA119" s="54"/>
      <c r="AB119" s="54"/>
      <c r="AC119" s="54"/>
      <c r="AF119" s="54"/>
      <c r="AG119" s="54"/>
      <c r="AH119" s="54"/>
    </row>
    <row r="120" spans="17:34" x14ac:dyDescent="0.3">
      <c r="Q120" s="54"/>
      <c r="R120" s="54"/>
      <c r="S120" s="54"/>
      <c r="V120" s="54"/>
      <c r="W120" s="54"/>
      <c r="X120" s="54"/>
      <c r="AA120" s="54"/>
      <c r="AB120" s="54"/>
      <c r="AC120" s="54"/>
      <c r="AF120" s="54"/>
      <c r="AG120" s="54"/>
      <c r="AH120" s="54"/>
    </row>
    <row r="121" spans="17:34" x14ac:dyDescent="0.3">
      <c r="Q121" s="54"/>
      <c r="R121" s="54"/>
      <c r="S121" s="54"/>
      <c r="V121" s="54"/>
      <c r="W121" s="54"/>
      <c r="X121" s="54"/>
      <c r="AA121" s="54"/>
      <c r="AB121" s="54"/>
      <c r="AC121" s="54"/>
      <c r="AF121" s="54"/>
      <c r="AG121" s="54"/>
      <c r="AH121" s="54"/>
    </row>
    <row r="122" spans="17:34" x14ac:dyDescent="0.3">
      <c r="Q122" s="54"/>
      <c r="R122" s="54"/>
      <c r="S122" s="54"/>
      <c r="V122" s="54"/>
      <c r="W122" s="54"/>
      <c r="X122" s="54"/>
      <c r="AA122" s="54"/>
      <c r="AB122" s="54"/>
      <c r="AC122" s="54"/>
      <c r="AF122" s="54"/>
      <c r="AG122" s="54"/>
      <c r="AH122" s="54"/>
    </row>
    <row r="123" spans="17:34" x14ac:dyDescent="0.3">
      <c r="Q123" s="54"/>
      <c r="R123" s="54"/>
      <c r="S123" s="54"/>
      <c r="V123" s="54"/>
      <c r="W123" s="54"/>
      <c r="X123" s="54"/>
      <c r="AA123" s="54"/>
      <c r="AB123" s="54"/>
      <c r="AC123" s="54"/>
      <c r="AF123" s="54"/>
      <c r="AG123" s="54"/>
      <c r="AH123" s="54"/>
    </row>
    <row r="124" spans="17:34" x14ac:dyDescent="0.3">
      <c r="Q124" s="54"/>
      <c r="R124" s="54"/>
      <c r="S124" s="54"/>
      <c r="V124" s="54"/>
      <c r="W124" s="54"/>
      <c r="X124" s="54"/>
      <c r="AA124" s="54"/>
      <c r="AB124" s="54"/>
      <c r="AC124" s="54"/>
      <c r="AF124" s="54"/>
      <c r="AG124" s="54"/>
      <c r="AH124" s="54"/>
    </row>
    <row r="125" spans="17:34" x14ac:dyDescent="0.3">
      <c r="Q125" s="54"/>
      <c r="R125" s="54"/>
      <c r="S125" s="54"/>
      <c r="V125" s="54"/>
      <c r="W125" s="54"/>
      <c r="X125" s="54"/>
      <c r="AA125" s="54"/>
      <c r="AB125" s="54"/>
      <c r="AC125" s="54"/>
      <c r="AF125" s="54"/>
      <c r="AG125" s="54"/>
      <c r="AH125" s="54"/>
    </row>
    <row r="126" spans="17:34" x14ac:dyDescent="0.3">
      <c r="Q126" s="54"/>
      <c r="R126" s="54"/>
      <c r="S126" s="54"/>
      <c r="V126" s="54"/>
      <c r="W126" s="54"/>
      <c r="X126" s="54"/>
      <c r="AA126" s="54"/>
      <c r="AB126" s="54"/>
      <c r="AC126" s="54"/>
      <c r="AF126" s="54"/>
      <c r="AG126" s="54"/>
      <c r="AH126" s="54"/>
    </row>
    <row r="127" spans="17:34" x14ac:dyDescent="0.3">
      <c r="Q127" s="54"/>
      <c r="R127" s="54"/>
      <c r="S127" s="54"/>
      <c r="V127" s="54"/>
      <c r="W127" s="54"/>
      <c r="X127" s="54"/>
      <c r="AA127" s="54"/>
      <c r="AB127" s="54"/>
      <c r="AC127" s="54"/>
      <c r="AF127" s="54"/>
      <c r="AG127" s="54"/>
      <c r="AH127" s="54"/>
    </row>
    <row r="128" spans="17:34" x14ac:dyDescent="0.3">
      <c r="Q128" s="54"/>
      <c r="R128" s="54"/>
      <c r="S128" s="54"/>
      <c r="V128" s="54"/>
      <c r="W128" s="54"/>
      <c r="X128" s="54"/>
      <c r="AA128" s="54"/>
      <c r="AB128" s="54"/>
      <c r="AC128" s="54"/>
      <c r="AF128" s="54"/>
      <c r="AG128" s="54"/>
      <c r="AH128" s="54"/>
    </row>
    <row r="129" spans="17:34" x14ac:dyDescent="0.3">
      <c r="Q129" s="54"/>
      <c r="R129" s="54"/>
      <c r="S129" s="54"/>
      <c r="V129" s="54"/>
      <c r="W129" s="54"/>
      <c r="X129" s="54"/>
      <c r="AA129" s="54"/>
      <c r="AB129" s="54"/>
      <c r="AC129" s="54"/>
      <c r="AF129" s="54"/>
      <c r="AG129" s="54"/>
      <c r="AH129" s="54"/>
    </row>
    <row r="130" spans="17:34" x14ac:dyDescent="0.3">
      <c r="Q130" s="54"/>
      <c r="R130" s="54"/>
      <c r="S130" s="54"/>
      <c r="V130" s="54"/>
      <c r="W130" s="54"/>
      <c r="X130" s="54"/>
      <c r="AA130" s="54"/>
      <c r="AB130" s="54"/>
      <c r="AC130" s="54"/>
      <c r="AF130" s="54"/>
      <c r="AG130" s="54"/>
      <c r="AH130" s="54"/>
    </row>
    <row r="131" spans="17:34" x14ac:dyDescent="0.3">
      <c r="Q131" s="54"/>
      <c r="R131" s="54"/>
      <c r="S131" s="54"/>
      <c r="V131" s="54"/>
      <c r="W131" s="54"/>
      <c r="X131" s="54"/>
      <c r="AA131" s="54"/>
      <c r="AB131" s="54"/>
      <c r="AC131" s="54"/>
      <c r="AF131" s="54"/>
      <c r="AG131" s="54"/>
      <c r="AH131" s="54"/>
    </row>
    <row r="132" spans="17:34" x14ac:dyDescent="0.3">
      <c r="Q132" s="54"/>
      <c r="R132" s="54"/>
      <c r="S132" s="54"/>
      <c r="V132" s="54"/>
      <c r="W132" s="54"/>
      <c r="X132" s="54"/>
      <c r="AA132" s="54"/>
      <c r="AB132" s="54"/>
      <c r="AC132" s="54"/>
      <c r="AF132" s="54"/>
      <c r="AG132" s="54"/>
      <c r="AH132" s="54"/>
    </row>
    <row r="133" spans="17:34" x14ac:dyDescent="0.3">
      <c r="Q133" s="54"/>
      <c r="R133" s="54"/>
      <c r="S133" s="54"/>
      <c r="V133" s="54"/>
      <c r="W133" s="54"/>
      <c r="X133" s="54"/>
      <c r="AA133" s="54"/>
      <c r="AB133" s="54"/>
      <c r="AC133" s="54"/>
      <c r="AF133" s="54"/>
      <c r="AG133" s="54"/>
      <c r="AH133" s="54"/>
    </row>
    <row r="134" spans="17:34" x14ac:dyDescent="0.3">
      <c r="Q134" s="54"/>
      <c r="R134" s="54"/>
      <c r="S134" s="54"/>
      <c r="V134" s="54"/>
      <c r="W134" s="54"/>
      <c r="X134" s="54"/>
      <c r="AA134" s="54"/>
      <c r="AB134" s="54"/>
      <c r="AC134" s="54"/>
      <c r="AF134" s="54"/>
      <c r="AG134" s="54"/>
      <c r="AH134" s="54"/>
    </row>
    <row r="135" spans="17:34" x14ac:dyDescent="0.3">
      <c r="Q135" s="54"/>
      <c r="R135" s="54"/>
      <c r="S135" s="54"/>
      <c r="V135" s="54"/>
      <c r="W135" s="54"/>
      <c r="X135" s="54"/>
      <c r="AA135" s="54"/>
      <c r="AB135" s="54"/>
      <c r="AC135" s="54"/>
      <c r="AF135" s="54"/>
      <c r="AG135" s="54"/>
      <c r="AH135" s="54"/>
    </row>
    <row r="136" spans="17:34" x14ac:dyDescent="0.3">
      <c r="Q136" s="54"/>
      <c r="R136" s="54"/>
      <c r="S136" s="54"/>
      <c r="V136" s="54"/>
      <c r="W136" s="54"/>
      <c r="X136" s="54"/>
      <c r="AA136" s="54"/>
      <c r="AB136" s="54"/>
      <c r="AC136" s="54"/>
      <c r="AF136" s="54"/>
      <c r="AG136" s="54"/>
      <c r="AH136" s="54"/>
    </row>
    <row r="137" spans="17:34" x14ac:dyDescent="0.3">
      <c r="Q137" s="54"/>
      <c r="R137" s="54"/>
      <c r="S137" s="54"/>
      <c r="V137" s="54"/>
      <c r="W137" s="54"/>
      <c r="X137" s="54"/>
      <c r="AA137" s="54"/>
      <c r="AB137" s="54"/>
      <c r="AC137" s="54"/>
      <c r="AF137" s="54"/>
      <c r="AG137" s="54"/>
      <c r="AH137" s="54"/>
    </row>
    <row r="138" spans="17:34" x14ac:dyDescent="0.3">
      <c r="Q138" s="54"/>
      <c r="R138" s="54"/>
      <c r="S138" s="54"/>
      <c r="V138" s="54"/>
      <c r="W138" s="54"/>
      <c r="X138" s="54"/>
      <c r="AA138" s="54"/>
      <c r="AB138" s="54"/>
      <c r="AC138" s="54"/>
      <c r="AF138" s="54"/>
      <c r="AG138" s="54"/>
      <c r="AH138" s="54"/>
    </row>
    <row r="139" spans="17:34" x14ac:dyDescent="0.3">
      <c r="Q139" s="54"/>
      <c r="R139" s="54"/>
      <c r="S139" s="54"/>
      <c r="V139" s="54"/>
      <c r="W139" s="54"/>
      <c r="X139" s="54"/>
      <c r="AA139" s="54"/>
      <c r="AB139" s="54"/>
      <c r="AC139" s="54"/>
      <c r="AF139" s="54"/>
      <c r="AG139" s="54"/>
      <c r="AH139" s="54"/>
    </row>
    <row r="140" spans="17:34" x14ac:dyDescent="0.3">
      <c r="Q140" s="54"/>
      <c r="R140" s="54"/>
      <c r="S140" s="54"/>
      <c r="V140" s="54"/>
      <c r="W140" s="54"/>
      <c r="X140" s="54"/>
      <c r="AA140" s="54"/>
      <c r="AB140" s="54"/>
      <c r="AC140" s="54"/>
      <c r="AF140" s="54"/>
      <c r="AG140" s="54"/>
      <c r="AH140" s="54"/>
    </row>
    <row r="141" spans="17:34" x14ac:dyDescent="0.3">
      <c r="Q141" s="54"/>
      <c r="R141" s="54"/>
      <c r="S141" s="54"/>
      <c r="V141" s="54"/>
      <c r="W141" s="54"/>
      <c r="X141" s="54"/>
      <c r="AA141" s="54"/>
      <c r="AB141" s="54"/>
      <c r="AC141" s="54"/>
      <c r="AF141" s="54"/>
      <c r="AG141" s="54"/>
      <c r="AH141" s="54"/>
    </row>
    <row r="142" spans="17:34" x14ac:dyDescent="0.3">
      <c r="Q142" s="54"/>
      <c r="R142" s="54"/>
      <c r="S142" s="54"/>
      <c r="V142" s="54"/>
      <c r="W142" s="54"/>
      <c r="X142" s="54"/>
      <c r="AA142" s="54"/>
      <c r="AB142" s="54"/>
      <c r="AC142" s="54"/>
      <c r="AF142" s="54"/>
      <c r="AG142" s="54"/>
      <c r="AH142" s="54"/>
    </row>
    <row r="143" spans="17:34" x14ac:dyDescent="0.3">
      <c r="Q143" s="54"/>
      <c r="R143" s="54"/>
      <c r="S143" s="54"/>
      <c r="V143" s="54"/>
      <c r="W143" s="54"/>
      <c r="X143" s="54"/>
      <c r="AA143" s="54"/>
      <c r="AB143" s="54"/>
      <c r="AC143" s="54"/>
      <c r="AF143" s="54"/>
      <c r="AG143" s="54"/>
      <c r="AH143" s="54"/>
    </row>
    <row r="144" spans="17:34" x14ac:dyDescent="0.3">
      <c r="Q144" s="54"/>
      <c r="R144" s="54"/>
      <c r="S144" s="54"/>
      <c r="V144" s="54"/>
      <c r="W144" s="54"/>
      <c r="X144" s="54"/>
      <c r="AA144" s="54"/>
      <c r="AB144" s="54"/>
      <c r="AC144" s="54"/>
      <c r="AF144" s="54"/>
      <c r="AG144" s="54"/>
      <c r="AH144" s="54"/>
    </row>
    <row r="145" spans="17:34" x14ac:dyDescent="0.3">
      <c r="Q145" s="54"/>
      <c r="R145" s="54"/>
      <c r="S145" s="54"/>
      <c r="V145" s="54"/>
      <c r="W145" s="54"/>
      <c r="X145" s="54"/>
      <c r="AA145" s="54"/>
      <c r="AB145" s="54"/>
      <c r="AC145" s="54"/>
      <c r="AF145" s="54"/>
      <c r="AG145" s="54"/>
      <c r="AH145" s="54"/>
    </row>
    <row r="146" spans="17:34" x14ac:dyDescent="0.3">
      <c r="Q146" s="54"/>
      <c r="R146" s="54"/>
      <c r="S146" s="54"/>
      <c r="V146" s="54"/>
      <c r="W146" s="54"/>
      <c r="X146" s="54"/>
      <c r="AA146" s="54"/>
      <c r="AB146" s="54"/>
      <c r="AC146" s="54"/>
      <c r="AF146" s="54"/>
      <c r="AG146" s="54"/>
      <c r="AH146" s="54"/>
    </row>
    <row r="147" spans="17:34" x14ac:dyDescent="0.3">
      <c r="Q147" s="54"/>
      <c r="R147" s="54"/>
      <c r="S147" s="54"/>
      <c r="V147" s="54"/>
      <c r="W147" s="54"/>
      <c r="X147" s="54"/>
      <c r="AA147" s="54"/>
      <c r="AB147" s="54"/>
      <c r="AC147" s="54"/>
      <c r="AF147" s="54"/>
      <c r="AG147" s="54"/>
      <c r="AH147" s="54"/>
    </row>
    <row r="148" spans="17:34" x14ac:dyDescent="0.3">
      <c r="Q148" s="54"/>
      <c r="R148" s="54"/>
      <c r="S148" s="54"/>
      <c r="V148" s="54"/>
      <c r="W148" s="54"/>
      <c r="X148" s="54"/>
      <c r="AA148" s="54"/>
      <c r="AB148" s="54"/>
      <c r="AC148" s="54"/>
      <c r="AF148" s="54"/>
      <c r="AG148" s="54"/>
      <c r="AH148" s="54"/>
    </row>
    <row r="149" spans="17:34" x14ac:dyDescent="0.3">
      <c r="Q149" s="54"/>
      <c r="R149" s="54"/>
      <c r="S149" s="54"/>
      <c r="V149" s="54"/>
      <c r="W149" s="54"/>
      <c r="X149" s="54"/>
      <c r="AA149" s="54"/>
      <c r="AB149" s="54"/>
      <c r="AC149" s="54"/>
      <c r="AF149" s="54"/>
      <c r="AG149" s="54"/>
      <c r="AH149" s="54"/>
    </row>
    <row r="150" spans="17:34" x14ac:dyDescent="0.3">
      <c r="Q150" s="54"/>
      <c r="R150" s="54"/>
      <c r="S150" s="54"/>
      <c r="V150" s="54"/>
      <c r="W150" s="54"/>
      <c r="X150" s="54"/>
      <c r="AA150" s="54"/>
      <c r="AB150" s="54"/>
      <c r="AC150" s="54"/>
      <c r="AF150" s="54"/>
      <c r="AG150" s="54"/>
      <c r="AH150" s="54"/>
    </row>
    <row r="151" spans="17:34" x14ac:dyDescent="0.3">
      <c r="Q151" s="54"/>
      <c r="R151" s="54"/>
      <c r="S151" s="54"/>
      <c r="V151" s="54"/>
      <c r="W151" s="54"/>
      <c r="X151" s="54"/>
      <c r="AA151" s="54"/>
      <c r="AB151" s="54"/>
      <c r="AC151" s="54"/>
      <c r="AF151" s="54"/>
      <c r="AG151" s="54"/>
      <c r="AH151" s="54"/>
    </row>
    <row r="152" spans="17:34" x14ac:dyDescent="0.3">
      <c r="Q152" s="54"/>
      <c r="R152" s="54"/>
      <c r="S152" s="54"/>
      <c r="V152" s="54"/>
      <c r="W152" s="54"/>
      <c r="X152" s="54"/>
      <c r="AA152" s="54"/>
      <c r="AB152" s="54"/>
      <c r="AC152" s="54"/>
      <c r="AF152" s="54"/>
      <c r="AG152" s="54"/>
      <c r="AH152" s="54"/>
    </row>
    <row r="153" spans="17:34" x14ac:dyDescent="0.3">
      <c r="Q153" s="54"/>
      <c r="R153" s="54"/>
      <c r="S153" s="54"/>
      <c r="V153" s="54"/>
      <c r="W153" s="54"/>
      <c r="X153" s="54"/>
      <c r="AA153" s="54"/>
      <c r="AB153" s="54"/>
      <c r="AC153" s="54"/>
      <c r="AF153" s="54"/>
      <c r="AG153" s="54"/>
      <c r="AH153" s="54"/>
    </row>
    <row r="154" spans="17:34" x14ac:dyDescent="0.3">
      <c r="Q154" s="54"/>
      <c r="R154" s="54"/>
      <c r="S154" s="54"/>
      <c r="V154" s="54"/>
      <c r="W154" s="54"/>
      <c r="X154" s="54"/>
      <c r="AA154" s="54"/>
      <c r="AB154" s="54"/>
      <c r="AC154" s="54"/>
      <c r="AF154" s="54"/>
      <c r="AG154" s="54"/>
      <c r="AH154" s="54"/>
    </row>
    <row r="155" spans="17:34" x14ac:dyDescent="0.3">
      <c r="Q155" s="54"/>
      <c r="R155" s="54"/>
      <c r="S155" s="54"/>
      <c r="V155" s="54"/>
      <c r="W155" s="54"/>
      <c r="X155" s="54"/>
      <c r="AA155" s="54"/>
      <c r="AB155" s="54"/>
      <c r="AC155" s="54"/>
      <c r="AF155" s="54"/>
      <c r="AG155" s="54"/>
      <c r="AH155" s="54"/>
    </row>
    <row r="156" spans="17:34" x14ac:dyDescent="0.3">
      <c r="Q156" s="54"/>
      <c r="R156" s="54"/>
      <c r="S156" s="54"/>
      <c r="V156" s="54"/>
      <c r="W156" s="54"/>
      <c r="X156" s="54"/>
      <c r="AA156" s="54"/>
      <c r="AB156" s="54"/>
      <c r="AC156" s="54"/>
      <c r="AF156" s="54"/>
      <c r="AG156" s="54"/>
      <c r="AH156" s="54"/>
    </row>
    <row r="157" spans="17:34" x14ac:dyDescent="0.3">
      <c r="Q157" s="54"/>
      <c r="R157" s="54"/>
      <c r="S157" s="54"/>
      <c r="V157" s="54"/>
      <c r="W157" s="54"/>
      <c r="X157" s="54"/>
      <c r="AA157" s="54"/>
      <c r="AB157" s="54"/>
      <c r="AC157" s="54"/>
      <c r="AF157" s="54"/>
      <c r="AG157" s="54"/>
      <c r="AH157" s="54"/>
    </row>
    <row r="158" spans="17:34" x14ac:dyDescent="0.3">
      <c r="Q158" s="54"/>
      <c r="R158" s="54"/>
      <c r="S158" s="54"/>
      <c r="V158" s="54"/>
      <c r="W158" s="54"/>
      <c r="X158" s="54"/>
      <c r="AA158" s="54"/>
      <c r="AB158" s="54"/>
      <c r="AC158" s="54"/>
      <c r="AF158" s="54"/>
      <c r="AG158" s="54"/>
      <c r="AH158" s="54"/>
    </row>
    <row r="159" spans="17:34" x14ac:dyDescent="0.3">
      <c r="Q159" s="54"/>
      <c r="R159" s="54"/>
      <c r="S159" s="54"/>
      <c r="V159" s="54"/>
      <c r="W159" s="54"/>
      <c r="X159" s="54"/>
      <c r="AA159" s="54"/>
      <c r="AB159" s="54"/>
      <c r="AC159" s="54"/>
      <c r="AF159" s="54"/>
      <c r="AG159" s="54"/>
      <c r="AH159" s="54"/>
    </row>
    <row r="160" spans="17:34" x14ac:dyDescent="0.3">
      <c r="Q160" s="54"/>
      <c r="R160" s="54"/>
      <c r="S160" s="54"/>
      <c r="V160" s="54"/>
      <c r="W160" s="54"/>
      <c r="X160" s="54"/>
      <c r="AA160" s="54"/>
      <c r="AB160" s="54"/>
      <c r="AC160" s="54"/>
      <c r="AF160" s="54"/>
      <c r="AG160" s="54"/>
      <c r="AH160" s="54"/>
    </row>
    <row r="161" spans="17:34" x14ac:dyDescent="0.3">
      <c r="Q161" s="54"/>
      <c r="R161" s="54"/>
      <c r="S161" s="54"/>
      <c r="V161" s="54"/>
      <c r="W161" s="54"/>
      <c r="X161" s="54"/>
      <c r="AA161" s="54"/>
      <c r="AB161" s="54"/>
      <c r="AC161" s="54"/>
      <c r="AF161" s="54"/>
      <c r="AG161" s="54"/>
      <c r="AH161" s="54"/>
    </row>
    <row r="162" spans="17:34" x14ac:dyDescent="0.3">
      <c r="Q162" s="54"/>
      <c r="R162" s="54"/>
      <c r="S162" s="54"/>
      <c r="V162" s="54"/>
      <c r="W162" s="54"/>
      <c r="X162" s="54"/>
      <c r="AA162" s="54"/>
      <c r="AB162" s="54"/>
      <c r="AC162" s="54"/>
      <c r="AF162" s="54"/>
      <c r="AG162" s="54"/>
      <c r="AH162" s="54"/>
    </row>
    <row r="163" spans="17:34" x14ac:dyDescent="0.3">
      <c r="Q163" s="54"/>
      <c r="R163" s="54"/>
      <c r="S163" s="54"/>
      <c r="V163" s="54"/>
      <c r="W163" s="54"/>
      <c r="X163" s="54"/>
      <c r="AA163" s="54"/>
      <c r="AB163" s="54"/>
      <c r="AC163" s="54"/>
      <c r="AF163" s="54"/>
      <c r="AG163" s="54"/>
      <c r="AH163" s="54"/>
    </row>
    <row r="164" spans="17:34" x14ac:dyDescent="0.3">
      <c r="Q164" s="54"/>
      <c r="R164" s="54"/>
      <c r="S164" s="54"/>
      <c r="V164" s="54"/>
      <c r="W164" s="54"/>
      <c r="X164" s="54"/>
      <c r="AA164" s="54"/>
      <c r="AB164" s="54"/>
      <c r="AC164" s="54"/>
      <c r="AF164" s="54"/>
      <c r="AG164" s="54"/>
      <c r="AH164" s="54"/>
    </row>
    <row r="165" spans="17:34" x14ac:dyDescent="0.3">
      <c r="Q165" s="54"/>
      <c r="R165" s="54"/>
      <c r="S165" s="54"/>
      <c r="V165" s="54"/>
      <c r="W165" s="54"/>
      <c r="X165" s="54"/>
      <c r="AA165" s="54"/>
      <c r="AB165" s="54"/>
      <c r="AC165" s="54"/>
      <c r="AF165" s="54"/>
      <c r="AG165" s="54"/>
      <c r="AH165" s="54"/>
    </row>
    <row r="166" spans="17:34" x14ac:dyDescent="0.3">
      <c r="Q166" s="54"/>
      <c r="R166" s="54"/>
      <c r="S166" s="54"/>
      <c r="V166" s="54"/>
      <c r="W166" s="54"/>
      <c r="X166" s="54"/>
      <c r="AA166" s="54"/>
      <c r="AB166" s="54"/>
      <c r="AC166" s="54"/>
      <c r="AF166" s="54"/>
      <c r="AG166" s="54"/>
      <c r="AH166" s="54"/>
    </row>
    <row r="167" spans="17:34" x14ac:dyDescent="0.3">
      <c r="Q167" s="54"/>
      <c r="R167" s="54"/>
      <c r="S167" s="54"/>
      <c r="V167" s="54"/>
      <c r="W167" s="54"/>
      <c r="X167" s="54"/>
      <c r="AA167" s="54"/>
      <c r="AB167" s="54"/>
      <c r="AC167" s="54"/>
      <c r="AF167" s="54"/>
      <c r="AG167" s="54"/>
      <c r="AH167" s="54"/>
    </row>
    <row r="168" spans="17:34" x14ac:dyDescent="0.3">
      <c r="Q168" s="54"/>
      <c r="R168" s="54"/>
      <c r="S168" s="54"/>
      <c r="V168" s="54"/>
      <c r="W168" s="54"/>
      <c r="X168" s="54"/>
      <c r="AA168" s="54"/>
      <c r="AB168" s="54"/>
      <c r="AC168" s="54"/>
      <c r="AF168" s="54"/>
      <c r="AG168" s="54"/>
      <c r="AH168" s="54"/>
    </row>
    <row r="169" spans="17:34" x14ac:dyDescent="0.3">
      <c r="Q169" s="54"/>
      <c r="R169" s="54"/>
      <c r="S169" s="54"/>
      <c r="V169" s="54"/>
      <c r="W169" s="54"/>
      <c r="X169" s="54"/>
      <c r="AA169" s="54"/>
      <c r="AB169" s="54"/>
      <c r="AC169" s="54"/>
      <c r="AF169" s="54"/>
      <c r="AG169" s="54"/>
      <c r="AH169" s="54"/>
    </row>
    <row r="170" spans="17:34" x14ac:dyDescent="0.3">
      <c r="Q170" s="54"/>
      <c r="R170" s="54"/>
      <c r="S170" s="54"/>
      <c r="V170" s="54"/>
      <c r="W170" s="54"/>
      <c r="X170" s="54"/>
      <c r="AA170" s="54"/>
      <c r="AB170" s="54"/>
      <c r="AC170" s="54"/>
      <c r="AF170" s="54"/>
      <c r="AG170" s="54"/>
      <c r="AH170" s="54"/>
    </row>
    <row r="171" spans="17:34" x14ac:dyDescent="0.3">
      <c r="Q171" s="54"/>
      <c r="R171" s="54"/>
      <c r="S171" s="54"/>
      <c r="V171" s="54"/>
      <c r="W171" s="54"/>
      <c r="X171" s="54"/>
      <c r="AA171" s="54"/>
      <c r="AB171" s="54"/>
      <c r="AC171" s="54"/>
      <c r="AF171" s="54"/>
      <c r="AG171" s="54"/>
      <c r="AH171" s="54"/>
    </row>
    <row r="172" spans="17:34" x14ac:dyDescent="0.3">
      <c r="Q172" s="54"/>
      <c r="R172" s="54"/>
      <c r="S172" s="54"/>
      <c r="V172" s="54"/>
      <c r="W172" s="54"/>
      <c r="X172" s="54"/>
      <c r="AA172" s="54"/>
      <c r="AB172" s="54"/>
      <c r="AC172" s="54"/>
      <c r="AF172" s="54"/>
      <c r="AG172" s="54"/>
      <c r="AH172" s="54"/>
    </row>
    <row r="173" spans="17:34" x14ac:dyDescent="0.3">
      <c r="Q173" s="54"/>
      <c r="R173" s="54"/>
      <c r="S173" s="54"/>
      <c r="V173" s="54"/>
      <c r="W173" s="54"/>
      <c r="X173" s="54"/>
      <c r="AA173" s="54"/>
      <c r="AB173" s="54"/>
      <c r="AC173" s="54"/>
      <c r="AF173" s="54"/>
      <c r="AG173" s="54"/>
      <c r="AH173" s="54"/>
    </row>
    <row r="174" spans="17:34" x14ac:dyDescent="0.3">
      <c r="Q174" s="54"/>
      <c r="R174" s="54"/>
      <c r="S174" s="54"/>
      <c r="V174" s="54"/>
      <c r="W174" s="54"/>
      <c r="X174" s="54"/>
      <c r="AA174" s="54"/>
      <c r="AB174" s="54"/>
      <c r="AC174" s="54"/>
      <c r="AF174" s="54"/>
      <c r="AG174" s="54"/>
      <c r="AH174" s="54"/>
    </row>
    <row r="175" spans="17:34" x14ac:dyDescent="0.3">
      <c r="Q175" s="54"/>
      <c r="R175" s="54"/>
      <c r="S175" s="54"/>
      <c r="V175" s="54"/>
      <c r="W175" s="54"/>
      <c r="X175" s="54"/>
      <c r="AA175" s="54"/>
      <c r="AB175" s="54"/>
      <c r="AC175" s="54"/>
      <c r="AF175" s="54"/>
      <c r="AG175" s="54"/>
      <c r="AH175" s="54"/>
    </row>
    <row r="176" spans="17:34" x14ac:dyDescent="0.3">
      <c r="Q176" s="54"/>
      <c r="R176" s="54"/>
      <c r="S176" s="54"/>
      <c r="V176" s="54"/>
      <c r="W176" s="54"/>
      <c r="X176" s="54"/>
      <c r="AA176" s="54"/>
      <c r="AB176" s="54"/>
      <c r="AC176" s="54"/>
      <c r="AF176" s="54"/>
      <c r="AG176" s="54"/>
      <c r="AH176" s="54"/>
    </row>
    <row r="177" spans="17:34" x14ac:dyDescent="0.3">
      <c r="Q177" s="54"/>
      <c r="R177" s="54"/>
      <c r="S177" s="54"/>
      <c r="V177" s="54"/>
      <c r="W177" s="54"/>
      <c r="X177" s="54"/>
      <c r="AA177" s="54"/>
      <c r="AB177" s="54"/>
      <c r="AC177" s="54"/>
      <c r="AF177" s="54"/>
      <c r="AG177" s="54"/>
      <c r="AH177" s="54"/>
    </row>
    <row r="178" spans="17:34" x14ac:dyDescent="0.3">
      <c r="Q178" s="54"/>
      <c r="R178" s="54"/>
      <c r="S178" s="54"/>
      <c r="V178" s="54"/>
      <c r="W178" s="54"/>
      <c r="X178" s="54"/>
      <c r="AA178" s="54"/>
      <c r="AB178" s="54"/>
      <c r="AC178" s="54"/>
      <c r="AF178" s="54"/>
      <c r="AG178" s="54"/>
      <c r="AH178" s="54"/>
    </row>
    <row r="179" spans="17:34" x14ac:dyDescent="0.3">
      <c r="Q179" s="54"/>
      <c r="R179" s="54"/>
      <c r="S179" s="54"/>
      <c r="V179" s="54"/>
      <c r="W179" s="54"/>
      <c r="X179" s="54"/>
      <c r="AA179" s="54"/>
      <c r="AB179" s="54"/>
      <c r="AC179" s="54"/>
      <c r="AF179" s="54"/>
      <c r="AG179" s="54"/>
      <c r="AH179" s="54"/>
    </row>
    <row r="180" spans="17:34" x14ac:dyDescent="0.3">
      <c r="Q180" s="54"/>
      <c r="R180" s="54"/>
      <c r="S180" s="54"/>
      <c r="V180" s="54"/>
      <c r="W180" s="54"/>
      <c r="X180" s="54"/>
      <c r="AA180" s="54"/>
      <c r="AB180" s="54"/>
      <c r="AC180" s="54"/>
      <c r="AF180" s="54"/>
      <c r="AG180" s="54"/>
      <c r="AH180" s="54"/>
    </row>
    <row r="181" spans="17:34" x14ac:dyDescent="0.3">
      <c r="Q181" s="54"/>
      <c r="R181" s="54"/>
      <c r="S181" s="54"/>
      <c r="V181" s="54"/>
      <c r="W181" s="54"/>
      <c r="X181" s="54"/>
      <c r="AA181" s="54"/>
      <c r="AB181" s="54"/>
      <c r="AC181" s="54"/>
      <c r="AF181" s="54"/>
      <c r="AG181" s="54"/>
      <c r="AH181" s="54"/>
    </row>
    <row r="182" spans="17:34" x14ac:dyDescent="0.3">
      <c r="Q182" s="54"/>
      <c r="R182" s="54"/>
      <c r="S182" s="54"/>
      <c r="V182" s="54"/>
      <c r="W182" s="54"/>
      <c r="X182" s="54"/>
      <c r="AA182" s="54"/>
      <c r="AB182" s="54"/>
      <c r="AC182" s="54"/>
      <c r="AF182" s="54"/>
      <c r="AG182" s="54"/>
      <c r="AH182" s="54"/>
    </row>
    <row r="183" spans="17:34" x14ac:dyDescent="0.3">
      <c r="Q183" s="54"/>
      <c r="R183" s="54"/>
      <c r="S183" s="54"/>
      <c r="V183" s="54"/>
      <c r="W183" s="54"/>
      <c r="X183" s="54"/>
      <c r="AA183" s="54"/>
      <c r="AB183" s="54"/>
      <c r="AC183" s="54"/>
      <c r="AF183" s="54"/>
      <c r="AG183" s="54"/>
      <c r="AH183" s="54"/>
    </row>
    <row r="184" spans="17:34" x14ac:dyDescent="0.3">
      <c r="Q184" s="54"/>
      <c r="R184" s="54"/>
      <c r="S184" s="54"/>
      <c r="V184" s="54"/>
      <c r="W184" s="54"/>
      <c r="X184" s="54"/>
      <c r="AA184" s="54"/>
      <c r="AB184" s="54"/>
      <c r="AC184" s="54"/>
      <c r="AF184" s="54"/>
      <c r="AG184" s="54"/>
      <c r="AH184" s="54"/>
    </row>
    <row r="185" spans="17:34" x14ac:dyDescent="0.3">
      <c r="Q185" s="54"/>
      <c r="R185" s="54"/>
      <c r="S185" s="54"/>
      <c r="V185" s="54"/>
      <c r="W185" s="54"/>
      <c r="X185" s="54"/>
      <c r="AA185" s="54"/>
      <c r="AB185" s="54"/>
      <c r="AC185" s="54"/>
      <c r="AF185" s="54"/>
      <c r="AG185" s="54"/>
      <c r="AH185" s="54"/>
    </row>
    <row r="186" spans="17:34" x14ac:dyDescent="0.3">
      <c r="Q186" s="54"/>
      <c r="R186" s="54"/>
      <c r="S186" s="54"/>
      <c r="V186" s="54"/>
      <c r="W186" s="54"/>
      <c r="X186" s="54"/>
      <c r="AA186" s="54"/>
      <c r="AB186" s="54"/>
      <c r="AC186" s="54"/>
      <c r="AF186" s="54"/>
      <c r="AG186" s="54"/>
      <c r="AH186" s="54"/>
    </row>
    <row r="187" spans="17:34" x14ac:dyDescent="0.3">
      <c r="Q187" s="54"/>
      <c r="R187" s="54"/>
      <c r="S187" s="54"/>
      <c r="V187" s="54"/>
      <c r="W187" s="54"/>
      <c r="X187" s="54"/>
      <c r="AA187" s="54"/>
      <c r="AB187" s="54"/>
      <c r="AC187" s="54"/>
      <c r="AF187" s="54"/>
      <c r="AG187" s="54"/>
      <c r="AH187" s="54"/>
    </row>
    <row r="188" spans="17:34" x14ac:dyDescent="0.3">
      <c r="Q188" s="54"/>
      <c r="R188" s="54"/>
      <c r="S188" s="54"/>
      <c r="V188" s="54"/>
      <c r="W188" s="54"/>
      <c r="X188" s="54"/>
      <c r="AA188" s="54"/>
      <c r="AB188" s="54"/>
      <c r="AC188" s="54"/>
      <c r="AF188" s="54"/>
      <c r="AG188" s="54"/>
      <c r="AH188" s="54"/>
    </row>
    <row r="189" spans="17:34" x14ac:dyDescent="0.3">
      <c r="Q189" s="54"/>
      <c r="R189" s="54"/>
      <c r="S189" s="54"/>
      <c r="V189" s="54"/>
      <c r="W189" s="54"/>
      <c r="X189" s="54"/>
      <c r="AA189" s="54"/>
      <c r="AB189" s="54"/>
      <c r="AC189" s="54"/>
      <c r="AF189" s="54"/>
      <c r="AG189" s="54"/>
      <c r="AH189" s="54"/>
    </row>
    <row r="190" spans="17:34" x14ac:dyDescent="0.3">
      <c r="Q190" s="54"/>
      <c r="R190" s="54"/>
      <c r="S190" s="54"/>
      <c r="V190" s="54"/>
      <c r="W190" s="54"/>
      <c r="X190" s="54"/>
      <c r="AA190" s="54"/>
      <c r="AB190" s="54"/>
      <c r="AC190" s="54"/>
      <c r="AF190" s="54"/>
      <c r="AG190" s="54"/>
      <c r="AH190" s="54"/>
    </row>
    <row r="191" spans="17:34" x14ac:dyDescent="0.3">
      <c r="Q191" s="54"/>
      <c r="R191" s="54"/>
      <c r="S191" s="54"/>
      <c r="V191" s="54"/>
      <c r="W191" s="54"/>
      <c r="X191" s="54"/>
      <c r="AA191" s="54"/>
      <c r="AB191" s="54"/>
      <c r="AC191" s="54"/>
      <c r="AF191" s="54"/>
      <c r="AG191" s="54"/>
      <c r="AH191" s="54"/>
    </row>
    <row r="192" spans="17:34" x14ac:dyDescent="0.3">
      <c r="Q192" s="54"/>
      <c r="R192" s="54"/>
      <c r="S192" s="54"/>
      <c r="V192" s="54"/>
      <c r="W192" s="54"/>
      <c r="X192" s="54"/>
      <c r="AA192" s="54"/>
      <c r="AB192" s="54"/>
      <c r="AC192" s="54"/>
      <c r="AF192" s="54"/>
      <c r="AG192" s="54"/>
      <c r="AH192" s="54"/>
    </row>
    <row r="193" spans="17:34" x14ac:dyDescent="0.3">
      <c r="Q193" s="54"/>
      <c r="R193" s="54"/>
      <c r="S193" s="54"/>
      <c r="V193" s="54"/>
      <c r="W193" s="54"/>
      <c r="X193" s="54"/>
      <c r="AA193" s="54"/>
      <c r="AB193" s="54"/>
      <c r="AC193" s="54"/>
      <c r="AF193" s="54"/>
      <c r="AG193" s="54"/>
      <c r="AH193" s="54"/>
    </row>
    <row r="194" spans="17:34" x14ac:dyDescent="0.3">
      <c r="Q194" s="54"/>
      <c r="R194" s="54"/>
      <c r="S194" s="54"/>
      <c r="V194" s="54"/>
      <c r="W194" s="54"/>
      <c r="X194" s="54"/>
      <c r="AA194" s="54"/>
      <c r="AB194" s="54"/>
      <c r="AC194" s="54"/>
      <c r="AF194" s="54"/>
      <c r="AG194" s="54"/>
      <c r="AH194" s="54"/>
    </row>
    <row r="195" spans="17:34" x14ac:dyDescent="0.3">
      <c r="Q195" s="54"/>
      <c r="R195" s="54"/>
      <c r="S195" s="54"/>
      <c r="V195" s="54"/>
      <c r="W195" s="54"/>
      <c r="X195" s="54"/>
      <c r="AA195" s="54"/>
      <c r="AB195" s="54"/>
      <c r="AC195" s="54"/>
      <c r="AF195" s="54"/>
      <c r="AG195" s="54"/>
      <c r="AH195" s="54"/>
    </row>
    <row r="196" spans="17:34" x14ac:dyDescent="0.3">
      <c r="Q196" s="54"/>
      <c r="R196" s="54"/>
      <c r="S196" s="54"/>
      <c r="V196" s="54"/>
      <c r="W196" s="54"/>
      <c r="X196" s="54"/>
      <c r="AA196" s="54"/>
      <c r="AB196" s="54"/>
      <c r="AC196" s="54"/>
      <c r="AF196" s="54"/>
      <c r="AG196" s="54"/>
      <c r="AH196" s="54"/>
    </row>
    <row r="197" spans="17:34" x14ac:dyDescent="0.3">
      <c r="Q197" s="54"/>
      <c r="R197" s="54"/>
      <c r="S197" s="54"/>
      <c r="V197" s="54"/>
      <c r="W197" s="54"/>
      <c r="X197" s="54"/>
      <c r="AA197" s="54"/>
      <c r="AB197" s="54"/>
      <c r="AC197" s="54"/>
      <c r="AF197" s="54"/>
      <c r="AG197" s="54"/>
      <c r="AH197" s="54"/>
    </row>
    <row r="198" spans="17:34" x14ac:dyDescent="0.3">
      <c r="Q198" s="54"/>
      <c r="R198" s="54"/>
      <c r="S198" s="54"/>
      <c r="V198" s="54"/>
      <c r="W198" s="54"/>
      <c r="X198" s="54"/>
      <c r="AA198" s="54"/>
      <c r="AB198" s="54"/>
      <c r="AC198" s="54"/>
      <c r="AF198" s="54"/>
      <c r="AG198" s="54"/>
      <c r="AH198" s="54"/>
    </row>
    <row r="199" spans="17:34" x14ac:dyDescent="0.3">
      <c r="Q199" s="54"/>
      <c r="R199" s="54"/>
      <c r="S199" s="54"/>
      <c r="V199" s="54"/>
      <c r="W199" s="54"/>
      <c r="X199" s="54"/>
      <c r="AA199" s="54"/>
      <c r="AB199" s="54"/>
      <c r="AC199" s="54"/>
      <c r="AF199" s="54"/>
      <c r="AG199" s="54"/>
      <c r="AH199" s="54"/>
    </row>
    <row r="200" spans="17:34" x14ac:dyDescent="0.3">
      <c r="Q200" s="54"/>
      <c r="R200" s="54"/>
      <c r="S200" s="54"/>
      <c r="V200" s="54"/>
      <c r="W200" s="54"/>
      <c r="X200" s="54"/>
      <c r="AA200" s="54"/>
      <c r="AB200" s="54"/>
      <c r="AC200" s="54"/>
      <c r="AF200" s="54"/>
      <c r="AG200" s="54"/>
      <c r="AH200" s="54"/>
    </row>
    <row r="201" spans="17:34" x14ac:dyDescent="0.3">
      <c r="Q201" s="54"/>
      <c r="R201" s="54"/>
      <c r="S201" s="54"/>
      <c r="V201" s="54"/>
      <c r="W201" s="54"/>
      <c r="X201" s="54"/>
      <c r="AA201" s="54"/>
      <c r="AB201" s="54"/>
      <c r="AC201" s="54"/>
      <c r="AF201" s="54"/>
      <c r="AG201" s="54"/>
      <c r="AH201" s="54"/>
    </row>
    <row r="202" spans="17:34" x14ac:dyDescent="0.3">
      <c r="Q202" s="54"/>
      <c r="R202" s="54"/>
      <c r="S202" s="54"/>
      <c r="V202" s="54"/>
      <c r="W202" s="54"/>
      <c r="X202" s="54"/>
      <c r="AA202" s="54"/>
      <c r="AB202" s="54"/>
      <c r="AC202" s="54"/>
      <c r="AF202" s="54"/>
      <c r="AG202" s="54"/>
      <c r="AH202" s="54"/>
    </row>
    <row r="203" spans="17:34" x14ac:dyDescent="0.3">
      <c r="Q203" s="54"/>
      <c r="R203" s="54"/>
      <c r="S203" s="54"/>
      <c r="V203" s="54"/>
      <c r="W203" s="54"/>
      <c r="X203" s="54"/>
      <c r="AA203" s="54"/>
      <c r="AB203" s="54"/>
      <c r="AC203" s="54"/>
      <c r="AF203" s="54"/>
      <c r="AG203" s="54"/>
      <c r="AH203" s="54"/>
    </row>
    <row r="204" spans="17:34" x14ac:dyDescent="0.3">
      <c r="Q204" s="54"/>
      <c r="R204" s="54"/>
      <c r="S204" s="54"/>
      <c r="V204" s="54"/>
      <c r="W204" s="54"/>
      <c r="X204" s="54"/>
      <c r="AA204" s="54"/>
      <c r="AB204" s="54"/>
      <c r="AC204" s="54"/>
      <c r="AF204" s="54"/>
      <c r="AG204" s="54"/>
      <c r="AH204" s="54"/>
    </row>
    <row r="205" spans="17:34" x14ac:dyDescent="0.3">
      <c r="Q205" s="54"/>
      <c r="R205" s="54"/>
      <c r="S205" s="54"/>
      <c r="V205" s="54"/>
      <c r="W205" s="54"/>
      <c r="X205" s="54"/>
      <c r="AA205" s="54"/>
      <c r="AB205" s="54"/>
      <c r="AC205" s="54"/>
      <c r="AF205" s="54"/>
      <c r="AG205" s="54"/>
      <c r="AH205" s="54"/>
    </row>
    <row r="206" spans="17:34" x14ac:dyDescent="0.3">
      <c r="Q206" s="54"/>
      <c r="R206" s="54"/>
      <c r="S206" s="54"/>
      <c r="V206" s="54"/>
      <c r="W206" s="54"/>
      <c r="X206" s="54"/>
      <c r="AA206" s="54"/>
      <c r="AB206" s="54"/>
      <c r="AC206" s="54"/>
      <c r="AF206" s="54"/>
      <c r="AG206" s="54"/>
      <c r="AH206" s="54"/>
    </row>
    <row r="207" spans="17:34" x14ac:dyDescent="0.3">
      <c r="Q207" s="54"/>
      <c r="R207" s="54"/>
      <c r="S207" s="54"/>
      <c r="V207" s="54"/>
      <c r="W207" s="54"/>
      <c r="X207" s="54"/>
      <c r="AA207" s="54"/>
      <c r="AB207" s="54"/>
      <c r="AC207" s="54"/>
      <c r="AF207" s="54"/>
      <c r="AG207" s="54"/>
      <c r="AH207" s="54"/>
    </row>
    <row r="208" spans="17:34" x14ac:dyDescent="0.3">
      <c r="Q208" s="54"/>
      <c r="R208" s="54"/>
      <c r="S208" s="54"/>
      <c r="V208" s="54"/>
      <c r="W208" s="54"/>
      <c r="X208" s="54"/>
      <c r="AA208" s="54"/>
      <c r="AB208" s="54"/>
      <c r="AC208" s="54"/>
      <c r="AF208" s="54"/>
      <c r="AG208" s="54"/>
      <c r="AH208" s="54"/>
    </row>
    <row r="209" spans="17:34" x14ac:dyDescent="0.3">
      <c r="Q209" s="54"/>
      <c r="R209" s="54"/>
      <c r="S209" s="54"/>
      <c r="V209" s="54"/>
      <c r="W209" s="54"/>
      <c r="X209" s="54"/>
      <c r="AA209" s="54"/>
      <c r="AB209" s="54"/>
      <c r="AC209" s="54"/>
      <c r="AF209" s="54"/>
      <c r="AG209" s="54"/>
      <c r="AH209" s="54"/>
    </row>
    <row r="210" spans="17:34" x14ac:dyDescent="0.3">
      <c r="Q210" s="54"/>
      <c r="R210" s="54"/>
      <c r="S210" s="54"/>
      <c r="V210" s="54"/>
      <c r="W210" s="54"/>
      <c r="X210" s="54"/>
      <c r="AA210" s="54"/>
      <c r="AB210" s="54"/>
      <c r="AC210" s="54"/>
      <c r="AF210" s="54"/>
      <c r="AG210" s="54"/>
      <c r="AH210" s="54"/>
    </row>
    <row r="211" spans="17:34" x14ac:dyDescent="0.3">
      <c r="Q211" s="54"/>
      <c r="R211" s="54"/>
      <c r="S211" s="54"/>
      <c r="V211" s="54"/>
      <c r="W211" s="54"/>
      <c r="X211" s="54"/>
      <c r="AA211" s="54"/>
      <c r="AB211" s="54"/>
      <c r="AC211" s="54"/>
      <c r="AF211" s="54"/>
      <c r="AG211" s="54"/>
      <c r="AH211" s="54"/>
    </row>
    <row r="212" spans="17:34" x14ac:dyDescent="0.3">
      <c r="Q212" s="54"/>
      <c r="R212" s="54"/>
      <c r="S212" s="54"/>
      <c r="V212" s="54"/>
      <c r="W212" s="54"/>
      <c r="X212" s="54"/>
      <c r="AA212" s="54"/>
      <c r="AB212" s="54"/>
      <c r="AC212" s="54"/>
      <c r="AF212" s="54"/>
      <c r="AG212" s="54"/>
      <c r="AH212" s="54"/>
    </row>
    <row r="213" spans="17:34" x14ac:dyDescent="0.3">
      <c r="Q213" s="54"/>
      <c r="R213" s="54"/>
      <c r="S213" s="54"/>
      <c r="V213" s="54"/>
      <c r="W213" s="54"/>
      <c r="X213" s="54"/>
      <c r="AA213" s="54"/>
      <c r="AB213" s="54"/>
      <c r="AC213" s="54"/>
      <c r="AF213" s="54"/>
      <c r="AG213" s="54"/>
      <c r="AH213" s="54"/>
    </row>
    <row r="214" spans="17:34" x14ac:dyDescent="0.3">
      <c r="Q214" s="54"/>
      <c r="R214" s="54"/>
      <c r="S214" s="54"/>
      <c r="V214" s="54"/>
      <c r="W214" s="54"/>
      <c r="X214" s="54"/>
      <c r="AA214" s="54"/>
      <c r="AB214" s="54"/>
      <c r="AC214" s="54"/>
      <c r="AF214" s="54"/>
      <c r="AG214" s="54"/>
      <c r="AH214" s="54"/>
    </row>
    <row r="215" spans="17:34" x14ac:dyDescent="0.3">
      <c r="Q215" s="54"/>
      <c r="R215" s="54"/>
      <c r="S215" s="54"/>
      <c r="V215" s="54"/>
      <c r="W215" s="54"/>
      <c r="X215" s="54"/>
      <c r="AA215" s="54"/>
      <c r="AB215" s="54"/>
      <c r="AC215" s="54"/>
      <c r="AF215" s="54"/>
      <c r="AG215" s="54"/>
      <c r="AH215" s="54"/>
    </row>
    <row r="216" spans="17:34" x14ac:dyDescent="0.3">
      <c r="Q216" s="54"/>
      <c r="R216" s="54"/>
      <c r="S216" s="54"/>
      <c r="V216" s="54"/>
      <c r="W216" s="54"/>
      <c r="X216" s="54"/>
      <c r="AA216" s="54"/>
      <c r="AB216" s="54"/>
      <c r="AC216" s="54"/>
      <c r="AF216" s="54"/>
      <c r="AG216" s="54"/>
      <c r="AH216" s="54"/>
    </row>
    <row r="217" spans="17:34" x14ac:dyDescent="0.3">
      <c r="Q217" s="54"/>
      <c r="R217" s="54"/>
      <c r="S217" s="54"/>
      <c r="V217" s="54"/>
      <c r="W217" s="54"/>
      <c r="X217" s="54"/>
      <c r="AA217" s="54"/>
      <c r="AB217" s="54"/>
      <c r="AC217" s="54"/>
      <c r="AF217" s="54"/>
      <c r="AG217" s="54"/>
      <c r="AH217" s="54"/>
    </row>
    <row r="218" spans="17:34" x14ac:dyDescent="0.3">
      <c r="Q218" s="54"/>
      <c r="R218" s="54"/>
      <c r="S218" s="54"/>
      <c r="V218" s="54"/>
      <c r="W218" s="54"/>
      <c r="X218" s="54"/>
      <c r="AA218" s="54"/>
      <c r="AB218" s="54"/>
      <c r="AC218" s="54"/>
      <c r="AF218" s="54"/>
      <c r="AG218" s="54"/>
      <c r="AH218" s="54"/>
    </row>
    <row r="219" spans="17:34" x14ac:dyDescent="0.3">
      <c r="Q219" s="54"/>
      <c r="R219" s="54"/>
      <c r="S219" s="54"/>
      <c r="V219" s="54"/>
      <c r="W219" s="54"/>
      <c r="X219" s="54"/>
      <c r="AA219" s="54"/>
      <c r="AB219" s="54"/>
      <c r="AC219" s="54"/>
      <c r="AF219" s="54"/>
      <c r="AG219" s="54"/>
      <c r="AH219" s="54"/>
    </row>
    <row r="220" spans="17:34" x14ac:dyDescent="0.3">
      <c r="Q220" s="54"/>
      <c r="R220" s="54"/>
      <c r="S220" s="54"/>
      <c r="V220" s="54"/>
      <c r="W220" s="54"/>
      <c r="X220" s="54"/>
      <c r="AA220" s="54"/>
      <c r="AB220" s="54"/>
      <c r="AC220" s="54"/>
      <c r="AF220" s="54"/>
      <c r="AG220" s="54"/>
      <c r="AH220" s="54"/>
    </row>
    <row r="221" spans="17:34" x14ac:dyDescent="0.3">
      <c r="Q221" s="54"/>
      <c r="R221" s="54"/>
      <c r="S221" s="54"/>
      <c r="V221" s="54"/>
      <c r="W221" s="54"/>
      <c r="X221" s="54"/>
      <c r="AA221" s="54"/>
      <c r="AB221" s="54"/>
      <c r="AC221" s="54"/>
      <c r="AF221" s="54"/>
      <c r="AG221" s="54"/>
      <c r="AH221" s="54"/>
    </row>
    <row r="222" spans="17:34" x14ac:dyDescent="0.3">
      <c r="Q222" s="54"/>
      <c r="R222" s="54"/>
      <c r="S222" s="54"/>
      <c r="V222" s="54"/>
      <c r="W222" s="54"/>
      <c r="X222" s="54"/>
      <c r="AA222" s="54"/>
      <c r="AB222" s="54"/>
      <c r="AC222" s="54"/>
      <c r="AF222" s="54"/>
      <c r="AG222" s="54"/>
      <c r="AH222" s="54"/>
    </row>
    <row r="223" spans="17:34" x14ac:dyDescent="0.3">
      <c r="Q223" s="54"/>
      <c r="R223" s="54"/>
      <c r="S223" s="54"/>
      <c r="V223" s="54"/>
      <c r="W223" s="54"/>
      <c r="X223" s="54"/>
      <c r="AA223" s="54"/>
      <c r="AB223" s="54"/>
      <c r="AC223" s="54"/>
      <c r="AF223" s="54"/>
      <c r="AG223" s="54"/>
      <c r="AH223" s="54"/>
    </row>
    <row r="224" spans="17:34" x14ac:dyDescent="0.3">
      <c r="Q224" s="54"/>
      <c r="R224" s="54"/>
      <c r="S224" s="54"/>
      <c r="V224" s="54"/>
      <c r="W224" s="54"/>
      <c r="X224" s="54"/>
      <c r="AA224" s="54"/>
      <c r="AB224" s="54"/>
      <c r="AC224" s="54"/>
      <c r="AF224" s="54"/>
      <c r="AG224" s="54"/>
      <c r="AH224" s="54"/>
    </row>
    <row r="225" spans="17:34" x14ac:dyDescent="0.3">
      <c r="Q225" s="54"/>
      <c r="R225" s="54"/>
      <c r="S225" s="54"/>
      <c r="V225" s="54"/>
      <c r="W225" s="54"/>
      <c r="X225" s="54"/>
      <c r="AA225" s="54"/>
      <c r="AB225" s="54"/>
      <c r="AC225" s="54"/>
      <c r="AF225" s="54"/>
      <c r="AG225" s="54"/>
      <c r="AH225" s="54"/>
    </row>
    <row r="226" spans="17:34" x14ac:dyDescent="0.3">
      <c r="Q226" s="54"/>
      <c r="R226" s="54"/>
      <c r="S226" s="54"/>
      <c r="V226" s="54"/>
      <c r="W226" s="54"/>
      <c r="X226" s="54"/>
      <c r="AA226" s="54"/>
      <c r="AB226" s="54"/>
      <c r="AC226" s="54"/>
      <c r="AF226" s="54"/>
      <c r="AG226" s="54"/>
      <c r="AH226" s="54"/>
    </row>
    <row r="227" spans="17:34" x14ac:dyDescent="0.3">
      <c r="Q227" s="54"/>
      <c r="R227" s="54"/>
      <c r="S227" s="54"/>
      <c r="V227" s="54"/>
      <c r="W227" s="54"/>
      <c r="X227" s="54"/>
      <c r="AA227" s="54"/>
      <c r="AB227" s="54"/>
      <c r="AC227" s="54"/>
      <c r="AF227" s="54"/>
      <c r="AG227" s="54"/>
      <c r="AH227" s="54"/>
    </row>
    <row r="228" spans="17:34" x14ac:dyDescent="0.3">
      <c r="Q228" s="54"/>
      <c r="R228" s="54"/>
      <c r="S228" s="54"/>
      <c r="V228" s="54"/>
      <c r="W228" s="54"/>
      <c r="X228" s="54"/>
      <c r="AA228" s="54"/>
      <c r="AB228" s="54"/>
      <c r="AC228" s="54"/>
      <c r="AF228" s="54"/>
      <c r="AG228" s="54"/>
      <c r="AH228" s="54"/>
    </row>
    <row r="229" spans="17:34" x14ac:dyDescent="0.3">
      <c r="Q229" s="54"/>
      <c r="R229" s="54"/>
      <c r="S229" s="54"/>
      <c r="V229" s="54"/>
      <c r="W229" s="54"/>
      <c r="X229" s="54"/>
      <c r="AA229" s="54"/>
      <c r="AB229" s="54"/>
      <c r="AC229" s="54"/>
      <c r="AF229" s="54"/>
      <c r="AG229" s="54"/>
      <c r="AH229" s="54"/>
    </row>
    <row r="230" spans="17:34" x14ac:dyDescent="0.3">
      <c r="Q230" s="54"/>
      <c r="R230" s="54"/>
      <c r="S230" s="54"/>
      <c r="V230" s="54"/>
      <c r="W230" s="54"/>
      <c r="X230" s="54"/>
      <c r="AA230" s="54"/>
      <c r="AB230" s="54"/>
      <c r="AC230" s="54"/>
      <c r="AF230" s="54"/>
      <c r="AG230" s="54"/>
      <c r="AH230" s="54"/>
    </row>
    <row r="231" spans="17:34" x14ac:dyDescent="0.3">
      <c r="Q231" s="54"/>
      <c r="R231" s="54"/>
      <c r="S231" s="54"/>
      <c r="V231" s="54"/>
      <c r="W231" s="54"/>
      <c r="X231" s="54"/>
      <c r="AA231" s="54"/>
      <c r="AB231" s="54"/>
      <c r="AC231" s="54"/>
      <c r="AF231" s="54"/>
      <c r="AG231" s="54"/>
      <c r="AH231" s="54"/>
    </row>
    <row r="232" spans="17:34" x14ac:dyDescent="0.3">
      <c r="Q232" s="54"/>
      <c r="R232" s="54"/>
      <c r="S232" s="54"/>
      <c r="V232" s="54"/>
      <c r="W232" s="54"/>
      <c r="X232" s="54"/>
      <c r="AA232" s="54"/>
      <c r="AB232" s="54"/>
      <c r="AC232" s="54"/>
      <c r="AF232" s="54"/>
      <c r="AG232" s="54"/>
      <c r="AH232" s="54"/>
    </row>
    <row r="233" spans="17:34" x14ac:dyDescent="0.3">
      <c r="Q233" s="54"/>
      <c r="R233" s="54"/>
      <c r="S233" s="54"/>
      <c r="V233" s="54"/>
      <c r="W233" s="54"/>
      <c r="X233" s="54"/>
      <c r="AA233" s="54"/>
      <c r="AB233" s="54"/>
      <c r="AC233" s="54"/>
      <c r="AF233" s="54"/>
      <c r="AG233" s="54"/>
      <c r="AH233" s="54"/>
    </row>
    <row r="234" spans="17:34" x14ac:dyDescent="0.3">
      <c r="Q234" s="54"/>
      <c r="R234" s="54"/>
      <c r="S234" s="54"/>
      <c r="V234" s="54"/>
      <c r="W234" s="54"/>
      <c r="X234" s="54"/>
      <c r="AA234" s="54"/>
      <c r="AB234" s="54"/>
      <c r="AC234" s="54"/>
      <c r="AF234" s="54"/>
      <c r="AG234" s="54"/>
      <c r="AH234" s="54"/>
    </row>
    <row r="235" spans="17:34" x14ac:dyDescent="0.3">
      <c r="Q235" s="54"/>
      <c r="R235" s="54"/>
      <c r="S235" s="54"/>
      <c r="V235" s="54"/>
      <c r="W235" s="54"/>
      <c r="X235" s="54"/>
      <c r="AA235" s="54"/>
      <c r="AB235" s="54"/>
      <c r="AC235" s="54"/>
      <c r="AF235" s="54"/>
      <c r="AG235" s="54"/>
      <c r="AH235" s="54"/>
    </row>
    <row r="236" spans="17:34" x14ac:dyDescent="0.3">
      <c r="Q236" s="54"/>
      <c r="R236" s="54"/>
      <c r="S236" s="54"/>
      <c r="V236" s="54"/>
      <c r="W236" s="54"/>
      <c r="X236" s="54"/>
      <c r="AA236" s="54"/>
      <c r="AB236" s="54"/>
      <c r="AC236" s="54"/>
      <c r="AF236" s="54"/>
      <c r="AG236" s="54"/>
      <c r="AH236" s="54"/>
    </row>
    <row r="237" spans="17:34" x14ac:dyDescent="0.3">
      <c r="Q237" s="54"/>
      <c r="R237" s="54"/>
      <c r="S237" s="54"/>
      <c r="V237" s="54"/>
      <c r="W237" s="54"/>
      <c r="X237" s="54"/>
      <c r="AA237" s="54"/>
      <c r="AB237" s="54"/>
      <c r="AC237" s="54"/>
      <c r="AF237" s="54"/>
      <c r="AG237" s="54"/>
      <c r="AH237" s="54"/>
    </row>
    <row r="238" spans="17:34" x14ac:dyDescent="0.3">
      <c r="Q238" s="54"/>
      <c r="R238" s="54"/>
      <c r="S238" s="54"/>
      <c r="V238" s="54"/>
      <c r="W238" s="54"/>
      <c r="X238" s="54"/>
      <c r="AA238" s="54"/>
      <c r="AB238" s="54"/>
      <c r="AC238" s="54"/>
      <c r="AF238" s="54"/>
      <c r="AG238" s="54"/>
      <c r="AH238" s="54"/>
    </row>
    <row r="239" spans="17:34" x14ac:dyDescent="0.3">
      <c r="Q239" s="54"/>
      <c r="R239" s="54"/>
      <c r="S239" s="54"/>
      <c r="V239" s="54"/>
      <c r="W239" s="54"/>
      <c r="X239" s="54"/>
      <c r="AA239" s="54"/>
      <c r="AB239" s="54"/>
      <c r="AC239" s="54"/>
      <c r="AF239" s="54"/>
      <c r="AG239" s="54"/>
      <c r="AH239" s="54"/>
    </row>
    <row r="240" spans="17:34" x14ac:dyDescent="0.3">
      <c r="Q240" s="54"/>
      <c r="R240" s="54"/>
      <c r="S240" s="54"/>
      <c r="V240" s="54"/>
      <c r="W240" s="54"/>
      <c r="X240" s="54"/>
      <c r="AA240" s="54"/>
      <c r="AB240" s="54"/>
      <c r="AC240" s="54"/>
      <c r="AF240" s="54"/>
      <c r="AG240" s="54"/>
      <c r="AH240" s="54"/>
    </row>
    <row r="241" spans="17:34" x14ac:dyDescent="0.3">
      <c r="Q241" s="54"/>
      <c r="R241" s="54"/>
      <c r="S241" s="54"/>
      <c r="V241" s="54"/>
      <c r="W241" s="54"/>
      <c r="X241" s="54"/>
      <c r="AA241" s="54"/>
      <c r="AB241" s="54"/>
      <c r="AC241" s="54"/>
      <c r="AF241" s="54"/>
      <c r="AG241" s="54"/>
      <c r="AH241" s="54"/>
    </row>
    <row r="242" spans="17:34" x14ac:dyDescent="0.3">
      <c r="Q242" s="54"/>
      <c r="R242" s="54"/>
      <c r="S242" s="54"/>
      <c r="V242" s="54"/>
      <c r="W242" s="54"/>
      <c r="X242" s="54"/>
      <c r="AA242" s="54"/>
      <c r="AB242" s="54"/>
      <c r="AC242" s="54"/>
      <c r="AF242" s="54"/>
      <c r="AG242" s="54"/>
      <c r="AH242" s="54"/>
    </row>
    <row r="243" spans="17:34" x14ac:dyDescent="0.3">
      <c r="Q243" s="54"/>
      <c r="R243" s="54"/>
      <c r="S243" s="54"/>
      <c r="V243" s="54"/>
      <c r="W243" s="54"/>
      <c r="X243" s="54"/>
      <c r="AA243" s="54"/>
      <c r="AB243" s="54"/>
      <c r="AC243" s="54"/>
      <c r="AF243" s="54"/>
      <c r="AG243" s="54"/>
      <c r="AH243" s="54"/>
    </row>
    <row r="244" spans="17:34" x14ac:dyDescent="0.3">
      <c r="Q244" s="54"/>
      <c r="R244" s="54"/>
      <c r="S244" s="54"/>
      <c r="V244" s="54"/>
      <c r="W244" s="54"/>
      <c r="X244" s="54"/>
      <c r="AA244" s="54"/>
      <c r="AB244" s="54"/>
      <c r="AC244" s="54"/>
      <c r="AF244" s="54"/>
      <c r="AG244" s="54"/>
      <c r="AH244" s="54"/>
    </row>
    <row r="245" spans="17:34" x14ac:dyDescent="0.3">
      <c r="Q245" s="54"/>
      <c r="R245" s="54"/>
      <c r="S245" s="54"/>
      <c r="V245" s="54"/>
      <c r="W245" s="54"/>
      <c r="X245" s="54"/>
      <c r="AA245" s="54"/>
      <c r="AB245" s="54"/>
      <c r="AC245" s="54"/>
      <c r="AF245" s="54"/>
      <c r="AG245" s="54"/>
      <c r="AH245" s="54"/>
    </row>
    <row r="246" spans="17:34" x14ac:dyDescent="0.3">
      <c r="Q246" s="54"/>
      <c r="R246" s="54"/>
      <c r="S246" s="54"/>
      <c r="V246" s="54"/>
      <c r="W246" s="54"/>
      <c r="X246" s="54"/>
      <c r="AA246" s="54"/>
      <c r="AB246" s="54"/>
      <c r="AC246" s="54"/>
      <c r="AF246" s="54"/>
      <c r="AG246" s="54"/>
      <c r="AH246" s="54"/>
    </row>
    <row r="247" spans="17:34" x14ac:dyDescent="0.3">
      <c r="Q247" s="54"/>
      <c r="R247" s="54"/>
      <c r="S247" s="54"/>
      <c r="V247" s="54"/>
      <c r="W247" s="54"/>
      <c r="X247" s="54"/>
      <c r="AA247" s="54"/>
      <c r="AB247" s="54"/>
      <c r="AC247" s="54"/>
      <c r="AF247" s="54"/>
      <c r="AG247" s="54"/>
      <c r="AH247" s="54"/>
    </row>
    <row r="248" spans="17:34" x14ac:dyDescent="0.3">
      <c r="Q248" s="54"/>
      <c r="R248" s="54"/>
      <c r="S248" s="54"/>
      <c r="V248" s="54"/>
      <c r="W248" s="54"/>
      <c r="X248" s="54"/>
      <c r="AA248" s="54"/>
      <c r="AB248" s="54"/>
      <c r="AC248" s="54"/>
      <c r="AF248" s="54"/>
      <c r="AG248" s="54"/>
      <c r="AH248" s="54"/>
    </row>
    <row r="249" spans="17:34" x14ac:dyDescent="0.3">
      <c r="Q249" s="54"/>
      <c r="R249" s="54"/>
      <c r="S249" s="54"/>
      <c r="V249" s="54"/>
      <c r="W249" s="54"/>
      <c r="X249" s="54"/>
      <c r="AA249" s="54"/>
      <c r="AB249" s="54"/>
      <c r="AC249" s="54"/>
      <c r="AF249" s="54"/>
      <c r="AG249" s="54"/>
      <c r="AH249" s="54"/>
    </row>
    <row r="250" spans="17:34" x14ac:dyDescent="0.3">
      <c r="Q250" s="54"/>
      <c r="R250" s="54"/>
      <c r="S250" s="54"/>
      <c r="V250" s="54"/>
      <c r="W250" s="54"/>
      <c r="X250" s="54"/>
      <c r="AA250" s="54"/>
      <c r="AB250" s="54"/>
      <c r="AC250" s="54"/>
      <c r="AF250" s="54"/>
      <c r="AG250" s="54"/>
      <c r="AH250" s="54"/>
    </row>
    <row r="251" spans="17:34" x14ac:dyDescent="0.3">
      <c r="Q251" s="54"/>
      <c r="R251" s="54"/>
      <c r="S251" s="54"/>
      <c r="V251" s="54"/>
      <c r="W251" s="54"/>
      <c r="X251" s="54"/>
      <c r="AA251" s="54"/>
      <c r="AB251" s="54"/>
      <c r="AC251" s="54"/>
      <c r="AF251" s="54"/>
      <c r="AG251" s="54"/>
      <c r="AH251" s="54"/>
    </row>
    <row r="252" spans="17:34" x14ac:dyDescent="0.3">
      <c r="Q252" s="54"/>
      <c r="R252" s="54"/>
      <c r="S252" s="54"/>
      <c r="V252" s="54"/>
      <c r="W252" s="54"/>
      <c r="X252" s="54"/>
      <c r="AA252" s="54"/>
      <c r="AB252" s="54"/>
      <c r="AC252" s="54"/>
      <c r="AF252" s="54"/>
      <c r="AG252" s="54"/>
      <c r="AH252" s="54"/>
    </row>
    <row r="253" spans="17:34" x14ac:dyDescent="0.3">
      <c r="Q253" s="54"/>
      <c r="R253" s="54"/>
      <c r="S253" s="54"/>
      <c r="V253" s="54"/>
      <c r="W253" s="54"/>
      <c r="X253" s="54"/>
      <c r="AA253" s="54"/>
      <c r="AB253" s="54"/>
      <c r="AC253" s="54"/>
      <c r="AF253" s="54"/>
      <c r="AG253" s="54"/>
      <c r="AH253" s="54"/>
    </row>
    <row r="254" spans="17:34" x14ac:dyDescent="0.3">
      <c r="Q254" s="54"/>
      <c r="R254" s="54"/>
      <c r="S254" s="54"/>
      <c r="V254" s="54"/>
      <c r="W254" s="54"/>
      <c r="X254" s="54"/>
      <c r="AA254" s="54"/>
      <c r="AB254" s="54"/>
      <c r="AC254" s="54"/>
      <c r="AF254" s="54"/>
      <c r="AG254" s="54"/>
      <c r="AH254" s="54"/>
    </row>
    <row r="255" spans="17:34" x14ac:dyDescent="0.3">
      <c r="Q255" s="54"/>
      <c r="R255" s="54"/>
      <c r="S255" s="54"/>
      <c r="V255" s="54"/>
      <c r="W255" s="54"/>
      <c r="X255" s="54"/>
      <c r="AA255" s="54"/>
      <c r="AB255" s="54"/>
      <c r="AC255" s="54"/>
      <c r="AF255" s="54"/>
      <c r="AG255" s="54"/>
      <c r="AH255" s="54"/>
    </row>
    <row r="256" spans="17:34" x14ac:dyDescent="0.3">
      <c r="Q256" s="54"/>
      <c r="R256" s="54"/>
      <c r="S256" s="54"/>
      <c r="V256" s="54"/>
      <c r="W256" s="54"/>
      <c r="X256" s="54"/>
      <c r="AA256" s="54"/>
      <c r="AB256" s="54"/>
      <c r="AC256" s="54"/>
      <c r="AF256" s="54"/>
      <c r="AG256" s="54"/>
      <c r="AH256" s="54"/>
    </row>
    <row r="257" spans="17:34" x14ac:dyDescent="0.3">
      <c r="Q257" s="54"/>
      <c r="R257" s="54"/>
      <c r="S257" s="54"/>
      <c r="V257" s="54"/>
      <c r="W257" s="54"/>
      <c r="X257" s="54"/>
      <c r="AA257" s="54"/>
      <c r="AB257" s="54"/>
      <c r="AC257" s="54"/>
      <c r="AF257" s="54"/>
      <c r="AG257" s="54"/>
      <c r="AH257" s="54"/>
    </row>
    <row r="258" spans="17:34" x14ac:dyDescent="0.3">
      <c r="Q258" s="54"/>
      <c r="R258" s="54"/>
      <c r="S258" s="54"/>
      <c r="V258" s="54"/>
      <c r="W258" s="54"/>
      <c r="X258" s="54"/>
      <c r="AA258" s="54"/>
      <c r="AB258" s="54"/>
      <c r="AC258" s="54"/>
      <c r="AF258" s="54"/>
      <c r="AG258" s="54"/>
      <c r="AH258" s="54"/>
    </row>
    <row r="259" spans="17:34" x14ac:dyDescent="0.3">
      <c r="Q259" s="54"/>
      <c r="R259" s="54"/>
      <c r="S259" s="54"/>
      <c r="V259" s="54"/>
      <c r="W259" s="54"/>
      <c r="X259" s="54"/>
      <c r="AA259" s="54"/>
      <c r="AB259" s="54"/>
      <c r="AC259" s="54"/>
      <c r="AF259" s="54"/>
      <c r="AG259" s="54"/>
      <c r="AH259" s="54"/>
    </row>
    <row r="260" spans="17:34" x14ac:dyDescent="0.3">
      <c r="Q260" s="54"/>
      <c r="R260" s="54"/>
      <c r="S260" s="54"/>
      <c r="V260" s="54"/>
      <c r="W260" s="54"/>
      <c r="X260" s="54"/>
      <c r="AA260" s="54"/>
      <c r="AB260" s="54"/>
      <c r="AC260" s="54"/>
      <c r="AF260" s="54"/>
      <c r="AG260" s="54"/>
      <c r="AH260" s="54"/>
    </row>
    <row r="261" spans="17:34" x14ac:dyDescent="0.3">
      <c r="Q261" s="54"/>
      <c r="R261" s="54"/>
      <c r="S261" s="54"/>
      <c r="V261" s="54"/>
      <c r="W261" s="54"/>
      <c r="X261" s="54"/>
      <c r="AA261" s="54"/>
      <c r="AB261" s="54"/>
      <c r="AC261" s="54"/>
      <c r="AF261" s="54"/>
      <c r="AG261" s="54"/>
      <c r="AH261" s="54"/>
    </row>
    <row r="262" spans="17:34" x14ac:dyDescent="0.3">
      <c r="Q262" s="54"/>
      <c r="R262" s="54"/>
      <c r="S262" s="54"/>
      <c r="V262" s="54"/>
      <c r="W262" s="54"/>
      <c r="X262" s="54"/>
      <c r="AA262" s="54"/>
      <c r="AB262" s="54"/>
      <c r="AC262" s="54"/>
      <c r="AF262" s="54"/>
      <c r="AG262" s="54"/>
      <c r="AH262" s="54"/>
    </row>
    <row r="263" spans="17:34" x14ac:dyDescent="0.3">
      <c r="Q263" s="54"/>
      <c r="R263" s="54"/>
      <c r="S263" s="54"/>
      <c r="V263" s="54"/>
      <c r="W263" s="54"/>
      <c r="X263" s="54"/>
      <c r="AA263" s="54"/>
      <c r="AB263" s="54"/>
      <c r="AC263" s="54"/>
      <c r="AF263" s="54"/>
      <c r="AG263" s="54"/>
      <c r="AH263" s="54"/>
    </row>
    <row r="264" spans="17:34" x14ac:dyDescent="0.3">
      <c r="Q264" s="54"/>
      <c r="R264" s="54"/>
      <c r="S264" s="54"/>
      <c r="V264" s="54"/>
      <c r="W264" s="54"/>
      <c r="X264" s="54"/>
      <c r="AA264" s="54"/>
      <c r="AB264" s="54"/>
      <c r="AC264" s="54"/>
      <c r="AF264" s="54"/>
      <c r="AG264" s="54"/>
      <c r="AH264" s="54"/>
    </row>
    <row r="265" spans="17:34" x14ac:dyDescent="0.3">
      <c r="Q265" s="54"/>
      <c r="R265" s="54"/>
      <c r="S265" s="54"/>
      <c r="V265" s="54"/>
      <c r="W265" s="54"/>
      <c r="X265" s="54"/>
      <c r="AA265" s="54"/>
      <c r="AB265" s="54"/>
      <c r="AC265" s="54"/>
      <c r="AF265" s="54"/>
      <c r="AG265" s="54"/>
      <c r="AH265" s="54"/>
    </row>
    <row r="266" spans="17:34" x14ac:dyDescent="0.3">
      <c r="Q266" s="54"/>
      <c r="R266" s="54"/>
      <c r="S266" s="54"/>
      <c r="V266" s="54"/>
      <c r="W266" s="54"/>
      <c r="X266" s="54"/>
      <c r="AA266" s="54"/>
      <c r="AB266" s="54"/>
      <c r="AC266" s="54"/>
      <c r="AF266" s="54"/>
      <c r="AG266" s="54"/>
      <c r="AH266" s="54"/>
    </row>
    <row r="267" spans="17:34" x14ac:dyDescent="0.3">
      <c r="Q267" s="54"/>
      <c r="R267" s="54"/>
      <c r="S267" s="54"/>
      <c r="V267" s="54"/>
      <c r="W267" s="54"/>
      <c r="X267" s="54"/>
      <c r="AA267" s="54"/>
      <c r="AB267" s="54"/>
      <c r="AC267" s="54"/>
      <c r="AF267" s="54"/>
      <c r="AG267" s="54"/>
      <c r="AH267" s="54"/>
    </row>
    <row r="268" spans="17:34" x14ac:dyDescent="0.3">
      <c r="Q268" s="54"/>
      <c r="R268" s="54"/>
      <c r="S268" s="54"/>
      <c r="V268" s="54"/>
      <c r="W268" s="54"/>
      <c r="X268" s="54"/>
      <c r="AA268" s="54"/>
      <c r="AB268" s="54"/>
      <c r="AC268" s="54"/>
      <c r="AF268" s="54"/>
      <c r="AG268" s="54"/>
      <c r="AH268" s="54"/>
    </row>
    <row r="269" spans="17:34" x14ac:dyDescent="0.3">
      <c r="Q269" s="54"/>
      <c r="R269" s="54"/>
      <c r="S269" s="54"/>
      <c r="V269" s="54"/>
      <c r="W269" s="54"/>
      <c r="X269" s="54"/>
      <c r="AA269" s="54"/>
      <c r="AB269" s="54"/>
      <c r="AC269" s="54"/>
      <c r="AF269" s="54"/>
      <c r="AG269" s="54"/>
      <c r="AH269" s="54"/>
    </row>
    <row r="270" spans="17:34" x14ac:dyDescent="0.3">
      <c r="Q270" s="54"/>
      <c r="R270" s="54"/>
      <c r="S270" s="54"/>
      <c r="V270" s="54"/>
      <c r="W270" s="54"/>
      <c r="X270" s="54"/>
      <c r="AA270" s="54"/>
      <c r="AB270" s="54"/>
      <c r="AC270" s="54"/>
      <c r="AF270" s="54"/>
      <c r="AG270" s="54"/>
      <c r="AH270" s="54"/>
    </row>
    <row r="271" spans="17:34" x14ac:dyDescent="0.3">
      <c r="Q271" s="54"/>
      <c r="R271" s="54"/>
      <c r="S271" s="54"/>
      <c r="V271" s="54"/>
      <c r="W271" s="54"/>
      <c r="X271" s="54"/>
      <c r="AA271" s="54"/>
      <c r="AB271" s="54"/>
      <c r="AC271" s="54"/>
      <c r="AF271" s="54"/>
      <c r="AG271" s="54"/>
      <c r="AH271" s="54"/>
    </row>
    <row r="272" spans="17:34" x14ac:dyDescent="0.3">
      <c r="Q272" s="54"/>
      <c r="R272" s="54"/>
      <c r="S272" s="54"/>
      <c r="V272" s="54"/>
      <c r="W272" s="54"/>
      <c r="X272" s="54"/>
      <c r="AA272" s="54"/>
      <c r="AB272" s="54"/>
      <c r="AC272" s="54"/>
      <c r="AF272" s="54"/>
      <c r="AG272" s="54"/>
      <c r="AH272" s="54"/>
    </row>
    <row r="273" spans="17:34" x14ac:dyDescent="0.3">
      <c r="Q273" s="54"/>
      <c r="R273" s="54"/>
      <c r="S273" s="54"/>
      <c r="V273" s="54"/>
      <c r="W273" s="54"/>
      <c r="X273" s="54"/>
      <c r="AA273" s="54"/>
      <c r="AB273" s="54"/>
      <c r="AC273" s="54"/>
      <c r="AF273" s="54"/>
      <c r="AG273" s="54"/>
      <c r="AH273" s="54"/>
    </row>
    <row r="274" spans="17:34" x14ac:dyDescent="0.3">
      <c r="Q274" s="54"/>
      <c r="R274" s="54"/>
      <c r="S274" s="54"/>
      <c r="V274" s="54"/>
      <c r="W274" s="54"/>
      <c r="X274" s="54"/>
      <c r="AA274" s="54"/>
      <c r="AB274" s="54"/>
      <c r="AC274" s="54"/>
      <c r="AF274" s="54"/>
      <c r="AG274" s="54"/>
      <c r="AH274" s="54"/>
    </row>
    <row r="275" spans="17:34" x14ac:dyDescent="0.3">
      <c r="Q275" s="54"/>
      <c r="R275" s="54"/>
      <c r="S275" s="54"/>
      <c r="V275" s="54"/>
      <c r="W275" s="54"/>
      <c r="X275" s="54"/>
      <c r="AA275" s="54"/>
      <c r="AB275" s="54"/>
      <c r="AC275" s="54"/>
      <c r="AF275" s="54"/>
      <c r="AG275" s="54"/>
      <c r="AH275" s="54"/>
    </row>
    <row r="276" spans="17:34" x14ac:dyDescent="0.3">
      <c r="Q276" s="54"/>
      <c r="R276" s="54"/>
      <c r="S276" s="54"/>
      <c r="V276" s="54"/>
      <c r="W276" s="54"/>
      <c r="X276" s="54"/>
      <c r="AA276" s="54"/>
      <c r="AB276" s="54"/>
      <c r="AC276" s="54"/>
      <c r="AF276" s="54"/>
      <c r="AG276" s="54"/>
      <c r="AH276" s="54"/>
    </row>
    <row r="277" spans="17:34" x14ac:dyDescent="0.3">
      <c r="Q277" s="54"/>
      <c r="R277" s="54"/>
      <c r="S277" s="54"/>
      <c r="V277" s="54"/>
      <c r="W277" s="54"/>
      <c r="X277" s="54"/>
      <c r="AA277" s="54"/>
      <c r="AB277" s="54"/>
      <c r="AC277" s="54"/>
      <c r="AF277" s="54"/>
      <c r="AG277" s="54"/>
      <c r="AH277" s="54"/>
    </row>
    <row r="278" spans="17:34" x14ac:dyDescent="0.3">
      <c r="Q278" s="54"/>
      <c r="R278" s="54"/>
      <c r="S278" s="54"/>
      <c r="V278" s="54"/>
      <c r="W278" s="54"/>
      <c r="X278" s="54"/>
      <c r="AA278" s="54"/>
      <c r="AB278" s="54"/>
      <c r="AC278" s="54"/>
      <c r="AF278" s="54"/>
      <c r="AG278" s="54"/>
      <c r="AH278" s="54"/>
    </row>
    <row r="279" spans="17:34" x14ac:dyDescent="0.3">
      <c r="Q279" s="54"/>
      <c r="R279" s="54"/>
      <c r="S279" s="54"/>
      <c r="V279" s="54"/>
      <c r="W279" s="54"/>
      <c r="X279" s="54"/>
      <c r="AA279" s="54"/>
      <c r="AB279" s="54"/>
      <c r="AC279" s="54"/>
      <c r="AF279" s="54"/>
      <c r="AG279" s="54"/>
      <c r="AH279" s="54"/>
    </row>
    <row r="280" spans="17:34" x14ac:dyDescent="0.3">
      <c r="Q280" s="54"/>
      <c r="R280" s="54"/>
      <c r="S280" s="54"/>
      <c r="V280" s="54"/>
      <c r="W280" s="54"/>
      <c r="X280" s="54"/>
      <c r="AA280" s="54"/>
      <c r="AB280" s="54"/>
      <c r="AC280" s="54"/>
      <c r="AF280" s="54"/>
      <c r="AG280" s="54"/>
      <c r="AH280" s="54"/>
    </row>
    <row r="281" spans="17:34" x14ac:dyDescent="0.3">
      <c r="Q281" s="54"/>
      <c r="R281" s="54"/>
      <c r="S281" s="54"/>
      <c r="V281" s="54"/>
      <c r="W281" s="54"/>
      <c r="X281" s="54"/>
      <c r="AA281" s="54"/>
      <c r="AB281" s="54"/>
      <c r="AC281" s="54"/>
      <c r="AF281" s="54"/>
      <c r="AG281" s="54"/>
      <c r="AH281" s="54"/>
    </row>
    <row r="282" spans="17:34" x14ac:dyDescent="0.3">
      <c r="Q282" s="54"/>
      <c r="R282" s="54"/>
      <c r="S282" s="54"/>
      <c r="V282" s="54"/>
      <c r="W282" s="54"/>
      <c r="X282" s="54"/>
      <c r="AA282" s="54"/>
      <c r="AB282" s="54"/>
      <c r="AC282" s="54"/>
      <c r="AF282" s="54"/>
      <c r="AG282" s="54"/>
      <c r="AH282" s="54"/>
    </row>
    <row r="283" spans="17:34" x14ac:dyDescent="0.3">
      <c r="Q283" s="54"/>
      <c r="R283" s="54"/>
      <c r="S283" s="54"/>
      <c r="V283" s="54"/>
      <c r="W283" s="54"/>
      <c r="X283" s="54"/>
      <c r="AA283" s="54"/>
      <c r="AB283" s="54"/>
      <c r="AC283" s="54"/>
      <c r="AF283" s="54"/>
      <c r="AG283" s="54"/>
      <c r="AH283" s="54"/>
    </row>
    <row r="284" spans="17:34" x14ac:dyDescent="0.3">
      <c r="Q284" s="54"/>
      <c r="R284" s="54"/>
      <c r="S284" s="54"/>
      <c r="V284" s="54"/>
      <c r="W284" s="54"/>
      <c r="X284" s="54"/>
      <c r="AA284" s="54"/>
      <c r="AB284" s="54"/>
      <c r="AC284" s="54"/>
      <c r="AF284" s="54"/>
      <c r="AG284" s="54"/>
      <c r="AH284" s="54"/>
    </row>
    <row r="285" spans="17:34" x14ac:dyDescent="0.3">
      <c r="Q285" s="54"/>
      <c r="R285" s="54"/>
      <c r="S285" s="54"/>
      <c r="V285" s="54"/>
      <c r="W285" s="54"/>
      <c r="X285" s="54"/>
      <c r="AA285" s="54"/>
      <c r="AB285" s="54"/>
      <c r="AC285" s="54"/>
      <c r="AF285" s="54"/>
      <c r="AG285" s="54"/>
      <c r="AH285" s="54"/>
    </row>
    <row r="286" spans="17:34" x14ac:dyDescent="0.3">
      <c r="Q286" s="54"/>
      <c r="R286" s="54"/>
      <c r="S286" s="54"/>
      <c r="V286" s="54"/>
      <c r="W286" s="54"/>
      <c r="X286" s="54"/>
      <c r="AA286" s="54"/>
      <c r="AB286" s="54"/>
      <c r="AC286" s="54"/>
      <c r="AF286" s="54"/>
      <c r="AG286" s="54"/>
      <c r="AH286" s="54"/>
    </row>
    <row r="287" spans="17:34" x14ac:dyDescent="0.3">
      <c r="Q287" s="54"/>
      <c r="R287" s="54"/>
      <c r="S287" s="54"/>
      <c r="V287" s="54"/>
      <c r="W287" s="54"/>
      <c r="X287" s="54"/>
      <c r="AA287" s="54"/>
      <c r="AB287" s="54"/>
      <c r="AC287" s="54"/>
      <c r="AF287" s="54"/>
      <c r="AG287" s="54"/>
      <c r="AH287" s="54"/>
    </row>
    <row r="288" spans="17:34" x14ac:dyDescent="0.3">
      <c r="Q288" s="54"/>
      <c r="R288" s="54"/>
      <c r="S288" s="54"/>
      <c r="V288" s="54"/>
      <c r="W288" s="54"/>
      <c r="X288" s="54"/>
      <c r="AA288" s="54"/>
      <c r="AB288" s="54"/>
      <c r="AC288" s="54"/>
      <c r="AF288" s="54"/>
      <c r="AG288" s="54"/>
      <c r="AH288" s="54"/>
    </row>
    <row r="289" spans="17:34" x14ac:dyDescent="0.3">
      <c r="Q289" s="54"/>
      <c r="R289" s="54"/>
      <c r="S289" s="54"/>
      <c r="V289" s="54"/>
      <c r="W289" s="54"/>
      <c r="X289" s="54"/>
      <c r="AA289" s="54"/>
      <c r="AB289" s="54"/>
      <c r="AC289" s="54"/>
      <c r="AF289" s="54"/>
      <c r="AG289" s="54"/>
      <c r="AH289" s="54"/>
    </row>
    <row r="290" spans="17:34" x14ac:dyDescent="0.3">
      <c r="Q290" s="54"/>
      <c r="R290" s="54"/>
      <c r="S290" s="54"/>
      <c r="V290" s="54"/>
      <c r="W290" s="54"/>
      <c r="X290" s="54"/>
      <c r="AA290" s="54"/>
      <c r="AB290" s="54"/>
      <c r="AC290" s="54"/>
      <c r="AF290" s="54"/>
      <c r="AG290" s="54"/>
      <c r="AH290" s="54"/>
    </row>
    <row r="291" spans="17:34" x14ac:dyDescent="0.3">
      <c r="Q291" s="54"/>
      <c r="R291" s="54"/>
      <c r="S291" s="54"/>
      <c r="V291" s="54"/>
      <c r="W291" s="54"/>
      <c r="X291" s="54"/>
      <c r="AA291" s="54"/>
      <c r="AB291" s="54"/>
      <c r="AC291" s="54"/>
      <c r="AF291" s="54"/>
      <c r="AG291" s="54"/>
      <c r="AH291" s="54"/>
    </row>
    <row r="292" spans="17:34" x14ac:dyDescent="0.3">
      <c r="Q292" s="54"/>
      <c r="R292" s="54"/>
      <c r="S292" s="54"/>
      <c r="V292" s="54"/>
      <c r="W292" s="54"/>
      <c r="X292" s="54"/>
      <c r="AA292" s="54"/>
      <c r="AB292" s="54"/>
      <c r="AC292" s="54"/>
      <c r="AF292" s="54"/>
      <c r="AG292" s="54"/>
      <c r="AH292" s="54"/>
    </row>
    <row r="293" spans="17:34" x14ac:dyDescent="0.3">
      <c r="Q293" s="54"/>
      <c r="R293" s="54"/>
      <c r="S293" s="54"/>
      <c r="V293" s="54"/>
      <c r="W293" s="54"/>
      <c r="X293" s="54"/>
      <c r="AA293" s="54"/>
      <c r="AB293" s="54"/>
      <c r="AC293" s="54"/>
      <c r="AF293" s="54"/>
      <c r="AG293" s="54"/>
      <c r="AH293" s="54"/>
    </row>
    <row r="294" spans="17:34" x14ac:dyDescent="0.3">
      <c r="Q294" s="54"/>
      <c r="R294" s="54"/>
      <c r="S294" s="54"/>
      <c r="V294" s="54"/>
      <c r="W294" s="54"/>
      <c r="X294" s="54"/>
      <c r="AA294" s="54"/>
      <c r="AB294" s="54"/>
      <c r="AC294" s="54"/>
      <c r="AF294" s="54"/>
      <c r="AG294" s="54"/>
      <c r="AH294" s="54"/>
    </row>
    <row r="295" spans="17:34" x14ac:dyDescent="0.3">
      <c r="Q295" s="54"/>
      <c r="R295" s="54"/>
      <c r="S295" s="54"/>
      <c r="V295" s="54"/>
      <c r="W295" s="54"/>
      <c r="X295" s="54"/>
      <c r="AA295" s="54"/>
      <c r="AB295" s="54"/>
      <c r="AC295" s="54"/>
      <c r="AF295" s="54"/>
      <c r="AG295" s="54"/>
      <c r="AH295" s="54"/>
    </row>
    <row r="296" spans="17:34" x14ac:dyDescent="0.3">
      <c r="Q296" s="54"/>
      <c r="R296" s="54"/>
      <c r="S296" s="54"/>
      <c r="V296" s="54"/>
      <c r="W296" s="54"/>
      <c r="X296" s="54"/>
      <c r="AA296" s="54"/>
      <c r="AB296" s="54"/>
      <c r="AC296" s="54"/>
      <c r="AF296" s="54"/>
      <c r="AG296" s="54"/>
      <c r="AH296" s="54"/>
    </row>
    <row r="297" spans="17:34" x14ac:dyDescent="0.3">
      <c r="Q297" s="54"/>
      <c r="R297" s="54"/>
      <c r="S297" s="54"/>
      <c r="V297" s="54"/>
      <c r="W297" s="54"/>
      <c r="X297" s="54"/>
      <c r="AA297" s="54"/>
      <c r="AB297" s="54"/>
      <c r="AC297" s="54"/>
      <c r="AF297" s="54"/>
      <c r="AG297" s="54"/>
      <c r="AH297" s="54"/>
    </row>
    <row r="298" spans="17:34" x14ac:dyDescent="0.3">
      <c r="Q298" s="54"/>
      <c r="R298" s="54"/>
      <c r="S298" s="54"/>
      <c r="V298" s="54"/>
      <c r="W298" s="54"/>
      <c r="X298" s="54"/>
      <c r="AA298" s="54"/>
      <c r="AB298" s="54"/>
      <c r="AC298" s="54"/>
      <c r="AF298" s="54"/>
      <c r="AG298" s="54"/>
      <c r="AH298" s="54"/>
    </row>
    <row r="299" spans="17:34" x14ac:dyDescent="0.3">
      <c r="Q299" s="54"/>
      <c r="R299" s="54"/>
      <c r="S299" s="54"/>
      <c r="V299" s="54"/>
      <c r="W299" s="54"/>
      <c r="X299" s="54"/>
      <c r="AA299" s="54"/>
      <c r="AB299" s="54"/>
      <c r="AC299" s="54"/>
      <c r="AF299" s="54"/>
      <c r="AG299" s="54"/>
      <c r="AH299" s="54"/>
    </row>
    <row r="300" spans="17:34" x14ac:dyDescent="0.3">
      <c r="Q300" s="54"/>
      <c r="R300" s="54"/>
      <c r="S300" s="54"/>
      <c r="V300" s="54"/>
      <c r="W300" s="54"/>
      <c r="X300" s="54"/>
      <c r="AA300" s="54"/>
      <c r="AB300" s="54"/>
      <c r="AC300" s="54"/>
      <c r="AF300" s="54"/>
      <c r="AG300" s="54"/>
      <c r="AH300" s="54"/>
    </row>
    <row r="301" spans="17:34" x14ac:dyDescent="0.3">
      <c r="Q301" s="54"/>
      <c r="R301" s="54"/>
      <c r="S301" s="54"/>
      <c r="V301" s="54"/>
      <c r="W301" s="54"/>
      <c r="X301" s="54"/>
      <c r="AA301" s="54"/>
      <c r="AB301" s="54"/>
      <c r="AC301" s="54"/>
      <c r="AF301" s="54"/>
      <c r="AG301" s="54"/>
      <c r="AH301" s="54"/>
    </row>
    <row r="302" spans="17:34" x14ac:dyDescent="0.3">
      <c r="Q302" s="54"/>
      <c r="R302" s="54"/>
      <c r="S302" s="54"/>
      <c r="V302" s="54"/>
      <c r="W302" s="54"/>
      <c r="X302" s="54"/>
      <c r="AA302" s="54"/>
      <c r="AB302" s="54"/>
      <c r="AC302" s="54"/>
      <c r="AF302" s="54"/>
      <c r="AG302" s="54"/>
      <c r="AH302" s="54"/>
    </row>
    <row r="303" spans="17:34" x14ac:dyDescent="0.3">
      <c r="Q303" s="54"/>
      <c r="R303" s="54"/>
      <c r="S303" s="54"/>
      <c r="V303" s="54"/>
      <c r="W303" s="54"/>
      <c r="X303" s="54"/>
      <c r="AA303" s="54"/>
      <c r="AB303" s="54"/>
      <c r="AC303" s="54"/>
      <c r="AF303" s="54"/>
      <c r="AG303" s="54"/>
      <c r="AH303" s="54"/>
    </row>
    <row r="304" spans="17:34" x14ac:dyDescent="0.3">
      <c r="Q304" s="54"/>
      <c r="R304" s="54"/>
      <c r="S304" s="54"/>
      <c r="V304" s="54"/>
      <c r="W304" s="54"/>
      <c r="X304" s="54"/>
      <c r="AA304" s="54"/>
      <c r="AB304" s="54"/>
      <c r="AC304" s="54"/>
      <c r="AF304" s="54"/>
      <c r="AG304" s="54"/>
      <c r="AH304" s="54"/>
    </row>
    <row r="305" spans="17:34" x14ac:dyDescent="0.3">
      <c r="Q305" s="54"/>
      <c r="R305" s="54"/>
      <c r="S305" s="54"/>
      <c r="V305" s="54"/>
      <c r="W305" s="54"/>
      <c r="X305" s="54"/>
      <c r="AA305" s="54"/>
      <c r="AB305" s="54"/>
      <c r="AC305" s="54"/>
      <c r="AF305" s="54"/>
      <c r="AG305" s="54"/>
      <c r="AH305" s="54"/>
    </row>
    <row r="306" spans="17:34" x14ac:dyDescent="0.3">
      <c r="Q306" s="54"/>
      <c r="R306" s="54"/>
      <c r="S306" s="54"/>
      <c r="V306" s="54"/>
      <c r="W306" s="54"/>
      <c r="X306" s="54"/>
      <c r="AA306" s="54"/>
      <c r="AB306" s="54"/>
      <c r="AC306" s="54"/>
      <c r="AF306" s="54"/>
      <c r="AG306" s="54"/>
      <c r="AH306" s="54"/>
    </row>
    <row r="307" spans="17:34" x14ac:dyDescent="0.3">
      <c r="Q307" s="54"/>
      <c r="R307" s="54"/>
      <c r="S307" s="54"/>
      <c r="V307" s="54"/>
      <c r="W307" s="54"/>
      <c r="X307" s="54"/>
      <c r="AA307" s="54"/>
      <c r="AB307" s="54"/>
      <c r="AC307" s="54"/>
      <c r="AF307" s="54"/>
      <c r="AG307" s="54"/>
      <c r="AH307" s="54"/>
    </row>
    <row r="308" spans="17:34" x14ac:dyDescent="0.3">
      <c r="Q308" s="54"/>
      <c r="R308" s="54"/>
      <c r="S308" s="54"/>
      <c r="V308" s="54"/>
      <c r="W308" s="54"/>
      <c r="X308" s="54"/>
      <c r="AA308" s="54"/>
      <c r="AB308" s="54"/>
      <c r="AC308" s="54"/>
      <c r="AF308" s="54"/>
      <c r="AG308" s="54"/>
      <c r="AH308" s="54"/>
    </row>
    <row r="309" spans="17:34" x14ac:dyDescent="0.3">
      <c r="Q309" s="54"/>
      <c r="R309" s="54"/>
      <c r="S309" s="54"/>
      <c r="V309" s="54"/>
      <c r="W309" s="54"/>
      <c r="X309" s="54"/>
      <c r="AA309" s="54"/>
      <c r="AB309" s="54"/>
      <c r="AC309" s="54"/>
      <c r="AF309" s="54"/>
      <c r="AG309" s="54"/>
      <c r="AH309" s="54"/>
    </row>
    <row r="310" spans="17:34" x14ac:dyDescent="0.3">
      <c r="Q310" s="54"/>
      <c r="R310" s="54"/>
      <c r="S310" s="54"/>
      <c r="V310" s="54"/>
      <c r="W310" s="54"/>
      <c r="X310" s="54"/>
      <c r="AA310" s="54"/>
      <c r="AB310" s="54"/>
      <c r="AC310" s="54"/>
      <c r="AF310" s="54"/>
      <c r="AG310" s="54"/>
      <c r="AH310" s="54"/>
    </row>
    <row r="311" spans="17:34" x14ac:dyDescent="0.3">
      <c r="Q311" s="54"/>
      <c r="R311" s="54"/>
      <c r="S311" s="54"/>
      <c r="V311" s="54"/>
      <c r="W311" s="54"/>
      <c r="X311" s="54"/>
      <c r="AA311" s="54"/>
      <c r="AB311" s="54"/>
      <c r="AC311" s="54"/>
      <c r="AF311" s="54"/>
      <c r="AG311" s="54"/>
      <c r="AH311" s="54"/>
    </row>
    <row r="312" spans="17:34" x14ac:dyDescent="0.3">
      <c r="Q312" s="54"/>
      <c r="R312" s="54"/>
      <c r="S312" s="54"/>
      <c r="V312" s="54"/>
      <c r="W312" s="54"/>
      <c r="X312" s="54"/>
      <c r="AA312" s="54"/>
      <c r="AB312" s="54"/>
      <c r="AC312" s="54"/>
      <c r="AF312" s="54"/>
      <c r="AG312" s="54"/>
      <c r="AH312" s="54"/>
    </row>
    <row r="313" spans="17:34" x14ac:dyDescent="0.3">
      <c r="Q313" s="54"/>
      <c r="R313" s="54"/>
      <c r="S313" s="54"/>
      <c r="V313" s="54"/>
      <c r="W313" s="54"/>
      <c r="X313" s="54"/>
      <c r="AA313" s="54"/>
      <c r="AB313" s="54"/>
      <c r="AC313" s="54"/>
      <c r="AF313" s="54"/>
      <c r="AG313" s="54"/>
      <c r="AH313" s="54"/>
    </row>
    <row r="314" spans="17:34" x14ac:dyDescent="0.3">
      <c r="Q314" s="54"/>
      <c r="R314" s="54"/>
      <c r="S314" s="54"/>
      <c r="V314" s="54"/>
      <c r="W314" s="54"/>
      <c r="X314" s="54"/>
      <c r="AA314" s="54"/>
      <c r="AB314" s="54"/>
      <c r="AC314" s="54"/>
      <c r="AF314" s="54"/>
      <c r="AG314" s="54"/>
      <c r="AH314" s="54"/>
    </row>
    <row r="315" spans="17:34" x14ac:dyDescent="0.3">
      <c r="Q315" s="54"/>
      <c r="R315" s="54"/>
      <c r="S315" s="54"/>
      <c r="V315" s="54"/>
      <c r="W315" s="54"/>
      <c r="X315" s="54"/>
      <c r="AA315" s="54"/>
      <c r="AB315" s="54"/>
      <c r="AC315" s="54"/>
      <c r="AF315" s="54"/>
      <c r="AG315" s="54"/>
      <c r="AH315" s="54"/>
    </row>
    <row r="316" spans="17:34" x14ac:dyDescent="0.3">
      <c r="Q316" s="54"/>
      <c r="R316" s="54"/>
      <c r="S316" s="54"/>
      <c r="V316" s="54"/>
      <c r="W316" s="54"/>
      <c r="X316" s="54"/>
      <c r="AA316" s="54"/>
      <c r="AB316" s="54"/>
      <c r="AC316" s="54"/>
      <c r="AF316" s="54"/>
      <c r="AG316" s="54"/>
      <c r="AH316" s="54"/>
    </row>
    <row r="317" spans="17:34" x14ac:dyDescent="0.3">
      <c r="Q317" s="54"/>
      <c r="R317" s="54"/>
      <c r="S317" s="54"/>
      <c r="V317" s="54"/>
      <c r="W317" s="54"/>
      <c r="X317" s="54"/>
      <c r="AA317" s="54"/>
      <c r="AB317" s="54"/>
      <c r="AC317" s="54"/>
      <c r="AF317" s="54"/>
      <c r="AG317" s="54"/>
      <c r="AH317" s="54"/>
    </row>
    <row r="318" spans="17:34" x14ac:dyDescent="0.3">
      <c r="Q318" s="54"/>
      <c r="R318" s="54"/>
      <c r="S318" s="54"/>
      <c r="V318" s="54"/>
      <c r="W318" s="54"/>
      <c r="X318" s="54"/>
      <c r="AA318" s="54"/>
      <c r="AB318" s="54"/>
      <c r="AC318" s="54"/>
      <c r="AF318" s="54"/>
      <c r="AG318" s="54"/>
      <c r="AH318" s="54"/>
    </row>
    <row r="319" spans="17:34" x14ac:dyDescent="0.3">
      <c r="Q319" s="54"/>
      <c r="R319" s="54"/>
      <c r="S319" s="54"/>
      <c r="V319" s="54"/>
      <c r="W319" s="54"/>
      <c r="X319" s="54"/>
      <c r="AA319" s="54"/>
      <c r="AB319" s="54"/>
      <c r="AC319" s="54"/>
      <c r="AF319" s="54"/>
      <c r="AG319" s="54"/>
      <c r="AH319" s="54"/>
    </row>
    <row r="320" spans="17:34" x14ac:dyDescent="0.3">
      <c r="Q320" s="54"/>
      <c r="R320" s="54"/>
      <c r="S320" s="54"/>
      <c r="V320" s="54"/>
      <c r="W320" s="54"/>
      <c r="X320" s="54"/>
      <c r="AA320" s="54"/>
      <c r="AB320" s="54"/>
      <c r="AC320" s="54"/>
      <c r="AF320" s="54"/>
      <c r="AG320" s="54"/>
      <c r="AH320" s="54"/>
    </row>
    <row r="321" spans="17:34" x14ac:dyDescent="0.3">
      <c r="Q321" s="54"/>
      <c r="R321" s="54"/>
      <c r="S321" s="54"/>
      <c r="V321" s="54"/>
      <c r="W321" s="54"/>
      <c r="X321" s="54"/>
      <c r="AA321" s="54"/>
      <c r="AB321" s="54"/>
      <c r="AC321" s="54"/>
      <c r="AF321" s="54"/>
      <c r="AG321" s="54"/>
      <c r="AH321" s="54"/>
    </row>
    <row r="322" spans="17:34" x14ac:dyDescent="0.3">
      <c r="Q322" s="54"/>
      <c r="R322" s="54"/>
      <c r="S322" s="54"/>
      <c r="V322" s="54"/>
      <c r="W322" s="54"/>
      <c r="X322" s="54"/>
      <c r="AA322" s="54"/>
      <c r="AB322" s="54"/>
      <c r="AC322" s="54"/>
      <c r="AF322" s="54"/>
      <c r="AG322" s="54"/>
      <c r="AH322" s="54"/>
    </row>
    <row r="323" spans="17:34" x14ac:dyDescent="0.3">
      <c r="Q323" s="54"/>
      <c r="R323" s="54"/>
      <c r="S323" s="54"/>
      <c r="V323" s="54"/>
      <c r="W323" s="54"/>
      <c r="X323" s="54"/>
      <c r="AA323" s="54"/>
      <c r="AB323" s="54"/>
      <c r="AC323" s="54"/>
      <c r="AF323" s="54"/>
      <c r="AG323" s="54"/>
      <c r="AH323" s="54"/>
    </row>
    <row r="324" spans="17:34" x14ac:dyDescent="0.3">
      <c r="Q324" s="54"/>
      <c r="R324" s="54"/>
      <c r="S324" s="54"/>
      <c r="V324" s="54"/>
      <c r="W324" s="54"/>
      <c r="X324" s="54"/>
      <c r="AA324" s="54"/>
      <c r="AB324" s="54"/>
      <c r="AC324" s="54"/>
      <c r="AF324" s="54"/>
      <c r="AG324" s="54"/>
      <c r="AH324" s="54"/>
    </row>
    <row r="325" spans="17:34" x14ac:dyDescent="0.3">
      <c r="Q325" s="54"/>
      <c r="R325" s="54"/>
      <c r="S325" s="54"/>
      <c r="V325" s="54"/>
      <c r="W325" s="54"/>
      <c r="X325" s="54"/>
      <c r="AA325" s="54"/>
      <c r="AB325" s="54"/>
      <c r="AC325" s="54"/>
      <c r="AF325" s="54"/>
      <c r="AG325" s="54"/>
      <c r="AH325" s="54"/>
    </row>
    <row r="326" spans="17:34" x14ac:dyDescent="0.3">
      <c r="Q326" s="54"/>
      <c r="R326" s="54"/>
      <c r="S326" s="54"/>
      <c r="V326" s="54"/>
      <c r="W326" s="54"/>
      <c r="X326" s="54"/>
      <c r="AA326" s="54"/>
      <c r="AB326" s="54"/>
      <c r="AC326" s="54"/>
      <c r="AF326" s="54"/>
      <c r="AG326" s="54"/>
      <c r="AH326" s="54"/>
    </row>
    <row r="327" spans="17:34" x14ac:dyDescent="0.3">
      <c r="Q327" s="54"/>
      <c r="R327" s="54"/>
      <c r="S327" s="54"/>
      <c r="V327" s="54"/>
      <c r="W327" s="54"/>
      <c r="X327" s="54"/>
      <c r="AA327" s="54"/>
      <c r="AB327" s="54"/>
      <c r="AC327" s="54"/>
      <c r="AF327" s="54"/>
      <c r="AG327" s="54"/>
      <c r="AH327" s="54"/>
    </row>
    <row r="328" spans="17:34" x14ac:dyDescent="0.3">
      <c r="Q328" s="54"/>
      <c r="R328" s="54"/>
      <c r="S328" s="54"/>
      <c r="V328" s="54"/>
      <c r="W328" s="54"/>
      <c r="X328" s="54"/>
      <c r="AA328" s="54"/>
      <c r="AB328" s="54"/>
      <c r="AC328" s="54"/>
      <c r="AF328" s="54"/>
      <c r="AG328" s="54"/>
      <c r="AH328" s="54"/>
    </row>
    <row r="329" spans="17:34" x14ac:dyDescent="0.3">
      <c r="Q329" s="54"/>
      <c r="R329" s="54"/>
      <c r="S329" s="54"/>
      <c r="V329" s="54"/>
      <c r="W329" s="54"/>
      <c r="X329" s="54"/>
      <c r="AA329" s="54"/>
      <c r="AB329" s="54"/>
      <c r="AC329" s="54"/>
      <c r="AF329" s="54"/>
      <c r="AG329" s="54"/>
      <c r="AH329" s="54"/>
    </row>
    <row r="330" spans="17:34" x14ac:dyDescent="0.3">
      <c r="Q330" s="54"/>
      <c r="R330" s="54"/>
      <c r="S330" s="54"/>
      <c r="V330" s="54"/>
      <c r="W330" s="54"/>
      <c r="X330" s="54"/>
      <c r="AA330" s="54"/>
      <c r="AB330" s="54"/>
      <c r="AC330" s="54"/>
      <c r="AF330" s="54"/>
      <c r="AG330" s="54"/>
      <c r="AH330" s="54"/>
    </row>
    <row r="331" spans="17:34" x14ac:dyDescent="0.3">
      <c r="Q331" s="54"/>
      <c r="R331" s="54"/>
      <c r="S331" s="54"/>
      <c r="V331" s="54"/>
      <c r="W331" s="54"/>
      <c r="X331" s="54"/>
      <c r="AA331" s="54"/>
      <c r="AB331" s="54"/>
      <c r="AC331" s="54"/>
      <c r="AF331" s="54"/>
      <c r="AG331" s="54"/>
      <c r="AH331" s="54"/>
    </row>
    <row r="332" spans="17:34" x14ac:dyDescent="0.3">
      <c r="Q332" s="54"/>
      <c r="R332" s="54"/>
      <c r="S332" s="54"/>
      <c r="V332" s="54"/>
      <c r="W332" s="54"/>
      <c r="X332" s="54"/>
      <c r="AA332" s="54"/>
      <c r="AB332" s="54"/>
      <c r="AC332" s="54"/>
      <c r="AF332" s="54"/>
      <c r="AG332" s="54"/>
      <c r="AH332" s="54"/>
    </row>
    <row r="333" spans="17:34" x14ac:dyDescent="0.3">
      <c r="Q333" s="54"/>
      <c r="R333" s="54"/>
      <c r="S333" s="54"/>
      <c r="V333" s="54"/>
      <c r="W333" s="54"/>
      <c r="X333" s="54"/>
      <c r="AA333" s="54"/>
      <c r="AB333" s="54"/>
      <c r="AC333" s="54"/>
      <c r="AF333" s="54"/>
      <c r="AG333" s="54"/>
      <c r="AH333" s="54"/>
    </row>
    <row r="334" spans="17:34" x14ac:dyDescent="0.3">
      <c r="Q334" s="54"/>
      <c r="R334" s="54"/>
      <c r="S334" s="54"/>
      <c r="V334" s="54"/>
      <c r="W334" s="54"/>
      <c r="X334" s="54"/>
      <c r="AA334" s="54"/>
      <c r="AB334" s="54"/>
      <c r="AC334" s="54"/>
      <c r="AF334" s="54"/>
      <c r="AG334" s="54"/>
      <c r="AH334" s="54"/>
    </row>
    <row r="335" spans="17:34" x14ac:dyDescent="0.3">
      <c r="Q335" s="54"/>
      <c r="R335" s="54"/>
      <c r="S335" s="54"/>
      <c r="V335" s="54"/>
      <c r="W335" s="54"/>
      <c r="X335" s="54"/>
      <c r="AA335" s="54"/>
      <c r="AB335" s="54"/>
      <c r="AC335" s="54"/>
      <c r="AF335" s="54"/>
      <c r="AG335" s="54"/>
      <c r="AH335" s="54"/>
    </row>
    <row r="336" spans="17:34" x14ac:dyDescent="0.3">
      <c r="Q336" s="54"/>
      <c r="R336" s="54"/>
      <c r="S336" s="54"/>
      <c r="V336" s="54"/>
      <c r="W336" s="54"/>
      <c r="X336" s="54"/>
      <c r="AA336" s="54"/>
      <c r="AB336" s="54"/>
      <c r="AC336" s="54"/>
      <c r="AF336" s="54"/>
      <c r="AG336" s="54"/>
      <c r="AH336" s="54"/>
    </row>
    <row r="337" spans="17:34" x14ac:dyDescent="0.3">
      <c r="Q337" s="54"/>
      <c r="R337" s="54"/>
      <c r="S337" s="54"/>
      <c r="V337" s="54"/>
      <c r="W337" s="54"/>
      <c r="X337" s="54"/>
      <c r="AA337" s="54"/>
      <c r="AB337" s="54"/>
      <c r="AC337" s="54"/>
      <c r="AF337" s="54"/>
      <c r="AG337" s="54"/>
      <c r="AH337" s="54"/>
    </row>
    <row r="338" spans="17:34" x14ac:dyDescent="0.3">
      <c r="Q338" s="54"/>
      <c r="R338" s="54"/>
      <c r="S338" s="54"/>
      <c r="V338" s="54"/>
      <c r="W338" s="54"/>
      <c r="X338" s="54"/>
      <c r="AA338" s="54"/>
      <c r="AB338" s="54"/>
      <c r="AC338" s="54"/>
      <c r="AF338" s="54"/>
      <c r="AG338" s="54"/>
      <c r="AH338" s="54"/>
    </row>
    <row r="339" spans="17:34" x14ac:dyDescent="0.3">
      <c r="Q339" s="54"/>
      <c r="R339" s="54"/>
      <c r="S339" s="54"/>
      <c r="V339" s="54"/>
      <c r="W339" s="54"/>
      <c r="X339" s="54"/>
      <c r="AA339" s="54"/>
      <c r="AB339" s="54"/>
      <c r="AC339" s="54"/>
      <c r="AF339" s="54"/>
      <c r="AG339" s="54"/>
      <c r="AH339" s="54"/>
    </row>
    <row r="340" spans="17:34" x14ac:dyDescent="0.3">
      <c r="Q340" s="54"/>
      <c r="R340" s="54"/>
      <c r="S340" s="54"/>
      <c r="V340" s="54"/>
      <c r="W340" s="54"/>
      <c r="X340" s="54"/>
      <c r="AA340" s="54"/>
      <c r="AB340" s="54"/>
      <c r="AC340" s="54"/>
      <c r="AF340" s="54"/>
      <c r="AG340" s="54"/>
      <c r="AH340" s="54"/>
    </row>
    <row r="341" spans="17:34" x14ac:dyDescent="0.3">
      <c r="Q341" s="54"/>
      <c r="R341" s="54"/>
      <c r="S341" s="54"/>
      <c r="V341" s="54"/>
      <c r="W341" s="54"/>
      <c r="X341" s="54"/>
      <c r="AA341" s="54"/>
      <c r="AB341" s="54"/>
      <c r="AC341" s="54"/>
      <c r="AF341" s="54"/>
      <c r="AG341" s="54"/>
      <c r="AH341" s="54"/>
    </row>
    <row r="342" spans="17:34" x14ac:dyDescent="0.3">
      <c r="Q342" s="54"/>
      <c r="R342" s="54"/>
      <c r="S342" s="54"/>
      <c r="V342" s="54"/>
      <c r="W342" s="54"/>
      <c r="X342" s="54"/>
      <c r="AA342" s="54"/>
      <c r="AB342" s="54"/>
      <c r="AC342" s="54"/>
      <c r="AF342" s="54"/>
      <c r="AG342" s="54"/>
      <c r="AH342" s="54"/>
    </row>
    <row r="343" spans="17:34" x14ac:dyDescent="0.3">
      <c r="Q343" s="54"/>
      <c r="R343" s="54"/>
      <c r="S343" s="54"/>
      <c r="V343" s="54"/>
      <c r="W343" s="54"/>
      <c r="X343" s="54"/>
      <c r="AA343" s="54"/>
      <c r="AB343" s="54"/>
      <c r="AC343" s="54"/>
      <c r="AF343" s="54"/>
      <c r="AG343" s="54"/>
      <c r="AH343" s="54"/>
    </row>
    <row r="344" spans="17:34" x14ac:dyDescent="0.3">
      <c r="Q344" s="54"/>
      <c r="R344" s="54"/>
      <c r="S344" s="54"/>
      <c r="V344" s="54"/>
      <c r="W344" s="54"/>
      <c r="X344" s="54"/>
      <c r="AA344" s="54"/>
      <c r="AB344" s="54"/>
      <c r="AC344" s="54"/>
      <c r="AF344" s="54"/>
      <c r="AG344" s="54"/>
      <c r="AH344" s="54"/>
    </row>
    <row r="345" spans="17:34" x14ac:dyDescent="0.3">
      <c r="Q345" s="54"/>
      <c r="R345" s="54"/>
      <c r="S345" s="54"/>
      <c r="V345" s="54"/>
      <c r="W345" s="54"/>
      <c r="X345" s="54"/>
      <c r="AA345" s="54"/>
      <c r="AB345" s="54"/>
      <c r="AC345" s="54"/>
      <c r="AF345" s="54"/>
      <c r="AG345" s="54"/>
      <c r="AH345" s="54"/>
    </row>
    <row r="346" spans="17:34" x14ac:dyDescent="0.3">
      <c r="Q346" s="54"/>
      <c r="R346" s="54"/>
      <c r="S346" s="54"/>
      <c r="V346" s="54"/>
      <c r="W346" s="54"/>
      <c r="X346" s="54"/>
      <c r="AA346" s="54"/>
      <c r="AB346" s="54"/>
      <c r="AC346" s="54"/>
      <c r="AF346" s="54"/>
      <c r="AG346" s="54"/>
      <c r="AH346" s="54"/>
    </row>
    <row r="347" spans="17:34" x14ac:dyDescent="0.3">
      <c r="Q347" s="54"/>
      <c r="R347" s="54"/>
      <c r="S347" s="54"/>
      <c r="V347" s="54"/>
      <c r="W347" s="54"/>
      <c r="X347" s="54"/>
      <c r="AA347" s="54"/>
      <c r="AB347" s="54"/>
      <c r="AC347" s="54"/>
      <c r="AF347" s="54"/>
      <c r="AG347" s="54"/>
      <c r="AH347" s="54"/>
    </row>
    <row r="348" spans="17:34" x14ac:dyDescent="0.3">
      <c r="Q348" s="54"/>
      <c r="R348" s="54"/>
      <c r="S348" s="54"/>
      <c r="V348" s="54"/>
      <c r="W348" s="54"/>
      <c r="X348" s="54"/>
      <c r="AA348" s="54"/>
      <c r="AB348" s="54"/>
      <c r="AC348" s="54"/>
      <c r="AF348" s="54"/>
      <c r="AG348" s="54"/>
      <c r="AH348" s="54"/>
    </row>
    <row r="349" spans="17:34" x14ac:dyDescent="0.3">
      <c r="Q349" s="54"/>
      <c r="R349" s="54"/>
      <c r="S349" s="54"/>
      <c r="V349" s="54"/>
      <c r="W349" s="54"/>
      <c r="X349" s="54"/>
      <c r="AA349" s="54"/>
      <c r="AB349" s="54"/>
      <c r="AC349" s="54"/>
      <c r="AF349" s="54"/>
      <c r="AG349" s="54"/>
      <c r="AH349" s="54"/>
    </row>
    <row r="350" spans="17:34" x14ac:dyDescent="0.3">
      <c r="Q350" s="54"/>
      <c r="R350" s="54"/>
      <c r="S350" s="54"/>
      <c r="V350" s="54"/>
      <c r="W350" s="54"/>
      <c r="X350" s="54"/>
      <c r="AA350" s="54"/>
      <c r="AB350" s="54"/>
      <c r="AC350" s="54"/>
      <c r="AF350" s="54"/>
      <c r="AG350" s="54"/>
      <c r="AH350" s="54"/>
    </row>
    <row r="351" spans="17:34" x14ac:dyDescent="0.3">
      <c r="Q351" s="54"/>
      <c r="R351" s="54"/>
      <c r="S351" s="54"/>
      <c r="V351" s="54"/>
      <c r="W351" s="54"/>
      <c r="X351" s="54"/>
      <c r="AA351" s="54"/>
      <c r="AB351" s="54"/>
      <c r="AC351" s="54"/>
      <c r="AF351" s="54"/>
      <c r="AG351" s="54"/>
      <c r="AH351" s="54"/>
    </row>
    <row r="352" spans="17:34" x14ac:dyDescent="0.3">
      <c r="Q352" s="54"/>
      <c r="R352" s="54"/>
      <c r="S352" s="54"/>
      <c r="V352" s="54"/>
      <c r="W352" s="54"/>
      <c r="X352" s="54"/>
      <c r="AA352" s="54"/>
      <c r="AB352" s="54"/>
      <c r="AC352" s="54"/>
      <c r="AF352" s="54"/>
      <c r="AG352" s="54"/>
      <c r="AH352" s="54"/>
    </row>
    <row r="353" spans="17:34" x14ac:dyDescent="0.3">
      <c r="Q353" s="54"/>
      <c r="R353" s="54"/>
      <c r="S353" s="54"/>
      <c r="V353" s="54"/>
      <c r="W353" s="54"/>
      <c r="X353" s="54"/>
      <c r="AA353" s="54"/>
      <c r="AB353" s="54"/>
      <c r="AC353" s="54"/>
      <c r="AF353" s="54"/>
      <c r="AG353" s="54"/>
      <c r="AH353" s="54"/>
    </row>
    <row r="354" spans="17:34" x14ac:dyDescent="0.3">
      <c r="Q354" s="54"/>
      <c r="R354" s="54"/>
      <c r="S354" s="54"/>
      <c r="V354" s="54"/>
      <c r="W354" s="54"/>
      <c r="X354" s="54"/>
      <c r="AA354" s="54"/>
      <c r="AB354" s="54"/>
      <c r="AC354" s="54"/>
      <c r="AF354" s="54"/>
      <c r="AG354" s="54"/>
      <c r="AH354" s="54"/>
    </row>
    <row r="355" spans="17:34" x14ac:dyDescent="0.3">
      <c r="Q355" s="54"/>
      <c r="R355" s="54"/>
      <c r="S355" s="54"/>
      <c r="V355" s="54"/>
      <c r="W355" s="54"/>
      <c r="X355" s="54"/>
      <c r="AA355" s="54"/>
      <c r="AB355" s="54"/>
      <c r="AC355" s="54"/>
      <c r="AF355" s="54"/>
      <c r="AG355" s="54"/>
      <c r="AH355" s="54"/>
    </row>
    <row r="356" spans="17:34" x14ac:dyDescent="0.3">
      <c r="Q356" s="54"/>
      <c r="R356" s="54"/>
      <c r="S356" s="54"/>
      <c r="V356" s="54"/>
      <c r="W356" s="54"/>
      <c r="X356" s="54"/>
      <c r="AA356" s="54"/>
      <c r="AB356" s="54"/>
      <c r="AC356" s="54"/>
      <c r="AF356" s="54"/>
      <c r="AG356" s="54"/>
      <c r="AH356" s="54"/>
    </row>
    <row r="357" spans="17:34" x14ac:dyDescent="0.3">
      <c r="Q357" s="54"/>
      <c r="R357" s="54"/>
      <c r="S357" s="54"/>
      <c r="V357" s="54"/>
      <c r="W357" s="54"/>
      <c r="X357" s="54"/>
      <c r="AA357" s="54"/>
      <c r="AB357" s="54"/>
      <c r="AC357" s="54"/>
      <c r="AF357" s="54"/>
      <c r="AG357" s="54"/>
      <c r="AH357" s="54"/>
    </row>
    <row r="358" spans="17:34" x14ac:dyDescent="0.3">
      <c r="Q358" s="54"/>
      <c r="R358" s="54"/>
      <c r="S358" s="54"/>
      <c r="V358" s="54"/>
      <c r="W358" s="54"/>
      <c r="X358" s="54"/>
      <c r="AA358" s="54"/>
      <c r="AB358" s="54"/>
      <c r="AC358" s="54"/>
      <c r="AF358" s="54"/>
      <c r="AG358" s="54"/>
      <c r="AH358" s="54"/>
    </row>
    <row r="359" spans="17:34" x14ac:dyDescent="0.3">
      <c r="Q359" s="54"/>
      <c r="R359" s="54"/>
      <c r="S359" s="54"/>
      <c r="V359" s="54"/>
      <c r="W359" s="54"/>
      <c r="X359" s="54"/>
      <c r="AA359" s="54"/>
      <c r="AB359" s="54"/>
      <c r="AC359" s="54"/>
      <c r="AF359" s="54"/>
      <c r="AG359" s="54"/>
      <c r="AH359" s="54"/>
    </row>
    <row r="360" spans="17:34" x14ac:dyDescent="0.3">
      <c r="Q360" s="54"/>
      <c r="R360" s="54"/>
      <c r="S360" s="54"/>
      <c r="V360" s="54"/>
      <c r="W360" s="54"/>
      <c r="X360" s="54"/>
      <c r="AA360" s="54"/>
      <c r="AB360" s="54"/>
      <c r="AC360" s="54"/>
      <c r="AF360" s="54"/>
      <c r="AG360" s="54"/>
      <c r="AH360" s="54"/>
    </row>
    <row r="361" spans="17:34" x14ac:dyDescent="0.3">
      <c r="Q361" s="54"/>
      <c r="R361" s="54"/>
      <c r="S361" s="54"/>
      <c r="V361" s="54"/>
      <c r="W361" s="54"/>
      <c r="X361" s="54"/>
      <c r="AA361" s="54"/>
      <c r="AB361" s="54"/>
      <c r="AC361" s="54"/>
      <c r="AF361" s="54"/>
      <c r="AG361" s="54"/>
      <c r="AH361" s="54"/>
    </row>
    <row r="362" spans="17:34" x14ac:dyDescent="0.3">
      <c r="Q362" s="54"/>
      <c r="R362" s="54"/>
      <c r="S362" s="54"/>
      <c r="V362" s="54"/>
      <c r="W362" s="54"/>
      <c r="X362" s="54"/>
      <c r="AA362" s="54"/>
      <c r="AB362" s="54"/>
      <c r="AC362" s="54"/>
      <c r="AF362" s="54"/>
      <c r="AG362" s="54"/>
      <c r="AH362" s="54"/>
    </row>
    <row r="363" spans="17:34" x14ac:dyDescent="0.3">
      <c r="Q363" s="54"/>
      <c r="R363" s="54"/>
      <c r="S363" s="54"/>
      <c r="V363" s="54"/>
      <c r="W363" s="54"/>
      <c r="X363" s="54"/>
      <c r="AA363" s="54"/>
      <c r="AB363" s="54"/>
      <c r="AC363" s="54"/>
      <c r="AF363" s="54"/>
      <c r="AG363" s="54"/>
      <c r="AH363" s="54"/>
    </row>
    <row r="364" spans="17:34" x14ac:dyDescent="0.3">
      <c r="Q364" s="54"/>
      <c r="R364" s="54"/>
      <c r="S364" s="54"/>
      <c r="V364" s="54"/>
      <c r="W364" s="54"/>
      <c r="X364" s="54"/>
      <c r="AA364" s="54"/>
      <c r="AB364" s="54"/>
      <c r="AC364" s="54"/>
      <c r="AF364" s="54"/>
      <c r="AG364" s="54"/>
      <c r="AH364" s="54"/>
    </row>
    <row r="365" spans="17:34" x14ac:dyDescent="0.3">
      <c r="Q365" s="54"/>
      <c r="R365" s="54"/>
      <c r="S365" s="54"/>
      <c r="V365" s="54"/>
      <c r="W365" s="54"/>
      <c r="X365" s="54"/>
      <c r="AA365" s="54"/>
      <c r="AB365" s="54"/>
      <c r="AC365" s="54"/>
      <c r="AF365" s="54"/>
      <c r="AG365" s="54"/>
      <c r="AH365" s="54"/>
    </row>
    <row r="366" spans="17:34" x14ac:dyDescent="0.3">
      <c r="Q366" s="54"/>
      <c r="R366" s="54"/>
      <c r="S366" s="54"/>
      <c r="V366" s="54"/>
      <c r="W366" s="54"/>
      <c r="X366" s="54"/>
      <c r="AA366" s="54"/>
      <c r="AB366" s="54"/>
      <c r="AC366" s="54"/>
      <c r="AF366" s="54"/>
      <c r="AG366" s="54"/>
      <c r="AH366" s="54"/>
    </row>
    <row r="367" spans="17:34" x14ac:dyDescent="0.3">
      <c r="Q367" s="54"/>
      <c r="R367" s="54"/>
      <c r="S367" s="54"/>
      <c r="V367" s="54"/>
      <c r="W367" s="54"/>
      <c r="X367" s="54"/>
      <c r="AA367" s="54"/>
      <c r="AB367" s="54"/>
      <c r="AC367" s="54"/>
      <c r="AF367" s="54"/>
      <c r="AG367" s="54"/>
      <c r="AH367" s="54"/>
    </row>
    <row r="368" spans="17:34" x14ac:dyDescent="0.3">
      <c r="Q368" s="54"/>
      <c r="R368" s="54"/>
      <c r="S368" s="54"/>
      <c r="V368" s="54"/>
      <c r="W368" s="54"/>
      <c r="X368" s="54"/>
      <c r="AA368" s="54"/>
      <c r="AB368" s="54"/>
      <c r="AC368" s="54"/>
      <c r="AF368" s="54"/>
      <c r="AG368" s="54"/>
      <c r="AH368" s="54"/>
    </row>
    <row r="369" spans="17:34" x14ac:dyDescent="0.3">
      <c r="Q369" s="54"/>
      <c r="R369" s="54"/>
      <c r="S369" s="54"/>
      <c r="V369" s="54"/>
      <c r="W369" s="54"/>
      <c r="X369" s="54"/>
      <c r="AA369" s="54"/>
      <c r="AB369" s="54"/>
      <c r="AC369" s="54"/>
      <c r="AF369" s="54"/>
      <c r="AG369" s="54"/>
      <c r="AH369" s="54"/>
    </row>
    <row r="370" spans="17:34" x14ac:dyDescent="0.3">
      <c r="Q370" s="54"/>
      <c r="R370" s="54"/>
      <c r="S370" s="54"/>
      <c r="V370" s="54"/>
      <c r="W370" s="54"/>
      <c r="X370" s="54"/>
      <c r="AA370" s="54"/>
      <c r="AB370" s="54"/>
      <c r="AC370" s="54"/>
      <c r="AF370" s="54"/>
      <c r="AG370" s="54"/>
      <c r="AH370" s="54"/>
    </row>
    <row r="371" spans="17:34" x14ac:dyDescent="0.3">
      <c r="Q371" s="54"/>
      <c r="R371" s="54"/>
      <c r="S371" s="54"/>
      <c r="V371" s="54"/>
      <c r="W371" s="54"/>
      <c r="X371" s="54"/>
      <c r="AA371" s="54"/>
      <c r="AB371" s="54"/>
      <c r="AC371" s="54"/>
      <c r="AF371" s="54"/>
      <c r="AG371" s="54"/>
      <c r="AH371" s="54"/>
    </row>
    <row r="372" spans="17:34" x14ac:dyDescent="0.3">
      <c r="Q372" s="54"/>
      <c r="R372" s="54"/>
      <c r="S372" s="54"/>
      <c r="V372" s="54"/>
      <c r="W372" s="54"/>
      <c r="X372" s="54"/>
      <c r="AA372" s="54"/>
      <c r="AB372" s="54"/>
      <c r="AC372" s="54"/>
      <c r="AF372" s="54"/>
      <c r="AG372" s="54"/>
      <c r="AH372" s="54"/>
    </row>
    <row r="373" spans="17:34" x14ac:dyDescent="0.3">
      <c r="Q373" s="54"/>
      <c r="R373" s="54"/>
      <c r="S373" s="54"/>
      <c r="V373" s="54"/>
      <c r="W373" s="54"/>
      <c r="X373" s="54"/>
      <c r="AA373" s="54"/>
      <c r="AB373" s="54"/>
      <c r="AC373" s="54"/>
      <c r="AF373" s="54"/>
      <c r="AG373" s="54"/>
      <c r="AH373" s="54"/>
    </row>
    <row r="374" spans="17:34" x14ac:dyDescent="0.3">
      <c r="Q374" s="54"/>
      <c r="R374" s="54"/>
      <c r="S374" s="54"/>
      <c r="V374" s="54"/>
      <c r="W374" s="54"/>
      <c r="X374" s="54"/>
      <c r="AA374" s="54"/>
      <c r="AB374" s="54"/>
      <c r="AC374" s="54"/>
      <c r="AF374" s="54"/>
      <c r="AG374" s="54"/>
      <c r="AH374" s="54"/>
    </row>
    <row r="375" spans="17:34" x14ac:dyDescent="0.3">
      <c r="Q375" s="54"/>
      <c r="R375" s="54"/>
      <c r="S375" s="54"/>
      <c r="V375" s="54"/>
      <c r="W375" s="54"/>
      <c r="X375" s="54"/>
      <c r="AA375" s="54"/>
      <c r="AB375" s="54"/>
      <c r="AC375" s="54"/>
      <c r="AF375" s="54"/>
      <c r="AG375" s="54"/>
      <c r="AH375" s="54"/>
    </row>
    <row r="376" spans="17:34" x14ac:dyDescent="0.3">
      <c r="Q376" s="54"/>
      <c r="R376" s="54"/>
      <c r="S376" s="54"/>
      <c r="V376" s="54"/>
      <c r="W376" s="54"/>
      <c r="X376" s="54"/>
      <c r="AA376" s="54"/>
      <c r="AB376" s="54"/>
      <c r="AC376" s="54"/>
      <c r="AF376" s="54"/>
      <c r="AG376" s="54"/>
      <c r="AH376" s="54"/>
    </row>
    <row r="377" spans="17:34" x14ac:dyDescent="0.3">
      <c r="Q377" s="54"/>
      <c r="R377" s="54"/>
      <c r="S377" s="54"/>
      <c r="V377" s="54"/>
      <c r="W377" s="54"/>
      <c r="X377" s="54"/>
      <c r="AA377" s="54"/>
      <c r="AB377" s="54"/>
      <c r="AC377" s="54"/>
      <c r="AF377" s="54"/>
      <c r="AG377" s="54"/>
      <c r="AH377" s="54"/>
    </row>
    <row r="378" spans="17:34" x14ac:dyDescent="0.3">
      <c r="Q378" s="54"/>
      <c r="R378" s="54"/>
      <c r="S378" s="54"/>
      <c r="V378" s="54"/>
      <c r="W378" s="54"/>
      <c r="X378" s="54"/>
      <c r="AA378" s="54"/>
      <c r="AB378" s="54"/>
      <c r="AC378" s="54"/>
      <c r="AF378" s="54"/>
      <c r="AG378" s="54"/>
      <c r="AH378" s="54"/>
    </row>
    <row r="379" spans="17:34" x14ac:dyDescent="0.3">
      <c r="Q379" s="54"/>
      <c r="R379" s="54"/>
      <c r="S379" s="54"/>
      <c r="V379" s="54"/>
      <c r="W379" s="54"/>
      <c r="X379" s="54"/>
      <c r="AA379" s="54"/>
      <c r="AB379" s="54"/>
      <c r="AC379" s="54"/>
      <c r="AF379" s="54"/>
      <c r="AG379" s="54"/>
      <c r="AH379" s="54"/>
    </row>
    <row r="380" spans="17:34" x14ac:dyDescent="0.3">
      <c r="Q380" s="54"/>
      <c r="R380" s="54"/>
      <c r="S380" s="54"/>
      <c r="V380" s="54"/>
      <c r="W380" s="54"/>
      <c r="X380" s="54"/>
      <c r="AA380" s="54"/>
      <c r="AB380" s="54"/>
      <c r="AC380" s="54"/>
      <c r="AF380" s="54"/>
      <c r="AG380" s="54"/>
      <c r="AH380" s="54"/>
    </row>
    <row r="381" spans="17:34" x14ac:dyDescent="0.3">
      <c r="Q381" s="54"/>
      <c r="R381" s="54"/>
      <c r="S381" s="54"/>
      <c r="V381" s="54"/>
      <c r="W381" s="54"/>
      <c r="X381" s="54"/>
      <c r="AA381" s="54"/>
      <c r="AB381" s="54"/>
      <c r="AC381" s="54"/>
      <c r="AF381" s="54"/>
      <c r="AG381" s="54"/>
      <c r="AH381" s="54"/>
    </row>
    <row r="382" spans="17:34" x14ac:dyDescent="0.3">
      <c r="Q382" s="54"/>
      <c r="R382" s="54"/>
      <c r="S382" s="54"/>
      <c r="V382" s="54"/>
      <c r="W382" s="54"/>
      <c r="X382" s="54"/>
      <c r="AA382" s="54"/>
      <c r="AB382" s="54"/>
      <c r="AC382" s="54"/>
      <c r="AF382" s="54"/>
      <c r="AG382" s="54"/>
      <c r="AH382" s="54"/>
    </row>
    <row r="383" spans="17:34" x14ac:dyDescent="0.3">
      <c r="Q383" s="54"/>
      <c r="R383" s="54"/>
      <c r="S383" s="54"/>
      <c r="V383" s="54"/>
      <c r="W383" s="54"/>
      <c r="X383" s="54"/>
      <c r="AA383" s="54"/>
      <c r="AB383" s="54"/>
      <c r="AC383" s="54"/>
      <c r="AF383" s="54"/>
      <c r="AG383" s="54"/>
      <c r="AH383" s="54"/>
    </row>
    <row r="384" spans="17:34" x14ac:dyDescent="0.3">
      <c r="Q384" s="54"/>
      <c r="R384" s="54"/>
      <c r="S384" s="54"/>
      <c r="V384" s="54"/>
      <c r="W384" s="54"/>
      <c r="X384" s="54"/>
      <c r="AA384" s="54"/>
      <c r="AB384" s="54"/>
      <c r="AC384" s="54"/>
      <c r="AF384" s="54"/>
      <c r="AG384" s="54"/>
      <c r="AH384" s="54"/>
    </row>
    <row r="385" spans="17:34" x14ac:dyDescent="0.3">
      <c r="Q385" s="54"/>
      <c r="R385" s="54"/>
      <c r="S385" s="54"/>
      <c r="V385" s="54"/>
      <c r="W385" s="54"/>
      <c r="X385" s="54"/>
      <c r="AA385" s="54"/>
      <c r="AB385" s="54"/>
      <c r="AC385" s="54"/>
      <c r="AF385" s="54"/>
      <c r="AG385" s="54"/>
      <c r="AH385" s="54"/>
    </row>
    <row r="386" spans="17:34" x14ac:dyDescent="0.3">
      <c r="Q386" s="54"/>
      <c r="R386" s="54"/>
      <c r="S386" s="54"/>
      <c r="V386" s="54"/>
      <c r="W386" s="54"/>
      <c r="X386" s="54"/>
      <c r="AA386" s="54"/>
      <c r="AB386" s="54"/>
      <c r="AC386" s="54"/>
      <c r="AF386" s="54"/>
      <c r="AG386" s="54"/>
      <c r="AH386" s="54"/>
    </row>
    <row r="387" spans="17:34" x14ac:dyDescent="0.3">
      <c r="Q387" s="54"/>
      <c r="R387" s="54"/>
      <c r="S387" s="54"/>
      <c r="V387" s="54"/>
      <c r="W387" s="54"/>
      <c r="X387" s="54"/>
      <c r="AA387" s="54"/>
      <c r="AB387" s="54"/>
      <c r="AC387" s="54"/>
      <c r="AF387" s="54"/>
      <c r="AG387" s="54"/>
      <c r="AH387" s="54"/>
    </row>
    <row r="388" spans="17:34" x14ac:dyDescent="0.3">
      <c r="Q388" s="54"/>
      <c r="R388" s="54"/>
      <c r="S388" s="54"/>
      <c r="V388" s="54"/>
      <c r="W388" s="54"/>
      <c r="X388" s="54"/>
      <c r="AA388" s="54"/>
      <c r="AB388" s="54"/>
      <c r="AC388" s="54"/>
      <c r="AF388" s="54"/>
      <c r="AG388" s="54"/>
      <c r="AH388" s="54"/>
    </row>
    <row r="389" spans="17:34" x14ac:dyDescent="0.3">
      <c r="Q389" s="54"/>
      <c r="R389" s="54"/>
      <c r="S389" s="54"/>
      <c r="V389" s="54"/>
      <c r="W389" s="54"/>
      <c r="X389" s="54"/>
      <c r="AA389" s="54"/>
      <c r="AB389" s="54"/>
      <c r="AC389" s="54"/>
      <c r="AF389" s="54"/>
      <c r="AG389" s="54"/>
      <c r="AH389" s="54"/>
    </row>
    <row r="390" spans="17:34" x14ac:dyDescent="0.3">
      <c r="Q390" s="54"/>
      <c r="R390" s="54"/>
      <c r="S390" s="54"/>
      <c r="V390" s="54"/>
      <c r="W390" s="54"/>
      <c r="X390" s="54"/>
      <c r="AA390" s="54"/>
      <c r="AB390" s="54"/>
      <c r="AC390" s="54"/>
      <c r="AF390" s="54"/>
      <c r="AG390" s="54"/>
      <c r="AH390" s="54"/>
    </row>
    <row r="391" spans="17:34" x14ac:dyDescent="0.3">
      <c r="Q391" s="54"/>
      <c r="R391" s="54"/>
      <c r="S391" s="54"/>
      <c r="V391" s="54"/>
      <c r="W391" s="54"/>
      <c r="X391" s="54"/>
      <c r="AA391" s="54"/>
      <c r="AB391" s="54"/>
      <c r="AC391" s="54"/>
      <c r="AF391" s="54"/>
      <c r="AG391" s="54"/>
      <c r="AH391" s="54"/>
    </row>
    <row r="392" spans="17:34" x14ac:dyDescent="0.3">
      <c r="Q392" s="54"/>
      <c r="R392" s="54"/>
      <c r="S392" s="54"/>
      <c r="V392" s="54"/>
      <c r="W392" s="54"/>
      <c r="X392" s="54"/>
      <c r="AA392" s="54"/>
      <c r="AB392" s="54"/>
      <c r="AC392" s="54"/>
      <c r="AF392" s="54"/>
      <c r="AG392" s="54"/>
      <c r="AH392" s="54"/>
    </row>
    <row r="393" spans="17:34" x14ac:dyDescent="0.3">
      <c r="Q393" s="54"/>
      <c r="R393" s="54"/>
      <c r="S393" s="54"/>
      <c r="V393" s="54"/>
      <c r="W393" s="54"/>
      <c r="X393" s="54"/>
      <c r="AA393" s="54"/>
      <c r="AB393" s="54"/>
      <c r="AC393" s="54"/>
      <c r="AF393" s="54"/>
      <c r="AG393" s="54"/>
      <c r="AH393" s="54"/>
    </row>
    <row r="394" spans="17:34" x14ac:dyDescent="0.3">
      <c r="Q394" s="54"/>
      <c r="R394" s="54"/>
      <c r="S394" s="54"/>
      <c r="V394" s="54"/>
      <c r="W394" s="54"/>
      <c r="X394" s="54"/>
      <c r="AA394" s="54"/>
      <c r="AB394" s="54"/>
      <c r="AC394" s="54"/>
      <c r="AF394" s="54"/>
      <c r="AG394" s="54"/>
      <c r="AH394" s="54"/>
    </row>
    <row r="395" spans="17:34" x14ac:dyDescent="0.3">
      <c r="Q395" s="54"/>
      <c r="R395" s="54"/>
      <c r="S395" s="54"/>
      <c r="V395" s="54"/>
      <c r="W395" s="54"/>
      <c r="X395" s="54"/>
      <c r="AA395" s="54"/>
      <c r="AB395" s="54"/>
      <c r="AC395" s="54"/>
      <c r="AF395" s="54"/>
      <c r="AG395" s="54"/>
      <c r="AH395" s="54"/>
    </row>
    <row r="396" spans="17:34" x14ac:dyDescent="0.3">
      <c r="Q396" s="54"/>
      <c r="R396" s="54"/>
      <c r="S396" s="54"/>
      <c r="V396" s="54"/>
      <c r="W396" s="54"/>
      <c r="X396" s="54"/>
      <c r="AA396" s="54"/>
      <c r="AB396" s="54"/>
      <c r="AC396" s="54"/>
      <c r="AF396" s="54"/>
      <c r="AG396" s="54"/>
      <c r="AH396" s="54"/>
    </row>
    <row r="397" spans="17:34" x14ac:dyDescent="0.3">
      <c r="Q397" s="54"/>
      <c r="R397" s="54"/>
      <c r="S397" s="54"/>
      <c r="V397" s="54"/>
      <c r="W397" s="54"/>
      <c r="X397" s="54"/>
      <c r="AA397" s="54"/>
      <c r="AB397" s="54"/>
      <c r="AC397" s="54"/>
      <c r="AF397" s="54"/>
      <c r="AG397" s="54"/>
      <c r="AH397" s="54"/>
    </row>
    <row r="398" spans="17:34" x14ac:dyDescent="0.3">
      <c r="Q398" s="54"/>
      <c r="R398" s="54"/>
      <c r="S398" s="54"/>
      <c r="V398" s="54"/>
      <c r="W398" s="54"/>
      <c r="X398" s="54"/>
      <c r="AA398" s="54"/>
      <c r="AB398" s="54"/>
      <c r="AC398" s="54"/>
      <c r="AF398" s="54"/>
      <c r="AG398" s="54"/>
      <c r="AH398" s="54"/>
    </row>
    <row r="399" spans="17:34" x14ac:dyDescent="0.3">
      <c r="Q399" s="54"/>
      <c r="R399" s="54"/>
      <c r="S399" s="54"/>
      <c r="V399" s="54"/>
      <c r="W399" s="54"/>
      <c r="X399" s="54"/>
      <c r="AA399" s="54"/>
      <c r="AB399" s="54"/>
      <c r="AC399" s="54"/>
      <c r="AF399" s="54"/>
      <c r="AG399" s="54"/>
      <c r="AH399" s="54"/>
    </row>
    <row r="400" spans="17:34" x14ac:dyDescent="0.3">
      <c r="Q400" s="54"/>
      <c r="R400" s="54"/>
      <c r="S400" s="54"/>
      <c r="V400" s="54"/>
      <c r="W400" s="54"/>
      <c r="X400" s="54"/>
      <c r="AA400" s="54"/>
      <c r="AB400" s="54"/>
      <c r="AC400" s="54"/>
      <c r="AF400" s="54"/>
      <c r="AG400" s="54"/>
      <c r="AH400" s="54"/>
    </row>
    <row r="401" spans="17:34" x14ac:dyDescent="0.3">
      <c r="Q401" s="54"/>
      <c r="R401" s="54"/>
      <c r="S401" s="54"/>
      <c r="V401" s="54"/>
      <c r="W401" s="54"/>
      <c r="X401" s="54"/>
      <c r="AA401" s="54"/>
      <c r="AB401" s="54"/>
      <c r="AC401" s="54"/>
      <c r="AF401" s="54"/>
      <c r="AG401" s="54"/>
      <c r="AH401" s="54"/>
    </row>
    <row r="402" spans="17:34" x14ac:dyDescent="0.3">
      <c r="Q402" s="54"/>
      <c r="R402" s="54"/>
      <c r="S402" s="54"/>
      <c r="V402" s="54"/>
      <c r="W402" s="54"/>
      <c r="X402" s="54"/>
      <c r="AA402" s="54"/>
      <c r="AB402" s="54"/>
      <c r="AC402" s="54"/>
      <c r="AF402" s="54"/>
      <c r="AG402" s="54"/>
      <c r="AH402" s="54"/>
    </row>
    <row r="403" spans="17:34" x14ac:dyDescent="0.3">
      <c r="Q403" s="54"/>
      <c r="R403" s="54"/>
      <c r="S403" s="54"/>
      <c r="V403" s="54"/>
      <c r="W403" s="54"/>
      <c r="X403" s="54"/>
      <c r="AA403" s="54"/>
      <c r="AB403" s="54"/>
      <c r="AC403" s="54"/>
      <c r="AF403" s="54"/>
      <c r="AG403" s="54"/>
      <c r="AH403" s="54"/>
    </row>
    <row r="404" spans="17:34" x14ac:dyDescent="0.3">
      <c r="Q404" s="54"/>
      <c r="R404" s="54"/>
      <c r="S404" s="54"/>
      <c r="V404" s="54"/>
      <c r="W404" s="54"/>
      <c r="X404" s="54"/>
      <c r="AA404" s="54"/>
      <c r="AB404" s="54"/>
      <c r="AC404" s="54"/>
      <c r="AF404" s="54"/>
      <c r="AG404" s="54"/>
      <c r="AH404" s="54"/>
    </row>
    <row r="405" spans="17:34" x14ac:dyDescent="0.3">
      <c r="Q405" s="54"/>
      <c r="R405" s="54"/>
      <c r="S405" s="54"/>
      <c r="V405" s="54"/>
      <c r="W405" s="54"/>
      <c r="X405" s="54"/>
      <c r="AA405" s="54"/>
      <c r="AB405" s="54"/>
      <c r="AC405" s="54"/>
      <c r="AF405" s="54"/>
      <c r="AG405" s="54"/>
      <c r="AH405" s="54"/>
    </row>
    <row r="406" spans="17:34" x14ac:dyDescent="0.3">
      <c r="Q406" s="54"/>
      <c r="R406" s="54"/>
      <c r="S406" s="54"/>
      <c r="V406" s="54"/>
      <c r="W406" s="54"/>
      <c r="X406" s="54"/>
      <c r="AA406" s="54"/>
      <c r="AB406" s="54"/>
      <c r="AC406" s="54"/>
      <c r="AF406" s="54"/>
      <c r="AG406" s="54"/>
      <c r="AH406" s="54"/>
    </row>
    <row r="407" spans="17:34" x14ac:dyDescent="0.3">
      <c r="Q407" s="54"/>
      <c r="R407" s="54"/>
      <c r="S407" s="54"/>
      <c r="V407" s="54"/>
      <c r="W407" s="54"/>
      <c r="X407" s="54"/>
      <c r="AA407" s="54"/>
      <c r="AB407" s="54"/>
      <c r="AC407" s="54"/>
      <c r="AF407" s="54"/>
      <c r="AG407" s="54"/>
      <c r="AH407" s="54"/>
    </row>
    <row r="408" spans="17:34" x14ac:dyDescent="0.3">
      <c r="Q408" s="54"/>
      <c r="R408" s="54"/>
      <c r="S408" s="54"/>
      <c r="V408" s="54"/>
      <c r="W408" s="54"/>
      <c r="X408" s="54"/>
      <c r="AA408" s="54"/>
      <c r="AB408" s="54"/>
      <c r="AC408" s="54"/>
      <c r="AF408" s="54"/>
      <c r="AG408" s="54"/>
      <c r="AH408" s="54"/>
    </row>
    <row r="409" spans="17:34" x14ac:dyDescent="0.3">
      <c r="Q409" s="54"/>
      <c r="R409" s="54"/>
      <c r="S409" s="54"/>
      <c r="V409" s="54"/>
      <c r="W409" s="54"/>
      <c r="X409" s="54"/>
      <c r="AA409" s="54"/>
      <c r="AB409" s="54"/>
      <c r="AC409" s="54"/>
      <c r="AF409" s="54"/>
      <c r="AG409" s="54"/>
      <c r="AH409" s="54"/>
    </row>
    <row r="410" spans="17:34" x14ac:dyDescent="0.3">
      <c r="Q410" s="54"/>
      <c r="R410" s="54"/>
      <c r="S410" s="54"/>
      <c r="V410" s="54"/>
      <c r="W410" s="54"/>
      <c r="X410" s="54"/>
      <c r="AA410" s="54"/>
      <c r="AB410" s="54"/>
      <c r="AC410" s="54"/>
      <c r="AF410" s="54"/>
      <c r="AG410" s="54"/>
      <c r="AH410" s="54"/>
    </row>
    <row r="411" spans="17:34" x14ac:dyDescent="0.3">
      <c r="Q411" s="54"/>
      <c r="R411" s="54"/>
      <c r="S411" s="54"/>
      <c r="V411" s="54"/>
      <c r="W411" s="54"/>
      <c r="X411" s="54"/>
      <c r="AA411" s="54"/>
      <c r="AB411" s="54"/>
      <c r="AC411" s="54"/>
      <c r="AF411" s="54"/>
      <c r="AG411" s="54"/>
      <c r="AH411" s="54"/>
    </row>
    <row r="412" spans="17:34" x14ac:dyDescent="0.3">
      <c r="Q412" s="54"/>
      <c r="R412" s="54"/>
      <c r="S412" s="54"/>
      <c r="V412" s="54"/>
      <c r="W412" s="54"/>
      <c r="X412" s="54"/>
      <c r="AA412" s="54"/>
      <c r="AB412" s="54"/>
      <c r="AC412" s="54"/>
      <c r="AF412" s="54"/>
      <c r="AG412" s="54"/>
      <c r="AH412" s="54"/>
    </row>
    <row r="413" spans="17:34" x14ac:dyDescent="0.3">
      <c r="Q413" s="54"/>
      <c r="R413" s="54"/>
      <c r="S413" s="54"/>
      <c r="V413" s="54"/>
      <c r="W413" s="54"/>
      <c r="X413" s="54"/>
      <c r="AA413" s="54"/>
      <c r="AB413" s="54"/>
      <c r="AC413" s="54"/>
      <c r="AF413" s="54"/>
      <c r="AG413" s="54"/>
      <c r="AH413" s="54"/>
    </row>
    <row r="414" spans="17:34" x14ac:dyDescent="0.3">
      <c r="Q414" s="54"/>
      <c r="R414" s="54"/>
      <c r="S414" s="54"/>
      <c r="V414" s="54"/>
      <c r="W414" s="54"/>
      <c r="X414" s="54"/>
      <c r="AA414" s="54"/>
      <c r="AB414" s="54"/>
      <c r="AC414" s="54"/>
      <c r="AF414" s="54"/>
      <c r="AG414" s="54"/>
      <c r="AH414" s="54"/>
    </row>
    <row r="415" spans="17:34" x14ac:dyDescent="0.3">
      <c r="Q415" s="54"/>
      <c r="R415" s="54"/>
      <c r="S415" s="54"/>
      <c r="V415" s="54"/>
      <c r="W415" s="54"/>
      <c r="X415" s="54"/>
      <c r="AA415" s="54"/>
      <c r="AB415" s="54"/>
      <c r="AC415" s="54"/>
      <c r="AF415" s="54"/>
      <c r="AG415" s="54"/>
      <c r="AH415" s="54"/>
    </row>
    <row r="416" spans="17:34" x14ac:dyDescent="0.3">
      <c r="Q416" s="54"/>
      <c r="R416" s="54"/>
      <c r="S416" s="54"/>
      <c r="V416" s="54"/>
      <c r="W416" s="54"/>
      <c r="X416" s="54"/>
      <c r="AA416" s="54"/>
      <c r="AB416" s="54"/>
      <c r="AC416" s="54"/>
      <c r="AF416" s="54"/>
      <c r="AG416" s="54"/>
      <c r="AH416" s="54"/>
    </row>
    <row r="417" spans="17:34" x14ac:dyDescent="0.3">
      <c r="Q417" s="54"/>
      <c r="R417" s="54"/>
      <c r="S417" s="54"/>
      <c r="V417" s="54"/>
      <c r="W417" s="54"/>
      <c r="X417" s="54"/>
      <c r="AA417" s="54"/>
      <c r="AB417" s="54"/>
      <c r="AC417" s="54"/>
      <c r="AF417" s="54"/>
      <c r="AG417" s="54"/>
      <c r="AH417" s="54"/>
    </row>
    <row r="418" spans="17:34" x14ac:dyDescent="0.3">
      <c r="Q418" s="54"/>
      <c r="R418" s="54"/>
      <c r="S418" s="54"/>
      <c r="V418" s="54"/>
      <c r="W418" s="54"/>
      <c r="X418" s="54"/>
      <c r="AA418" s="54"/>
      <c r="AB418" s="54"/>
      <c r="AC418" s="54"/>
      <c r="AF418" s="54"/>
      <c r="AG418" s="54"/>
      <c r="AH418" s="54"/>
    </row>
    <row r="419" spans="17:34" x14ac:dyDescent="0.3">
      <c r="Q419" s="54"/>
      <c r="R419" s="54"/>
      <c r="S419" s="54"/>
      <c r="V419" s="54"/>
      <c r="W419" s="54"/>
      <c r="X419" s="54"/>
      <c r="AA419" s="54"/>
      <c r="AB419" s="54"/>
      <c r="AC419" s="54"/>
      <c r="AF419" s="54"/>
      <c r="AG419" s="54"/>
      <c r="AH419" s="54"/>
    </row>
    <row r="420" spans="17:34" x14ac:dyDescent="0.3">
      <c r="Q420" s="54"/>
      <c r="R420" s="54"/>
      <c r="S420" s="54"/>
      <c r="V420" s="54"/>
      <c r="W420" s="54"/>
      <c r="X420" s="54"/>
      <c r="AA420" s="54"/>
      <c r="AB420" s="54"/>
      <c r="AC420" s="54"/>
      <c r="AF420" s="54"/>
      <c r="AG420" s="54"/>
      <c r="AH420" s="54"/>
    </row>
    <row r="421" spans="17:34" x14ac:dyDescent="0.3">
      <c r="Q421" s="54"/>
      <c r="R421" s="54"/>
      <c r="S421" s="54"/>
      <c r="V421" s="54"/>
      <c r="W421" s="54"/>
      <c r="X421" s="54"/>
      <c r="AA421" s="54"/>
      <c r="AB421" s="54"/>
      <c r="AC421" s="54"/>
      <c r="AF421" s="54"/>
      <c r="AG421" s="54"/>
      <c r="AH421" s="54"/>
    </row>
    <row r="422" spans="17:34" x14ac:dyDescent="0.3">
      <c r="Q422" s="54"/>
      <c r="R422" s="54"/>
      <c r="S422" s="54"/>
      <c r="V422" s="54"/>
      <c r="W422" s="54"/>
      <c r="X422" s="54"/>
      <c r="AA422" s="54"/>
      <c r="AB422" s="54"/>
      <c r="AC422" s="54"/>
      <c r="AF422" s="54"/>
      <c r="AG422" s="54"/>
      <c r="AH422" s="54"/>
    </row>
    <row r="423" spans="17:34" x14ac:dyDescent="0.3">
      <c r="Q423" s="54"/>
      <c r="R423" s="54"/>
      <c r="S423" s="54"/>
      <c r="V423" s="54"/>
      <c r="W423" s="54"/>
      <c r="X423" s="54"/>
      <c r="AA423" s="54"/>
      <c r="AB423" s="54"/>
      <c r="AC423" s="54"/>
      <c r="AF423" s="54"/>
      <c r="AG423" s="54"/>
      <c r="AH423" s="54"/>
    </row>
    <row r="424" spans="17:34" x14ac:dyDescent="0.3">
      <c r="Q424" s="54"/>
      <c r="R424" s="54"/>
      <c r="S424" s="54"/>
      <c r="V424" s="54"/>
      <c r="W424" s="54"/>
      <c r="X424" s="54"/>
      <c r="AA424" s="54"/>
      <c r="AB424" s="54"/>
      <c r="AC424" s="54"/>
      <c r="AF424" s="54"/>
      <c r="AG424" s="54"/>
      <c r="AH424" s="54"/>
    </row>
    <row r="425" spans="17:34" x14ac:dyDescent="0.3">
      <c r="Q425" s="54"/>
      <c r="R425" s="54"/>
      <c r="S425" s="54"/>
      <c r="V425" s="54"/>
      <c r="W425" s="54"/>
      <c r="X425" s="54"/>
      <c r="AA425" s="54"/>
      <c r="AB425" s="54"/>
      <c r="AC425" s="54"/>
      <c r="AF425" s="54"/>
      <c r="AG425" s="54"/>
      <c r="AH425" s="54"/>
    </row>
    <row r="426" spans="17:34" x14ac:dyDescent="0.3">
      <c r="Q426" s="54"/>
      <c r="R426" s="54"/>
      <c r="S426" s="54"/>
      <c r="V426" s="54"/>
      <c r="W426" s="54"/>
      <c r="X426" s="54"/>
      <c r="AA426" s="54"/>
      <c r="AB426" s="54"/>
      <c r="AC426" s="54"/>
      <c r="AF426" s="54"/>
      <c r="AG426" s="54"/>
      <c r="AH426" s="54"/>
    </row>
    <row r="427" spans="17:34" x14ac:dyDescent="0.3">
      <c r="Q427" s="54"/>
      <c r="R427" s="54"/>
      <c r="S427" s="54"/>
      <c r="V427" s="54"/>
      <c r="W427" s="54"/>
      <c r="X427" s="54"/>
      <c r="AA427" s="54"/>
      <c r="AB427" s="54"/>
      <c r="AC427" s="54"/>
      <c r="AF427" s="54"/>
      <c r="AG427" s="54"/>
      <c r="AH427" s="54"/>
    </row>
    <row r="428" spans="17:34" x14ac:dyDescent="0.3">
      <c r="Q428" s="54"/>
      <c r="R428" s="54"/>
      <c r="S428" s="54"/>
      <c r="V428" s="54"/>
      <c r="W428" s="54"/>
      <c r="X428" s="54"/>
      <c r="AA428" s="54"/>
      <c r="AB428" s="54"/>
      <c r="AC428" s="54"/>
      <c r="AF428" s="54"/>
      <c r="AG428" s="54"/>
      <c r="AH428" s="54"/>
    </row>
    <row r="429" spans="17:34" x14ac:dyDescent="0.3">
      <c r="Q429" s="54"/>
      <c r="R429" s="54"/>
      <c r="S429" s="54"/>
      <c r="V429" s="54"/>
      <c r="W429" s="54"/>
      <c r="X429" s="54"/>
      <c r="AA429" s="54"/>
      <c r="AB429" s="54"/>
      <c r="AC429" s="54"/>
      <c r="AF429" s="54"/>
      <c r="AG429" s="54"/>
      <c r="AH429" s="54"/>
    </row>
    <row r="430" spans="17:34" x14ac:dyDescent="0.3">
      <c r="Q430" s="54"/>
      <c r="R430" s="54"/>
      <c r="S430" s="54"/>
      <c r="V430" s="54"/>
      <c r="W430" s="54"/>
      <c r="X430" s="54"/>
      <c r="AA430" s="54"/>
      <c r="AB430" s="54"/>
      <c r="AC430" s="54"/>
      <c r="AF430" s="54"/>
      <c r="AG430" s="54"/>
      <c r="AH430" s="54"/>
    </row>
    <row r="431" spans="17:34" x14ac:dyDescent="0.3">
      <c r="Q431" s="54"/>
      <c r="R431" s="54"/>
      <c r="S431" s="54"/>
      <c r="V431" s="54"/>
      <c r="W431" s="54"/>
      <c r="X431" s="54"/>
      <c r="AA431" s="54"/>
      <c r="AB431" s="54"/>
      <c r="AC431" s="54"/>
      <c r="AF431" s="54"/>
      <c r="AG431" s="54"/>
      <c r="AH431" s="54"/>
    </row>
    <row r="432" spans="17:34" x14ac:dyDescent="0.3">
      <c r="Q432" s="54"/>
      <c r="R432" s="54"/>
      <c r="S432" s="54"/>
      <c r="V432" s="54"/>
      <c r="W432" s="54"/>
      <c r="X432" s="54"/>
      <c r="AA432" s="54"/>
      <c r="AB432" s="54"/>
      <c r="AC432" s="54"/>
      <c r="AF432" s="54"/>
      <c r="AG432" s="54"/>
      <c r="AH432" s="54"/>
    </row>
    <row r="433" spans="17:34" x14ac:dyDescent="0.3">
      <c r="Q433" s="54"/>
      <c r="R433" s="54"/>
      <c r="S433" s="54"/>
      <c r="V433" s="54"/>
      <c r="W433" s="54"/>
      <c r="X433" s="54"/>
      <c r="AA433" s="54"/>
      <c r="AB433" s="54"/>
      <c r="AC433" s="54"/>
      <c r="AF433" s="54"/>
      <c r="AG433" s="54"/>
      <c r="AH433" s="54"/>
    </row>
    <row r="434" spans="17:34" x14ac:dyDescent="0.3">
      <c r="Q434" s="54"/>
      <c r="R434" s="54"/>
      <c r="S434" s="54"/>
      <c r="V434" s="54"/>
      <c r="W434" s="54"/>
      <c r="X434" s="54"/>
      <c r="AA434" s="54"/>
      <c r="AB434" s="54"/>
      <c r="AC434" s="54"/>
      <c r="AF434" s="54"/>
      <c r="AG434" s="54"/>
      <c r="AH434" s="54"/>
    </row>
    <row r="435" spans="17:34" x14ac:dyDescent="0.3">
      <c r="Q435" s="54"/>
      <c r="R435" s="54"/>
      <c r="S435" s="54"/>
      <c r="V435" s="54"/>
      <c r="W435" s="54"/>
      <c r="X435" s="54"/>
      <c r="AA435" s="54"/>
      <c r="AB435" s="54"/>
      <c r="AC435" s="54"/>
      <c r="AF435" s="54"/>
      <c r="AG435" s="54"/>
      <c r="AH435" s="54"/>
    </row>
    <row r="436" spans="17:34" x14ac:dyDescent="0.3">
      <c r="Q436" s="54"/>
      <c r="R436" s="54"/>
      <c r="S436" s="54"/>
      <c r="V436" s="54"/>
      <c r="W436" s="54"/>
      <c r="X436" s="54"/>
      <c r="AA436" s="54"/>
      <c r="AB436" s="54"/>
      <c r="AC436" s="54"/>
      <c r="AF436" s="54"/>
      <c r="AG436" s="54"/>
      <c r="AH436" s="54"/>
    </row>
    <row r="437" spans="17:34" x14ac:dyDescent="0.3">
      <c r="Q437" s="54"/>
      <c r="R437" s="54"/>
      <c r="S437" s="54"/>
      <c r="V437" s="54"/>
      <c r="W437" s="54"/>
      <c r="X437" s="54"/>
      <c r="AA437" s="54"/>
      <c r="AB437" s="54"/>
      <c r="AC437" s="54"/>
      <c r="AF437" s="54"/>
      <c r="AG437" s="54"/>
      <c r="AH437" s="54"/>
    </row>
    <row r="438" spans="17:34" x14ac:dyDescent="0.3">
      <c r="Q438" s="54"/>
      <c r="R438" s="54"/>
      <c r="S438" s="54"/>
      <c r="V438" s="54"/>
      <c r="W438" s="54"/>
      <c r="X438" s="54"/>
      <c r="AA438" s="54"/>
      <c r="AB438" s="54"/>
      <c r="AC438" s="54"/>
      <c r="AF438" s="54"/>
      <c r="AG438" s="54"/>
      <c r="AH438" s="54"/>
    </row>
    <row r="439" spans="17:34" x14ac:dyDescent="0.3">
      <c r="Q439" s="54"/>
      <c r="R439" s="54"/>
      <c r="S439" s="54"/>
      <c r="V439" s="54"/>
      <c r="W439" s="54"/>
      <c r="X439" s="54"/>
      <c r="AA439" s="54"/>
      <c r="AB439" s="54"/>
      <c r="AC439" s="54"/>
      <c r="AF439" s="54"/>
      <c r="AG439" s="54"/>
      <c r="AH439" s="54"/>
    </row>
    <row r="440" spans="17:34" x14ac:dyDescent="0.3">
      <c r="Q440" s="54"/>
      <c r="R440" s="54"/>
      <c r="S440" s="54"/>
      <c r="V440" s="54"/>
      <c r="W440" s="54"/>
      <c r="X440" s="54"/>
      <c r="AA440" s="54"/>
      <c r="AB440" s="54"/>
      <c r="AC440" s="54"/>
      <c r="AF440" s="54"/>
      <c r="AG440" s="54"/>
      <c r="AH440" s="54"/>
    </row>
    <row r="441" spans="17:34" x14ac:dyDescent="0.3">
      <c r="Q441" s="54"/>
      <c r="R441" s="54"/>
      <c r="S441" s="54"/>
      <c r="V441" s="54"/>
      <c r="W441" s="54"/>
      <c r="X441" s="54"/>
      <c r="AA441" s="54"/>
      <c r="AB441" s="54"/>
      <c r="AC441" s="54"/>
      <c r="AF441" s="54"/>
      <c r="AG441" s="54"/>
      <c r="AH441" s="54"/>
    </row>
    <row r="442" spans="17:34" x14ac:dyDescent="0.3">
      <c r="Q442" s="54"/>
      <c r="R442" s="54"/>
      <c r="S442" s="54"/>
      <c r="V442" s="54"/>
      <c r="W442" s="54"/>
      <c r="X442" s="54"/>
      <c r="AA442" s="54"/>
      <c r="AB442" s="54"/>
      <c r="AC442" s="54"/>
      <c r="AF442" s="54"/>
      <c r="AG442" s="54"/>
      <c r="AH442" s="54"/>
    </row>
    <row r="443" spans="17:34" x14ac:dyDescent="0.3">
      <c r="Q443" s="54"/>
      <c r="R443" s="54"/>
      <c r="S443" s="54"/>
      <c r="V443" s="54"/>
      <c r="W443" s="54"/>
      <c r="X443" s="54"/>
      <c r="AA443" s="54"/>
      <c r="AB443" s="54"/>
      <c r="AC443" s="54"/>
      <c r="AF443" s="54"/>
      <c r="AG443" s="54"/>
      <c r="AH443" s="54"/>
    </row>
    <row r="444" spans="17:34" x14ac:dyDescent="0.3">
      <c r="Q444" s="54"/>
      <c r="R444" s="54"/>
      <c r="S444" s="54"/>
      <c r="V444" s="54"/>
      <c r="W444" s="54"/>
      <c r="X444" s="54"/>
      <c r="AA444" s="54"/>
      <c r="AB444" s="54"/>
      <c r="AC444" s="54"/>
      <c r="AF444" s="54"/>
      <c r="AG444" s="54"/>
      <c r="AH444" s="54"/>
    </row>
    <row r="445" spans="17:34" x14ac:dyDescent="0.3">
      <c r="Q445" s="54"/>
      <c r="R445" s="54"/>
      <c r="S445" s="54"/>
      <c r="V445" s="54"/>
      <c r="W445" s="54"/>
      <c r="X445" s="54"/>
      <c r="AA445" s="54"/>
      <c r="AB445" s="54"/>
      <c r="AC445" s="54"/>
      <c r="AF445" s="54"/>
      <c r="AG445" s="54"/>
      <c r="AH445" s="54"/>
    </row>
    <row r="446" spans="17:34" x14ac:dyDescent="0.3">
      <c r="Q446" s="54"/>
      <c r="R446" s="54"/>
      <c r="S446" s="54"/>
      <c r="V446" s="54"/>
      <c r="W446" s="54"/>
      <c r="X446" s="54"/>
      <c r="AA446" s="54"/>
      <c r="AB446" s="54"/>
      <c r="AC446" s="54"/>
      <c r="AF446" s="54"/>
      <c r="AG446" s="54"/>
      <c r="AH446" s="54"/>
    </row>
    <row r="447" spans="17:34" x14ac:dyDescent="0.3">
      <c r="Q447" s="54"/>
      <c r="R447" s="54"/>
      <c r="S447" s="54"/>
      <c r="V447" s="54"/>
      <c r="W447" s="54"/>
      <c r="X447" s="54"/>
      <c r="AA447" s="54"/>
      <c r="AB447" s="54"/>
      <c r="AC447" s="54"/>
      <c r="AF447" s="54"/>
      <c r="AG447" s="54"/>
      <c r="AH447" s="54"/>
    </row>
    <row r="448" spans="17:34" x14ac:dyDescent="0.3">
      <c r="Q448" s="54"/>
      <c r="R448" s="54"/>
      <c r="S448" s="54"/>
      <c r="V448" s="54"/>
      <c r="W448" s="54"/>
      <c r="X448" s="54"/>
      <c r="AA448" s="54"/>
      <c r="AB448" s="54"/>
      <c r="AC448" s="54"/>
      <c r="AF448" s="54"/>
      <c r="AG448" s="54"/>
      <c r="AH448" s="54"/>
    </row>
    <row r="449" spans="17:34" x14ac:dyDescent="0.3">
      <c r="Q449" s="54"/>
      <c r="R449" s="54"/>
      <c r="S449" s="54"/>
      <c r="V449" s="54"/>
      <c r="W449" s="54"/>
      <c r="X449" s="54"/>
      <c r="AA449" s="54"/>
      <c r="AB449" s="54"/>
      <c r="AC449" s="54"/>
      <c r="AF449" s="54"/>
      <c r="AG449" s="54"/>
      <c r="AH449" s="54"/>
    </row>
    <row r="450" spans="17:34" x14ac:dyDescent="0.3">
      <c r="Q450" s="54"/>
      <c r="R450" s="54"/>
      <c r="S450" s="54"/>
      <c r="V450" s="54"/>
      <c r="W450" s="54"/>
      <c r="X450" s="54"/>
      <c r="AA450" s="54"/>
      <c r="AB450" s="54"/>
      <c r="AC450" s="54"/>
      <c r="AF450" s="54"/>
      <c r="AG450" s="54"/>
      <c r="AH450" s="54"/>
    </row>
    <row r="451" spans="17:34" x14ac:dyDescent="0.3">
      <c r="Q451" s="54"/>
      <c r="R451" s="54"/>
      <c r="S451" s="54"/>
      <c r="V451" s="54"/>
      <c r="W451" s="54"/>
      <c r="X451" s="54"/>
      <c r="AA451" s="54"/>
      <c r="AB451" s="54"/>
      <c r="AC451" s="54"/>
      <c r="AF451" s="54"/>
      <c r="AG451" s="54"/>
      <c r="AH451" s="54"/>
    </row>
    <row r="452" spans="17:34" x14ac:dyDescent="0.3">
      <c r="Q452" s="54"/>
      <c r="R452" s="54"/>
      <c r="S452" s="54"/>
      <c r="V452" s="54"/>
      <c r="W452" s="54"/>
      <c r="X452" s="54"/>
      <c r="AA452" s="54"/>
      <c r="AB452" s="54"/>
      <c r="AC452" s="54"/>
      <c r="AF452" s="54"/>
      <c r="AG452" s="54"/>
      <c r="AH452" s="54"/>
    </row>
    <row r="453" spans="17:34" x14ac:dyDescent="0.3">
      <c r="Q453" s="54"/>
      <c r="R453" s="54"/>
      <c r="S453" s="54"/>
      <c r="V453" s="54"/>
      <c r="W453" s="54"/>
      <c r="X453" s="54"/>
      <c r="AA453" s="54"/>
      <c r="AB453" s="54"/>
      <c r="AC453" s="54"/>
      <c r="AF453" s="54"/>
      <c r="AG453" s="54"/>
      <c r="AH453" s="54"/>
    </row>
    <row r="454" spans="17:34" x14ac:dyDescent="0.3">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5478780</xdr:colOff>
                    <xdr:row>0</xdr:row>
                    <xdr:rowOff>175260</xdr:rowOff>
                  </from>
                  <to>
                    <xdr:col>15</xdr:col>
                    <xdr:colOff>5859780</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327660</xdr:colOff>
                    <xdr:row>70</xdr:row>
                    <xdr:rowOff>76200</xdr:rowOff>
                  </from>
                  <to>
                    <xdr:col>2</xdr:col>
                    <xdr:colOff>899160</xdr:colOff>
                    <xdr:row>72</xdr:row>
                    <xdr:rowOff>137160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327660</xdr:colOff>
                    <xdr:row>70</xdr:row>
                    <xdr:rowOff>76200</xdr:rowOff>
                  </from>
                  <to>
                    <xdr:col>2</xdr:col>
                    <xdr:colOff>899160</xdr:colOff>
                    <xdr:row>72</xdr:row>
                    <xdr:rowOff>137160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22860</xdr:colOff>
                    <xdr:row>62</xdr:row>
                    <xdr:rowOff>0</xdr:rowOff>
                  </from>
                  <to>
                    <xdr:col>5</xdr:col>
                    <xdr:colOff>182880</xdr:colOff>
                    <xdr:row>62</xdr:row>
                    <xdr:rowOff>182880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137160</xdr:colOff>
                    <xdr:row>6</xdr:row>
                    <xdr:rowOff>22860</xdr:rowOff>
                  </from>
                  <to>
                    <xdr:col>5</xdr:col>
                    <xdr:colOff>304800</xdr:colOff>
                    <xdr:row>7</xdr:row>
                    <xdr:rowOff>22860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144780</xdr:colOff>
                    <xdr:row>50</xdr:row>
                    <xdr:rowOff>60960</xdr:rowOff>
                  </from>
                  <to>
                    <xdr:col>3</xdr:col>
                    <xdr:colOff>449580</xdr:colOff>
                    <xdr:row>51</xdr:row>
                    <xdr:rowOff>137160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68580</xdr:colOff>
                    <xdr:row>50</xdr:row>
                    <xdr:rowOff>60960</xdr:rowOff>
                  </from>
                  <to>
                    <xdr:col>5</xdr:col>
                    <xdr:colOff>335280</xdr:colOff>
                    <xdr:row>51</xdr:row>
                    <xdr:rowOff>137160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22860</xdr:colOff>
                    <xdr:row>101</xdr:row>
                    <xdr:rowOff>0</xdr:rowOff>
                  </from>
                  <to>
                    <xdr:col>2</xdr:col>
                    <xdr:colOff>22860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175260</xdr:rowOff>
                  </from>
                  <to>
                    <xdr:col>6</xdr:col>
                    <xdr:colOff>0</xdr:colOff>
                    <xdr:row>59</xdr:row>
                    <xdr:rowOff>236220</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60960</xdr:colOff>
                    <xdr:row>50</xdr:row>
                    <xdr:rowOff>60960</xdr:rowOff>
                  </from>
                  <to>
                    <xdr:col>2</xdr:col>
                    <xdr:colOff>30480</xdr:colOff>
                    <xdr:row>51</xdr:row>
                    <xdr:rowOff>137160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7620</xdr:rowOff>
                  </from>
                  <to>
                    <xdr:col>7</xdr:col>
                    <xdr:colOff>114300</xdr:colOff>
                    <xdr:row>4</xdr:row>
                    <xdr:rowOff>251460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109375" defaultRowHeight="13.8" x14ac:dyDescent="0.3"/>
  <cols>
    <col min="1" max="3" width="9.109375" style="307"/>
    <col min="4" max="4" width="4.33203125" style="307" customWidth="1"/>
    <col min="5" max="6" width="9.5546875" style="307" bestFit="1" customWidth="1"/>
    <col min="7" max="7" width="9.109375" style="307"/>
    <col min="8" max="8" width="5.109375" style="307" customWidth="1"/>
    <col min="9" max="9" width="10.6640625" style="307" customWidth="1"/>
    <col min="10" max="10" width="9.6640625" style="307" customWidth="1"/>
    <col min="11" max="11" width="11.44140625" style="307" customWidth="1"/>
    <col min="12" max="12" width="5.5546875" style="307" customWidth="1"/>
    <col min="13" max="15" width="9.109375" style="307"/>
    <col min="16" max="16" width="9.109375" style="307" customWidth="1"/>
    <col min="17" max="17" width="102" style="307" customWidth="1"/>
    <col min="18" max="18" width="30.44140625" style="701" customWidth="1"/>
    <col min="19" max="16384" width="9.109375" style="307"/>
  </cols>
  <sheetData>
    <row r="1" spans="1:18" ht="39.6" x14ac:dyDescent="0.3">
      <c r="A1" s="793" t="s">
        <v>913</v>
      </c>
      <c r="B1" s="794"/>
      <c r="C1" s="794"/>
      <c r="D1" s="794"/>
      <c r="E1" s="794"/>
      <c r="F1" s="794"/>
      <c r="G1" s="794"/>
      <c r="H1" s="794"/>
      <c r="I1" s="794"/>
      <c r="J1" s="794"/>
      <c r="K1" s="794"/>
      <c r="L1" s="794"/>
      <c r="M1" s="794"/>
      <c r="N1" s="794"/>
      <c r="O1" s="794"/>
      <c r="P1" s="794"/>
      <c r="Q1" s="794"/>
      <c r="R1" s="706"/>
    </row>
    <row r="2" spans="1:18" ht="17.7" customHeight="1" x14ac:dyDescent="0.55000000000000004">
      <c r="A2" s="755"/>
      <c r="B2" s="749"/>
      <c r="C2" s="749"/>
      <c r="D2" s="749"/>
      <c r="E2" s="749"/>
      <c r="F2" s="749"/>
      <c r="G2" s="749"/>
      <c r="H2" s="749"/>
      <c r="I2" s="749"/>
      <c r="J2" s="749"/>
      <c r="K2" s="749"/>
      <c r="L2" s="749"/>
      <c r="M2" s="749"/>
      <c r="N2" s="749"/>
      <c r="O2" s="502" t="s">
        <v>585</v>
      </c>
      <c r="P2" s="749"/>
      <c r="Q2" s="749"/>
      <c r="R2" s="706"/>
    </row>
    <row r="3" spans="1:18" ht="16.2" customHeight="1" x14ac:dyDescent="0.55000000000000004">
      <c r="A3" s="754" t="s">
        <v>232</v>
      </c>
      <c r="B3" s="753"/>
      <c r="C3" s="501" t="s">
        <v>233</v>
      </c>
      <c r="D3" s="752"/>
      <c r="E3" s="751"/>
      <c r="F3" s="750" t="s">
        <v>145</v>
      </c>
      <c r="G3" s="748"/>
      <c r="H3" s="749"/>
      <c r="I3" s="749"/>
      <c r="J3" s="748"/>
      <c r="K3" s="747"/>
      <c r="L3" s="746"/>
      <c r="M3" s="706"/>
      <c r="N3" s="706"/>
      <c r="O3" s="795" t="s">
        <v>51</v>
      </c>
      <c r="P3" s="795"/>
      <c r="Q3" s="706" t="s">
        <v>165</v>
      </c>
      <c r="R3" s="706"/>
    </row>
    <row r="4" spans="1:18" ht="14.7" customHeight="1" thickBot="1" x14ac:dyDescent="0.4">
      <c r="A4" s="745"/>
      <c r="B4" s="744"/>
      <c r="C4" s="743"/>
      <c r="D4" s="743"/>
      <c r="E4" s="743"/>
      <c r="F4" s="743"/>
      <c r="G4" s="743"/>
      <c r="H4" s="743"/>
      <c r="I4" s="743"/>
      <c r="J4" s="743"/>
      <c r="K4" s="743"/>
      <c r="L4" s="743"/>
      <c r="M4" s="742"/>
      <c r="N4" s="742"/>
      <c r="O4" s="742"/>
      <c r="P4" s="742"/>
      <c r="Q4" s="742"/>
      <c r="R4" s="706"/>
    </row>
    <row r="5" spans="1:18" x14ac:dyDescent="0.3">
      <c r="A5" s="244"/>
      <c r="B5" s="244"/>
      <c r="C5" s="244"/>
      <c r="D5" s="244"/>
      <c r="E5" s="244"/>
      <c r="F5" s="244"/>
      <c r="G5" s="244"/>
      <c r="H5" s="244"/>
      <c r="I5" s="244"/>
      <c r="J5" s="244"/>
      <c r="K5" s="244"/>
      <c r="L5" s="244"/>
      <c r="M5" s="244"/>
      <c r="N5" s="244"/>
      <c r="O5" s="244"/>
      <c r="P5" s="244"/>
      <c r="Q5" s="244"/>
      <c r="R5" s="706"/>
    </row>
    <row r="6" spans="1:18" ht="14.4" thickBot="1" x14ac:dyDescent="0.35">
      <c r="A6" s="244"/>
      <c r="B6" s="244"/>
      <c r="C6" s="244"/>
      <c r="D6" s="244"/>
      <c r="E6" s="244"/>
      <c r="F6" s="244"/>
      <c r="G6" s="244"/>
      <c r="H6" s="244"/>
      <c r="I6" s="244"/>
      <c r="J6" s="244"/>
      <c r="K6" s="244"/>
      <c r="L6" s="244"/>
      <c r="M6" s="244"/>
      <c r="N6" s="244"/>
      <c r="O6" s="244"/>
      <c r="P6" s="244"/>
      <c r="Q6" s="244"/>
      <c r="R6" s="706"/>
    </row>
    <row r="7" spans="1:18" ht="17.399999999999999" x14ac:dyDescent="0.3">
      <c r="A7" s="741"/>
      <c r="B7" s="740"/>
      <c r="C7" s="739"/>
      <c r="D7" s="739"/>
      <c r="E7" s="738" t="s">
        <v>877</v>
      </c>
      <c r="F7" s="759"/>
      <c r="G7" s="707"/>
      <c r="H7" s="737"/>
      <c r="I7" s="715"/>
      <c r="J7" s="707"/>
      <c r="K7" s="707"/>
      <c r="L7" s="707"/>
      <c r="M7" s="738" t="s">
        <v>779</v>
      </c>
      <c r="N7" s="707"/>
      <c r="O7" s="707"/>
      <c r="P7" s="737"/>
      <c r="Q7" s="244"/>
      <c r="R7" s="706"/>
    </row>
    <row r="8" spans="1:18" ht="14.4" thickBot="1" x14ac:dyDescent="0.35">
      <c r="A8" s="727"/>
      <c r="B8" s="721"/>
      <c r="C8" s="721"/>
      <c r="D8" s="721"/>
      <c r="E8" s="721"/>
      <c r="F8" s="721"/>
      <c r="G8" s="721"/>
      <c r="H8" s="728"/>
      <c r="I8" s="727"/>
      <c r="J8" s="721"/>
      <c r="K8" s="721"/>
      <c r="L8" s="721"/>
      <c r="M8" s="384"/>
      <c r="N8" s="721"/>
      <c r="O8" s="384"/>
      <c r="P8" s="728"/>
      <c r="Q8" s="244"/>
      <c r="R8" s="706"/>
    </row>
    <row r="9" spans="1:18" ht="15.6" x14ac:dyDescent="0.35">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6" x14ac:dyDescent="0.35">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6" x14ac:dyDescent="0.35">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2" thickBot="1" x14ac:dyDescent="0.4">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3">
      <c r="A13" s="244"/>
      <c r="B13" s="244"/>
      <c r="C13" s="244"/>
      <c r="D13" s="244"/>
      <c r="E13" s="244"/>
      <c r="F13" s="244"/>
      <c r="G13" s="244"/>
      <c r="H13" s="244"/>
      <c r="I13" s="244"/>
      <c r="J13" s="244"/>
      <c r="K13" s="244"/>
      <c r="L13" s="244"/>
      <c r="M13" s="244"/>
      <c r="N13" s="244"/>
      <c r="O13" s="244"/>
      <c r="P13" s="244"/>
      <c r="Q13" s="244"/>
      <c r="R13" s="706"/>
    </row>
    <row r="14" spans="1:18" ht="15.6" x14ac:dyDescent="0.3">
      <c r="A14" s="244"/>
      <c r="B14" s="244"/>
      <c r="C14" s="775" t="s">
        <v>914</v>
      </c>
      <c r="D14" s="244"/>
      <c r="E14" s="244"/>
      <c r="F14" s="774">
        <f>VinRipple_dBuV</f>
        <v>102.15634849028891</v>
      </c>
      <c r="G14" s="720" t="s">
        <v>849</v>
      </c>
      <c r="H14" s="773" t="s">
        <v>787</v>
      </c>
      <c r="I14" s="771">
        <f>VinRipple_dBuV</f>
        <v>102.15634849028891</v>
      </c>
      <c r="J14" s="719" t="s">
        <v>849</v>
      </c>
      <c r="L14" s="244"/>
      <c r="M14" s="244"/>
      <c r="N14" s="244"/>
      <c r="O14" s="244"/>
      <c r="P14" s="244"/>
      <c r="Q14" s="244"/>
      <c r="R14" s="706"/>
    </row>
    <row r="15" spans="1:18" ht="14.4" thickBot="1" x14ac:dyDescent="0.35">
      <c r="A15" s="244"/>
      <c r="B15" s="721"/>
      <c r="C15" s="244"/>
      <c r="D15" s="721"/>
      <c r="E15" s="721"/>
      <c r="F15" s="721"/>
      <c r="G15" s="244"/>
      <c r="H15" s="244"/>
      <c r="I15" s="244"/>
      <c r="J15" s="244"/>
      <c r="K15" s="244"/>
      <c r="L15" s="244"/>
      <c r="M15" s="244"/>
      <c r="N15" s="244"/>
      <c r="O15" s="244"/>
      <c r="P15" s="244"/>
      <c r="Q15" s="244"/>
      <c r="R15" s="706"/>
    </row>
    <row r="16" spans="1:18" x14ac:dyDescent="0.3">
      <c r="A16" s="244"/>
      <c r="B16" s="757"/>
      <c r="C16" s="718"/>
      <c r="D16" s="717" t="s">
        <v>885</v>
      </c>
      <c r="E16" s="756" t="e">
        <f>-'Input Filter Calculations'!AM97</f>
        <v>#VALUE!</v>
      </c>
      <c r="F16" s="716" t="s">
        <v>804</v>
      </c>
      <c r="G16" s="244"/>
      <c r="H16" s="244"/>
      <c r="I16" s="244"/>
      <c r="J16" s="762"/>
      <c r="K16" s="715"/>
      <c r="L16" s="714" t="s">
        <v>886</v>
      </c>
      <c r="M16" s="769">
        <f>-'Input Filter Calculations'!AA97</f>
        <v>6.5724330903943216</v>
      </c>
      <c r="N16" s="713" t="s">
        <v>804</v>
      </c>
      <c r="O16" s="244"/>
      <c r="P16" s="244"/>
      <c r="Q16" s="244"/>
      <c r="R16" s="706"/>
    </row>
    <row r="17" spans="1:18" ht="14.4" thickBot="1" x14ac:dyDescent="0.35">
      <c r="A17" s="711"/>
      <c r="B17" s="758"/>
      <c r="C17" s="710"/>
      <c r="D17" s="712" t="s">
        <v>875</v>
      </c>
      <c r="E17" s="768" t="e">
        <f>VinRipple_dBuV-E16</f>
        <v>#VALUE!</v>
      </c>
      <c r="F17" s="708" t="s">
        <v>786</v>
      </c>
      <c r="G17" s="244"/>
      <c r="H17" s="244"/>
      <c r="J17" s="758"/>
      <c r="K17" s="710"/>
      <c r="L17" s="709" t="s">
        <v>874</v>
      </c>
      <c r="M17" s="770">
        <f>VinRipple_dBuV-M16</f>
        <v>95.583915399894579</v>
      </c>
      <c r="N17" s="708" t="s">
        <v>786</v>
      </c>
      <c r="O17" s="244"/>
      <c r="P17" s="244"/>
      <c r="Q17" s="244"/>
      <c r="R17" s="706"/>
    </row>
    <row r="18" spans="1:18" x14ac:dyDescent="0.3">
      <c r="A18" s="244"/>
      <c r="B18" s="244"/>
      <c r="C18" s="244"/>
      <c r="D18" s="244"/>
      <c r="E18" s="244"/>
      <c r="F18" s="244"/>
      <c r="G18" s="244"/>
      <c r="H18" s="244"/>
      <c r="I18" s="244"/>
      <c r="J18" s="244"/>
      <c r="K18" s="244"/>
      <c r="L18" s="244"/>
      <c r="M18" s="244"/>
      <c r="N18" s="244"/>
      <c r="O18" s="244"/>
      <c r="P18" s="244"/>
      <c r="Q18" s="244"/>
      <c r="R18" s="706"/>
    </row>
    <row r="19" spans="1:18" x14ac:dyDescent="0.3">
      <c r="A19" s="244"/>
      <c r="B19" s="244"/>
      <c r="C19" s="244"/>
      <c r="D19" s="244"/>
      <c r="E19" s="244"/>
      <c r="F19" s="244"/>
      <c r="G19" s="244"/>
      <c r="H19" s="244"/>
      <c r="I19" s="244"/>
      <c r="J19" s="244"/>
      <c r="K19" s="244"/>
      <c r="L19" s="244"/>
      <c r="M19" s="244"/>
      <c r="N19" s="244"/>
      <c r="O19" s="244"/>
      <c r="P19" s="244"/>
      <c r="Q19" s="244"/>
      <c r="R19" s="706"/>
    </row>
    <row r="20" spans="1:18" x14ac:dyDescent="0.3">
      <c r="A20" s="244"/>
      <c r="B20" s="244"/>
      <c r="C20" s="244"/>
      <c r="D20" s="244"/>
      <c r="E20" s="244"/>
      <c r="F20" s="244"/>
      <c r="G20" s="244"/>
      <c r="H20" s="244"/>
      <c r="I20" s="244"/>
      <c r="J20" s="244"/>
      <c r="K20" s="244"/>
      <c r="L20" s="244"/>
      <c r="M20" s="244"/>
      <c r="N20" s="244"/>
      <c r="O20" s="244"/>
      <c r="P20" s="244"/>
      <c r="Q20" s="244"/>
      <c r="R20" s="706"/>
    </row>
    <row r="21" spans="1:18" x14ac:dyDescent="0.3">
      <c r="A21" s="244"/>
      <c r="B21" s="244"/>
      <c r="C21" s="244"/>
      <c r="D21" s="244"/>
      <c r="E21" s="244"/>
      <c r="F21" s="244"/>
      <c r="G21" s="244"/>
      <c r="H21" s="244"/>
      <c r="I21" s="244"/>
      <c r="J21" s="244"/>
      <c r="K21" s="244"/>
      <c r="L21" s="244"/>
      <c r="M21" s="244"/>
      <c r="N21" s="244"/>
      <c r="O21" s="244"/>
      <c r="P21" s="244"/>
      <c r="Q21" s="244"/>
      <c r="R21" s="706"/>
    </row>
    <row r="22" spans="1:18" x14ac:dyDescent="0.3">
      <c r="A22" s="244"/>
      <c r="B22" s="244"/>
      <c r="C22" s="244"/>
      <c r="D22" s="244"/>
      <c r="E22" s="244"/>
      <c r="F22" s="244"/>
      <c r="G22" s="244"/>
      <c r="H22" s="244"/>
      <c r="I22" s="244"/>
      <c r="J22" s="244"/>
      <c r="K22" s="244"/>
      <c r="L22" s="244"/>
      <c r="M22" s="244"/>
      <c r="N22" s="244"/>
      <c r="O22" s="244"/>
      <c r="P22" s="244"/>
      <c r="Q22" s="244"/>
      <c r="R22" s="706"/>
    </row>
    <row r="23" spans="1:18" x14ac:dyDescent="0.3">
      <c r="A23" s="244"/>
      <c r="B23" s="244"/>
      <c r="C23" s="244"/>
      <c r="D23" s="244"/>
      <c r="E23" s="244"/>
      <c r="F23" s="244"/>
      <c r="G23" s="244"/>
      <c r="H23" s="244"/>
      <c r="I23" s="244"/>
      <c r="J23" s="244"/>
      <c r="K23" s="244"/>
      <c r="L23" s="244"/>
      <c r="M23" s="244"/>
      <c r="N23" s="244"/>
      <c r="O23" s="244"/>
      <c r="P23" s="244"/>
      <c r="Q23" s="244"/>
      <c r="R23" s="706"/>
    </row>
    <row r="24" spans="1:18" x14ac:dyDescent="0.3">
      <c r="A24" s="244"/>
      <c r="B24" s="244"/>
      <c r="C24" s="244"/>
      <c r="D24" s="244"/>
      <c r="E24" s="244"/>
      <c r="F24" s="244"/>
      <c r="G24" s="244"/>
      <c r="H24" s="244"/>
      <c r="I24" s="244"/>
      <c r="J24" s="244"/>
      <c r="K24" s="244"/>
      <c r="L24" s="244"/>
      <c r="M24" s="244"/>
      <c r="N24" s="244"/>
      <c r="O24" s="244"/>
      <c r="P24" s="244"/>
      <c r="Q24" s="244"/>
      <c r="R24" s="706"/>
    </row>
    <row r="25" spans="1:18" x14ac:dyDescent="0.3">
      <c r="A25" s="244"/>
      <c r="B25" s="244"/>
      <c r="C25" s="244"/>
      <c r="D25" s="244"/>
      <c r="E25" s="244"/>
      <c r="F25" s="244"/>
      <c r="G25" s="244"/>
      <c r="H25" s="244"/>
      <c r="I25" s="244"/>
      <c r="J25" s="244"/>
      <c r="K25" s="244"/>
      <c r="L25" s="244"/>
      <c r="M25" s="244"/>
      <c r="N25" s="244"/>
      <c r="O25" s="244"/>
      <c r="P25" s="244"/>
      <c r="Q25" s="244"/>
      <c r="R25" s="706"/>
    </row>
    <row r="26" spans="1:18" x14ac:dyDescent="0.3">
      <c r="A26" s="244"/>
      <c r="B26" s="244"/>
      <c r="C26" s="244"/>
      <c r="D26" s="244"/>
      <c r="E26" s="244"/>
      <c r="F26" s="244"/>
      <c r="G26" s="244"/>
      <c r="H26" s="244"/>
      <c r="I26" s="244"/>
      <c r="J26" s="244"/>
      <c r="K26" s="244"/>
      <c r="L26" s="244"/>
      <c r="M26" s="244"/>
      <c r="N26" s="244"/>
      <c r="O26" s="244"/>
      <c r="P26" s="244"/>
      <c r="Q26" s="244"/>
      <c r="R26" s="706"/>
    </row>
    <row r="27" spans="1:18" x14ac:dyDescent="0.3">
      <c r="A27" s="244"/>
      <c r="B27" s="244"/>
      <c r="C27" s="244"/>
      <c r="D27" s="244"/>
      <c r="E27" s="244"/>
      <c r="F27" s="244"/>
      <c r="G27" s="244"/>
      <c r="H27" s="244"/>
      <c r="I27" s="244"/>
      <c r="J27" s="244"/>
      <c r="K27" s="244"/>
      <c r="L27" s="244"/>
      <c r="M27" s="244"/>
      <c r="N27" s="244"/>
      <c r="O27" s="244"/>
      <c r="P27" s="244"/>
      <c r="Q27" s="244"/>
      <c r="R27" s="706"/>
    </row>
    <row r="28" spans="1:18" x14ac:dyDescent="0.3">
      <c r="A28" s="244"/>
      <c r="B28" s="244"/>
      <c r="C28" s="244"/>
      <c r="D28" s="244"/>
      <c r="E28" s="244"/>
      <c r="F28" s="244"/>
      <c r="G28" s="244"/>
      <c r="H28" s="244"/>
      <c r="I28" s="244"/>
      <c r="J28" s="244"/>
      <c r="K28" s="244"/>
      <c r="L28" s="244"/>
      <c r="M28" s="244"/>
      <c r="N28" s="244"/>
      <c r="O28" s="244"/>
      <c r="P28" s="244"/>
      <c r="Q28" s="244"/>
      <c r="R28" s="706"/>
    </row>
    <row r="29" spans="1:18" x14ac:dyDescent="0.3">
      <c r="A29" s="244"/>
      <c r="B29" s="244"/>
      <c r="C29" s="244"/>
      <c r="D29" s="244"/>
      <c r="E29" s="244"/>
      <c r="F29" s="244"/>
      <c r="G29" s="244"/>
      <c r="H29" s="244"/>
      <c r="I29" s="244"/>
      <c r="J29" s="244"/>
      <c r="K29" s="244"/>
      <c r="L29" s="244"/>
      <c r="M29" s="244"/>
      <c r="N29" s="244"/>
      <c r="O29" s="244"/>
      <c r="P29" s="244"/>
      <c r="Q29" s="244"/>
      <c r="R29" s="706"/>
    </row>
    <row r="30" spans="1:18" x14ac:dyDescent="0.3">
      <c r="A30" s="244"/>
      <c r="B30" s="244"/>
      <c r="C30" s="244"/>
      <c r="D30" s="244"/>
      <c r="E30" s="244"/>
      <c r="F30" s="244"/>
      <c r="G30" s="244"/>
      <c r="H30" s="244"/>
      <c r="I30" s="244"/>
      <c r="J30" s="244"/>
      <c r="K30" s="244"/>
      <c r="L30" s="244"/>
      <c r="M30" s="244"/>
      <c r="N30" s="244"/>
      <c r="O30" s="244"/>
      <c r="P30" s="244"/>
      <c r="Q30" s="244"/>
      <c r="R30" s="706"/>
    </row>
    <row r="31" spans="1:18" x14ac:dyDescent="0.3">
      <c r="A31" s="244"/>
      <c r="B31" s="244"/>
      <c r="C31" s="244"/>
      <c r="D31" s="244"/>
      <c r="E31" s="244"/>
      <c r="F31" s="244"/>
      <c r="G31" s="244"/>
      <c r="H31" s="244"/>
      <c r="I31" s="244"/>
      <c r="J31" s="244"/>
      <c r="K31" s="244"/>
      <c r="L31" s="244"/>
      <c r="M31" s="244"/>
      <c r="N31" s="244"/>
      <c r="O31" s="244"/>
      <c r="P31" s="244"/>
      <c r="Q31" s="244"/>
      <c r="R31" s="706"/>
    </row>
    <row r="32" spans="1:18" x14ac:dyDescent="0.3">
      <c r="A32" s="244"/>
      <c r="B32" s="244"/>
      <c r="C32" s="244"/>
      <c r="D32" s="244"/>
      <c r="E32" s="244"/>
      <c r="F32" s="244"/>
      <c r="G32" s="244"/>
      <c r="H32" s="244"/>
      <c r="I32" s="244"/>
      <c r="J32" s="244"/>
      <c r="K32" s="244"/>
      <c r="L32" s="244"/>
      <c r="M32" s="244"/>
      <c r="N32" s="244"/>
      <c r="O32" s="244"/>
      <c r="P32" s="244"/>
      <c r="Q32" s="244"/>
      <c r="R32" s="706"/>
    </row>
    <row r="33" spans="1:18" x14ac:dyDescent="0.3">
      <c r="A33" s="244"/>
      <c r="B33" s="244"/>
      <c r="C33" s="244"/>
      <c r="D33" s="244"/>
      <c r="E33" s="244"/>
      <c r="F33" s="244"/>
      <c r="G33" s="244"/>
      <c r="H33" s="244"/>
      <c r="I33" s="244"/>
      <c r="J33" s="244"/>
      <c r="K33" s="244"/>
      <c r="L33" s="244"/>
      <c r="M33" s="244"/>
      <c r="N33" s="244"/>
      <c r="O33" s="244"/>
      <c r="P33" s="244"/>
      <c r="Q33" s="244"/>
      <c r="R33" s="706"/>
    </row>
    <row r="34" spans="1:18" x14ac:dyDescent="0.3">
      <c r="A34" s="244"/>
      <c r="B34" s="244"/>
      <c r="C34" s="244"/>
      <c r="D34" s="244"/>
      <c r="E34" s="244"/>
      <c r="F34" s="244"/>
      <c r="G34" s="244"/>
      <c r="H34" s="244"/>
      <c r="I34" s="244"/>
      <c r="J34" s="244"/>
      <c r="K34" s="244"/>
      <c r="L34" s="244"/>
      <c r="M34" s="244"/>
      <c r="N34" s="244"/>
      <c r="O34" s="244"/>
      <c r="P34" s="244"/>
      <c r="Q34" s="244"/>
      <c r="R34" s="706"/>
    </row>
    <row r="35" spans="1:18" x14ac:dyDescent="0.3">
      <c r="A35" s="244"/>
      <c r="B35" s="244"/>
      <c r="C35" s="244"/>
      <c r="D35" s="244"/>
      <c r="E35" s="244"/>
      <c r="F35" s="244"/>
      <c r="G35" s="244"/>
      <c r="H35" s="244"/>
      <c r="I35" s="244"/>
      <c r="J35" s="244"/>
      <c r="K35" s="244"/>
      <c r="L35" s="244"/>
      <c r="M35" s="244"/>
      <c r="N35" s="244"/>
      <c r="O35" s="244"/>
      <c r="P35" s="244"/>
      <c r="Q35" s="244"/>
      <c r="R35" s="706"/>
    </row>
    <row r="36" spans="1:18" x14ac:dyDescent="0.3">
      <c r="A36" s="244"/>
      <c r="B36" s="244"/>
      <c r="C36" s="244"/>
      <c r="D36" s="244"/>
      <c r="E36" s="244"/>
      <c r="F36" s="244"/>
      <c r="G36" s="244"/>
      <c r="H36" s="244"/>
      <c r="I36" s="244"/>
      <c r="J36" s="244"/>
      <c r="K36" s="244"/>
      <c r="L36" s="244"/>
      <c r="M36" s="244"/>
      <c r="N36" s="244"/>
      <c r="O36" s="244"/>
      <c r="P36" s="244"/>
      <c r="Q36" s="244"/>
      <c r="R36" s="706"/>
    </row>
    <row r="37" spans="1:18" x14ac:dyDescent="0.3">
      <c r="A37" s="244"/>
      <c r="B37" s="244"/>
      <c r="C37" s="244"/>
      <c r="D37" s="244"/>
      <c r="E37" s="244"/>
      <c r="F37" s="244"/>
      <c r="G37" s="244"/>
      <c r="H37" s="244"/>
      <c r="I37" s="244"/>
      <c r="J37" s="244"/>
      <c r="K37" s="244"/>
      <c r="L37" s="244"/>
      <c r="M37" s="244"/>
      <c r="N37" s="244"/>
      <c r="O37" s="244"/>
      <c r="P37" s="244"/>
      <c r="Q37" s="244"/>
      <c r="R37" s="706"/>
    </row>
    <row r="38" spans="1:18" x14ac:dyDescent="0.3">
      <c r="A38" s="244"/>
      <c r="B38" s="244"/>
      <c r="C38" s="244"/>
      <c r="D38" s="244"/>
      <c r="E38" s="244"/>
      <c r="F38" s="244"/>
      <c r="G38" s="244"/>
      <c r="H38" s="244"/>
      <c r="I38" s="244"/>
      <c r="J38" s="244"/>
      <c r="K38" s="244"/>
      <c r="L38" s="244"/>
      <c r="M38" s="244"/>
      <c r="N38" s="244"/>
      <c r="O38" s="244"/>
      <c r="P38" s="244"/>
      <c r="Q38" s="244"/>
      <c r="R38" s="706"/>
    </row>
    <row r="39" spans="1:18" x14ac:dyDescent="0.3">
      <c r="A39" s="244"/>
      <c r="B39" s="244"/>
      <c r="C39" s="244"/>
      <c r="D39" s="244"/>
      <c r="E39" s="244"/>
      <c r="F39" s="244"/>
      <c r="G39" s="244"/>
      <c r="H39" s="244"/>
      <c r="I39" s="244"/>
      <c r="J39" s="244"/>
      <c r="K39" s="244"/>
      <c r="L39" s="244"/>
      <c r="M39" s="244"/>
      <c r="N39" s="244"/>
      <c r="O39" s="244"/>
      <c r="P39" s="244"/>
      <c r="Q39" s="244"/>
      <c r="R39" s="706"/>
    </row>
    <row r="40" spans="1:18" x14ac:dyDescent="0.3">
      <c r="A40" s="244"/>
      <c r="B40" s="244"/>
      <c r="C40" s="244"/>
      <c r="D40" s="244"/>
      <c r="E40" s="244"/>
      <c r="F40" s="244"/>
      <c r="G40" s="244"/>
      <c r="H40" s="244"/>
      <c r="I40" s="244"/>
      <c r="J40" s="244"/>
      <c r="K40" s="244"/>
      <c r="L40" s="244"/>
      <c r="M40" s="244"/>
      <c r="N40" s="244"/>
      <c r="O40" s="244"/>
      <c r="P40" s="244"/>
      <c r="Q40" s="244"/>
      <c r="R40" s="706"/>
    </row>
    <row r="41" spans="1:18" x14ac:dyDescent="0.3">
      <c r="A41" s="244"/>
      <c r="B41" s="244"/>
      <c r="C41" s="244"/>
      <c r="D41" s="244"/>
      <c r="E41" s="244"/>
      <c r="F41" s="244"/>
      <c r="G41" s="244"/>
      <c r="H41" s="244"/>
      <c r="I41" s="244"/>
      <c r="J41" s="244"/>
      <c r="K41" s="244"/>
      <c r="L41" s="244"/>
      <c r="M41" s="244"/>
      <c r="N41" s="244"/>
      <c r="O41" s="244"/>
      <c r="P41" s="244"/>
      <c r="Q41" s="244"/>
      <c r="R41" s="706"/>
    </row>
    <row r="42" spans="1:18" x14ac:dyDescent="0.3">
      <c r="A42" s="244"/>
      <c r="B42" s="244"/>
      <c r="C42" s="244"/>
      <c r="D42" s="244"/>
      <c r="E42" s="244"/>
      <c r="F42" s="244"/>
      <c r="G42" s="244"/>
      <c r="H42" s="244"/>
      <c r="I42" s="244"/>
      <c r="J42" s="244"/>
      <c r="K42" s="244"/>
      <c r="L42" s="244"/>
      <c r="M42" s="244"/>
      <c r="N42" s="244"/>
      <c r="O42" s="244"/>
      <c r="P42" s="244"/>
      <c r="Q42" s="244"/>
      <c r="R42" s="706"/>
    </row>
    <row r="43" spans="1:18" x14ac:dyDescent="0.3">
      <c r="A43" s="244"/>
      <c r="B43" s="244"/>
      <c r="C43" s="244"/>
      <c r="D43" s="244"/>
      <c r="E43" s="244"/>
      <c r="F43" s="244"/>
      <c r="G43" s="244"/>
      <c r="H43" s="244"/>
      <c r="I43" s="244"/>
      <c r="J43" s="244"/>
      <c r="K43" s="244"/>
      <c r="L43" s="244"/>
      <c r="M43" s="244"/>
      <c r="N43" s="244"/>
      <c r="O43" s="244"/>
      <c r="P43" s="244"/>
      <c r="Q43" s="244"/>
      <c r="R43" s="706"/>
    </row>
    <row r="44" spans="1:18" x14ac:dyDescent="0.3">
      <c r="A44" s="244"/>
      <c r="B44" s="244"/>
      <c r="C44" s="244"/>
      <c r="D44" s="244"/>
      <c r="E44" s="244"/>
      <c r="F44" s="244"/>
      <c r="G44" s="244"/>
      <c r="H44" s="244"/>
      <c r="I44" s="244"/>
      <c r="J44" s="244"/>
      <c r="K44" s="244"/>
      <c r="L44" s="244"/>
      <c r="M44" s="244"/>
      <c r="N44" s="244"/>
      <c r="O44" s="244"/>
      <c r="P44" s="244"/>
      <c r="Q44" s="244"/>
      <c r="R44" s="706"/>
    </row>
    <row r="45" spans="1:18" x14ac:dyDescent="0.3">
      <c r="A45" s="244"/>
      <c r="B45" s="244"/>
      <c r="C45" s="244"/>
      <c r="D45" s="244"/>
      <c r="E45" s="244"/>
      <c r="F45" s="244"/>
      <c r="G45" s="244"/>
      <c r="H45" s="244"/>
      <c r="I45" s="244"/>
      <c r="J45" s="244"/>
      <c r="K45" s="244"/>
      <c r="L45" s="244"/>
      <c r="M45" s="244"/>
      <c r="N45" s="244"/>
      <c r="O45" s="244"/>
      <c r="P45" s="244"/>
      <c r="Q45" s="244"/>
      <c r="R45" s="706"/>
    </row>
    <row r="46" spans="1:18" x14ac:dyDescent="0.3">
      <c r="A46" s="244"/>
      <c r="B46" s="244"/>
      <c r="C46" s="244"/>
      <c r="D46" s="244"/>
      <c r="E46" s="244"/>
      <c r="F46" s="244"/>
      <c r="G46" s="244"/>
      <c r="H46" s="244"/>
      <c r="I46" s="244"/>
      <c r="J46" s="244"/>
      <c r="K46" s="244"/>
      <c r="L46" s="244"/>
      <c r="M46" s="244"/>
      <c r="N46" s="244"/>
      <c r="O46" s="244"/>
      <c r="P46" s="244"/>
      <c r="Q46" s="244"/>
      <c r="R46" s="706"/>
    </row>
    <row r="47" spans="1:18" x14ac:dyDescent="0.3">
      <c r="A47" s="244"/>
      <c r="B47" s="244"/>
      <c r="C47" s="244"/>
      <c r="D47" s="244"/>
      <c r="E47" s="244"/>
      <c r="F47" s="244"/>
      <c r="G47" s="244"/>
      <c r="H47" s="244"/>
      <c r="I47" s="244"/>
      <c r="J47" s="244"/>
      <c r="K47" s="244"/>
      <c r="L47" s="244"/>
      <c r="M47" s="244"/>
      <c r="N47" s="244"/>
      <c r="O47" s="244"/>
      <c r="P47" s="244"/>
      <c r="Q47" s="244"/>
      <c r="R47" s="706"/>
    </row>
    <row r="48" spans="1:18" x14ac:dyDescent="0.3">
      <c r="A48" s="244"/>
      <c r="B48" s="244"/>
      <c r="C48" s="244"/>
      <c r="D48" s="244"/>
      <c r="E48" s="244"/>
      <c r="F48" s="244"/>
      <c r="G48" s="244"/>
      <c r="H48" s="244"/>
      <c r="I48" s="244"/>
      <c r="J48" s="244"/>
      <c r="K48" s="244"/>
      <c r="L48" s="244"/>
      <c r="M48" s="244"/>
      <c r="N48" s="244"/>
      <c r="O48" s="244"/>
      <c r="P48" s="244"/>
      <c r="Q48" s="244"/>
      <c r="R48" s="706"/>
    </row>
    <row r="49" spans="1:18" x14ac:dyDescent="0.3">
      <c r="A49" s="244"/>
      <c r="B49" s="244"/>
      <c r="C49" s="244"/>
      <c r="D49" s="244"/>
      <c r="E49" s="244"/>
      <c r="F49" s="244"/>
      <c r="G49" s="244"/>
      <c r="H49" s="244"/>
      <c r="I49" s="244"/>
      <c r="J49" s="244"/>
      <c r="K49" s="244"/>
      <c r="L49" s="244"/>
      <c r="M49" s="244"/>
      <c r="N49" s="244"/>
      <c r="O49" s="244"/>
      <c r="P49" s="244"/>
      <c r="Q49" s="244"/>
      <c r="R49" s="706"/>
    </row>
    <row r="50" spans="1:18" x14ac:dyDescent="0.3">
      <c r="A50" s="244"/>
      <c r="B50" s="244"/>
      <c r="C50" s="244"/>
      <c r="D50" s="244"/>
      <c r="E50" s="244"/>
      <c r="F50" s="244"/>
      <c r="G50" s="244"/>
      <c r="H50" s="244"/>
      <c r="I50" s="244"/>
      <c r="J50" s="244"/>
      <c r="K50" s="244"/>
      <c r="L50" s="244"/>
      <c r="M50" s="244"/>
      <c r="N50" s="244"/>
      <c r="O50" s="244"/>
      <c r="P50" s="244"/>
      <c r="Q50" s="244"/>
      <c r="R50" s="706"/>
    </row>
    <row r="51" spans="1:18" x14ac:dyDescent="0.3">
      <c r="A51" s="244"/>
      <c r="B51" s="244"/>
      <c r="C51" s="244"/>
      <c r="D51" s="244"/>
      <c r="E51" s="244"/>
      <c r="F51" s="244"/>
      <c r="G51" s="244"/>
      <c r="H51" s="244"/>
      <c r="I51" s="244"/>
      <c r="J51" s="244"/>
      <c r="K51" s="244"/>
      <c r="L51" s="244"/>
      <c r="M51" s="244"/>
      <c r="N51" s="244"/>
      <c r="O51" s="244"/>
      <c r="P51" s="244"/>
      <c r="Q51" s="244"/>
      <c r="R51" s="706"/>
    </row>
    <row r="52" spans="1:18" x14ac:dyDescent="0.3">
      <c r="A52" s="244"/>
      <c r="B52" s="244"/>
      <c r="C52" s="244"/>
      <c r="D52" s="244"/>
      <c r="E52" s="244"/>
      <c r="F52" s="244"/>
      <c r="G52" s="244"/>
      <c r="H52" s="244"/>
      <c r="I52" s="244"/>
      <c r="J52" s="244"/>
      <c r="K52" s="244"/>
      <c r="L52" s="244"/>
      <c r="M52" s="244"/>
      <c r="N52" s="244"/>
      <c r="O52" s="244"/>
      <c r="P52" s="244"/>
      <c r="Q52" s="244"/>
      <c r="R52" s="706"/>
    </row>
    <row r="53" spans="1:18" x14ac:dyDescent="0.3">
      <c r="A53" s="244"/>
      <c r="B53" s="244"/>
      <c r="C53" s="244"/>
      <c r="D53" s="244"/>
      <c r="E53" s="244"/>
      <c r="F53" s="244"/>
      <c r="G53" s="244"/>
      <c r="H53" s="244"/>
      <c r="I53" s="244"/>
      <c r="J53" s="244"/>
      <c r="K53" s="244"/>
      <c r="L53" s="244"/>
      <c r="M53" s="244"/>
      <c r="N53" s="244"/>
      <c r="O53" s="244"/>
      <c r="P53" s="244"/>
      <c r="Q53" s="244"/>
      <c r="R53" s="706"/>
    </row>
    <row r="54" spans="1:18" x14ac:dyDescent="0.3">
      <c r="A54" s="244"/>
      <c r="B54" s="244"/>
      <c r="C54" s="244"/>
      <c r="D54" s="244"/>
      <c r="E54" s="244"/>
      <c r="F54" s="244"/>
      <c r="G54" s="244"/>
      <c r="H54" s="244"/>
      <c r="I54" s="244"/>
      <c r="J54" s="244"/>
      <c r="K54" s="244"/>
      <c r="L54" s="244"/>
      <c r="M54" s="244"/>
      <c r="N54" s="244"/>
      <c r="O54" s="244"/>
      <c r="P54" s="244"/>
      <c r="Q54" s="244"/>
      <c r="R54" s="706"/>
    </row>
    <row r="55" spans="1:18" x14ac:dyDescent="0.3">
      <c r="A55" s="244"/>
      <c r="B55" s="244"/>
      <c r="C55" s="244"/>
      <c r="D55" s="244"/>
      <c r="E55" s="244"/>
      <c r="F55" s="244"/>
      <c r="G55" s="244"/>
      <c r="H55" s="244"/>
      <c r="I55" s="244"/>
      <c r="J55" s="244"/>
      <c r="K55" s="244"/>
      <c r="L55" s="244"/>
      <c r="M55" s="244"/>
      <c r="N55" s="244"/>
      <c r="O55" s="244"/>
      <c r="P55" s="244"/>
      <c r="Q55" s="244"/>
      <c r="R55" s="706"/>
    </row>
    <row r="56" spans="1:18" x14ac:dyDescent="0.3">
      <c r="A56" s="244"/>
      <c r="B56" s="244"/>
      <c r="C56" s="244"/>
      <c r="D56" s="244"/>
      <c r="E56" s="244"/>
      <c r="F56" s="244"/>
      <c r="G56" s="244"/>
      <c r="H56" s="244"/>
      <c r="I56" s="244"/>
      <c r="J56" s="244"/>
      <c r="K56" s="244"/>
      <c r="L56" s="244"/>
      <c r="M56" s="244"/>
      <c r="N56" s="244"/>
      <c r="O56" s="244"/>
      <c r="P56" s="244"/>
      <c r="Q56" s="244"/>
      <c r="R56" s="706"/>
    </row>
    <row r="57" spans="1:18" x14ac:dyDescent="0.3">
      <c r="A57" s="244"/>
      <c r="B57" s="244"/>
      <c r="C57" s="244"/>
      <c r="D57" s="244"/>
      <c r="E57" s="244"/>
      <c r="F57" s="244"/>
      <c r="G57" s="244"/>
      <c r="H57" s="244"/>
      <c r="I57" s="244"/>
      <c r="J57" s="244"/>
      <c r="K57" s="244"/>
      <c r="L57" s="244"/>
      <c r="M57" s="244"/>
      <c r="N57" s="244"/>
      <c r="O57" s="244"/>
      <c r="P57" s="244"/>
      <c r="Q57" s="244"/>
      <c r="R57" s="706"/>
    </row>
    <row r="58" spans="1:18" x14ac:dyDescent="0.3">
      <c r="A58" s="244"/>
      <c r="B58" s="244"/>
      <c r="C58" s="244"/>
      <c r="D58" s="244"/>
      <c r="E58" s="244"/>
      <c r="F58" s="244"/>
      <c r="G58" s="244"/>
      <c r="H58" s="244"/>
      <c r="I58" s="244"/>
      <c r="J58" s="244"/>
      <c r="K58" s="244"/>
      <c r="L58" s="244"/>
      <c r="M58" s="244"/>
      <c r="N58" s="244"/>
      <c r="O58" s="244"/>
      <c r="P58" s="244"/>
      <c r="Q58" s="244"/>
      <c r="R58" s="706"/>
    </row>
    <row r="59" spans="1:18" x14ac:dyDescent="0.3">
      <c r="A59" s="244"/>
      <c r="B59" s="244"/>
      <c r="C59" s="244"/>
      <c r="D59" s="244"/>
      <c r="E59" s="244"/>
      <c r="F59" s="244"/>
      <c r="G59" s="244"/>
      <c r="H59" s="244"/>
      <c r="I59" s="244"/>
      <c r="J59" s="244"/>
      <c r="K59" s="244"/>
      <c r="L59" s="244"/>
      <c r="M59" s="244"/>
      <c r="N59" s="244"/>
      <c r="O59" s="244"/>
      <c r="P59" s="244"/>
      <c r="Q59" s="244"/>
      <c r="R59" s="706"/>
    </row>
    <row r="60" spans="1:18" x14ac:dyDescent="0.3">
      <c r="A60" s="244"/>
      <c r="B60" s="244"/>
      <c r="C60" s="244"/>
      <c r="D60" s="244"/>
      <c r="E60" s="244"/>
      <c r="F60" s="244"/>
      <c r="G60" s="244"/>
      <c r="H60" s="244"/>
      <c r="I60" s="244"/>
      <c r="J60" s="244"/>
      <c r="K60" s="244"/>
      <c r="L60" s="244"/>
      <c r="M60" s="244"/>
      <c r="N60" s="244"/>
      <c r="O60" s="244"/>
      <c r="P60" s="244"/>
      <c r="Q60" s="244"/>
      <c r="R60" s="706"/>
    </row>
    <row r="61" spans="1:18" x14ac:dyDescent="0.3">
      <c r="A61" s="244"/>
      <c r="B61" s="244"/>
      <c r="C61" s="244"/>
      <c r="D61" s="244"/>
      <c r="E61" s="244"/>
      <c r="F61" s="244"/>
      <c r="G61" s="244"/>
      <c r="H61" s="244"/>
      <c r="I61" s="244"/>
      <c r="J61" s="244"/>
      <c r="K61" s="244"/>
      <c r="L61" s="244"/>
      <c r="M61" s="244"/>
      <c r="N61" s="244"/>
      <c r="O61" s="244"/>
      <c r="P61" s="244"/>
      <c r="Q61" s="244"/>
      <c r="R61" s="703"/>
    </row>
    <row r="62" spans="1:18" x14ac:dyDescent="0.3">
      <c r="A62" s="244"/>
      <c r="B62" s="244"/>
      <c r="C62" s="244"/>
      <c r="D62" s="244"/>
      <c r="E62" s="244"/>
      <c r="F62" s="244"/>
      <c r="G62" s="244"/>
      <c r="H62" s="244"/>
      <c r="I62" s="244"/>
      <c r="J62" s="244"/>
      <c r="K62" s="244"/>
      <c r="L62" s="244"/>
      <c r="M62" s="244"/>
      <c r="N62" s="244"/>
      <c r="O62" s="244"/>
      <c r="P62" s="244"/>
      <c r="Q62" s="244"/>
      <c r="R62" s="703"/>
    </row>
    <row r="63" spans="1:18" x14ac:dyDescent="0.3">
      <c r="A63" s="244"/>
      <c r="B63" s="244"/>
      <c r="C63" s="244"/>
      <c r="D63" s="244"/>
      <c r="E63" s="244"/>
      <c r="F63" s="244"/>
      <c r="G63" s="244"/>
      <c r="H63" s="244"/>
      <c r="I63" s="244"/>
      <c r="J63" s="244"/>
      <c r="K63" s="244"/>
      <c r="L63" s="244"/>
      <c r="M63" s="244"/>
      <c r="N63" s="244"/>
      <c r="O63" s="244"/>
      <c r="P63" s="244"/>
      <c r="Q63" s="244"/>
      <c r="R63" s="703"/>
    </row>
    <row r="64" spans="1:18" x14ac:dyDescent="0.3">
      <c r="A64" s="244"/>
      <c r="B64" s="244"/>
      <c r="C64" s="244"/>
      <c r="D64" s="244"/>
      <c r="E64" s="244"/>
      <c r="F64" s="244"/>
      <c r="G64" s="244"/>
      <c r="H64" s="244"/>
      <c r="I64" s="244"/>
      <c r="J64" s="244"/>
      <c r="K64" s="244"/>
      <c r="L64" s="244"/>
      <c r="M64" s="244"/>
      <c r="N64" s="244"/>
      <c r="O64" s="244"/>
      <c r="P64" s="244"/>
      <c r="Q64" s="244"/>
      <c r="R64" s="703"/>
    </row>
    <row r="65" spans="1:18" x14ac:dyDescent="0.3">
      <c r="A65" s="244"/>
      <c r="B65" s="244"/>
      <c r="C65" s="244"/>
      <c r="D65" s="244"/>
      <c r="E65" s="244"/>
      <c r="F65" s="244"/>
      <c r="G65" s="244"/>
      <c r="H65" s="244"/>
      <c r="I65" s="244"/>
      <c r="J65" s="244"/>
      <c r="K65" s="244"/>
      <c r="L65" s="244"/>
      <c r="M65" s="244"/>
      <c r="N65" s="244"/>
      <c r="O65" s="244"/>
      <c r="P65" s="244"/>
      <c r="Q65" s="244"/>
      <c r="R65" s="703"/>
    </row>
    <row r="66" spans="1:18" x14ac:dyDescent="0.3">
      <c r="A66" s="244"/>
      <c r="B66" s="244"/>
      <c r="C66" s="244"/>
      <c r="D66" s="244"/>
      <c r="E66" s="244"/>
      <c r="F66" s="244"/>
      <c r="G66" s="244"/>
      <c r="H66" s="244"/>
      <c r="I66" s="244"/>
      <c r="J66" s="244"/>
      <c r="K66" s="244"/>
      <c r="L66" s="244"/>
      <c r="M66" s="244"/>
      <c r="N66" s="244"/>
      <c r="O66" s="244"/>
      <c r="P66" s="244"/>
      <c r="Q66" s="244"/>
      <c r="R66" s="703"/>
    </row>
    <row r="67" spans="1:18" x14ac:dyDescent="0.3">
      <c r="A67" s="244"/>
      <c r="B67" s="244"/>
      <c r="C67" s="244"/>
      <c r="D67" s="244"/>
      <c r="E67" s="244"/>
      <c r="F67" s="244"/>
      <c r="G67" s="244"/>
      <c r="H67" s="244"/>
      <c r="I67" s="244"/>
      <c r="J67" s="244"/>
      <c r="K67" s="244"/>
      <c r="L67" s="244"/>
      <c r="M67" s="244"/>
      <c r="N67" s="244"/>
      <c r="O67" s="244"/>
      <c r="P67" s="244"/>
      <c r="Q67" s="244"/>
      <c r="R67" s="703"/>
    </row>
    <row r="68" spans="1:18" x14ac:dyDescent="0.3">
      <c r="A68" s="244"/>
      <c r="B68" s="244"/>
      <c r="C68" s="244"/>
      <c r="D68" s="244"/>
      <c r="E68" s="244"/>
      <c r="F68" s="244"/>
      <c r="G68" s="244"/>
      <c r="H68" s="244"/>
      <c r="I68" s="244"/>
      <c r="J68" s="244"/>
      <c r="K68" s="244"/>
      <c r="L68" s="244"/>
      <c r="M68" s="244"/>
      <c r="N68" s="244"/>
      <c r="O68" s="244"/>
      <c r="P68" s="244"/>
      <c r="Q68" s="244"/>
      <c r="R68" s="703"/>
    </row>
    <row r="69" spans="1:18" x14ac:dyDescent="0.3">
      <c r="A69" s="244"/>
      <c r="B69" s="244"/>
      <c r="C69" s="244"/>
      <c r="D69" s="244"/>
      <c r="E69" s="244"/>
      <c r="F69" s="244"/>
      <c r="G69" s="244"/>
      <c r="H69" s="244"/>
      <c r="I69" s="244"/>
      <c r="J69" s="244"/>
      <c r="K69" s="244"/>
      <c r="L69" s="244"/>
      <c r="M69" s="244"/>
      <c r="N69" s="244"/>
      <c r="O69" s="244"/>
      <c r="P69" s="244"/>
      <c r="Q69" s="244"/>
      <c r="R69" s="703"/>
    </row>
    <row r="70" spans="1:18" x14ac:dyDescent="0.3">
      <c r="A70" s="244"/>
      <c r="B70" s="244"/>
      <c r="C70" s="244"/>
      <c r="D70" s="244"/>
      <c r="E70" s="244"/>
      <c r="F70" s="244"/>
      <c r="G70" s="244"/>
      <c r="H70" s="244"/>
      <c r="I70" s="244"/>
      <c r="J70" s="244"/>
      <c r="K70" s="244"/>
      <c r="L70" s="244"/>
      <c r="M70" s="244"/>
      <c r="N70" s="244"/>
      <c r="O70" s="244"/>
      <c r="P70" s="244"/>
      <c r="Q70" s="244"/>
      <c r="R70" s="705"/>
    </row>
    <row r="71" spans="1:18" x14ac:dyDescent="0.3">
      <c r="A71" s="244"/>
      <c r="B71" s="244"/>
      <c r="C71" s="244"/>
      <c r="D71" s="244"/>
      <c r="E71" s="244"/>
      <c r="F71" s="244"/>
      <c r="G71" s="244"/>
      <c r="H71" s="244"/>
      <c r="I71" s="244"/>
      <c r="J71" s="244"/>
      <c r="K71" s="244"/>
      <c r="L71" s="244"/>
      <c r="M71" s="244"/>
      <c r="N71" s="244"/>
      <c r="O71" s="244"/>
      <c r="P71" s="244"/>
      <c r="Q71" s="244"/>
      <c r="R71" s="703"/>
    </row>
    <row r="72" spans="1:18" x14ac:dyDescent="0.3">
      <c r="A72" s="244"/>
      <c r="B72" s="244"/>
      <c r="C72" s="244"/>
      <c r="D72" s="244"/>
      <c r="E72" s="244"/>
      <c r="F72" s="244"/>
      <c r="G72" s="244"/>
      <c r="H72" s="244"/>
      <c r="I72" s="244"/>
      <c r="J72" s="244"/>
      <c r="K72" s="244"/>
      <c r="L72" s="244"/>
      <c r="M72" s="244"/>
      <c r="N72" s="244"/>
      <c r="O72" s="244"/>
      <c r="P72" s="244"/>
      <c r="Q72" s="244"/>
      <c r="R72" s="703"/>
    </row>
    <row r="73" spans="1:18" x14ac:dyDescent="0.3">
      <c r="A73" s="244"/>
      <c r="B73" s="244"/>
      <c r="C73" s="244"/>
      <c r="D73" s="244"/>
      <c r="E73" s="244"/>
      <c r="F73" s="244"/>
      <c r="G73" s="244"/>
      <c r="H73" s="244"/>
      <c r="I73" s="244"/>
      <c r="J73" s="244"/>
      <c r="K73" s="244"/>
      <c r="L73" s="244"/>
      <c r="M73" s="244"/>
      <c r="N73" s="244"/>
      <c r="O73" s="244"/>
      <c r="P73" s="244"/>
      <c r="Q73" s="244"/>
      <c r="R73" s="703"/>
    </row>
    <row r="74" spans="1:18" x14ac:dyDescent="0.3">
      <c r="A74" s="244"/>
      <c r="B74" s="244"/>
      <c r="C74" s="244"/>
      <c r="D74" s="244"/>
      <c r="E74" s="244"/>
      <c r="F74" s="244"/>
      <c r="G74" s="244"/>
      <c r="H74" s="244"/>
      <c r="I74" s="244"/>
      <c r="J74" s="244"/>
      <c r="K74" s="244"/>
      <c r="L74" s="244"/>
      <c r="M74" s="244"/>
      <c r="N74" s="244"/>
      <c r="O74" s="244"/>
      <c r="P74" s="244"/>
      <c r="Q74" s="244"/>
      <c r="R74" s="703"/>
    </row>
    <row r="75" spans="1:18" x14ac:dyDescent="0.3">
      <c r="A75" s="244"/>
      <c r="B75" s="244"/>
      <c r="C75" s="244"/>
      <c r="D75" s="244"/>
      <c r="E75" s="244"/>
      <c r="F75" s="244"/>
      <c r="G75" s="244"/>
      <c r="H75" s="244"/>
      <c r="I75" s="244"/>
      <c r="J75" s="244"/>
      <c r="K75" s="244"/>
      <c r="L75" s="244"/>
      <c r="M75" s="244"/>
      <c r="N75" s="244"/>
      <c r="O75" s="244"/>
      <c r="P75" s="244"/>
      <c r="Q75" s="244"/>
      <c r="R75" s="703"/>
    </row>
    <row r="76" spans="1:18" ht="15.6" x14ac:dyDescent="0.3">
      <c r="A76" s="244"/>
      <c r="B76" s="244"/>
      <c r="C76" s="244"/>
      <c r="D76" s="244"/>
      <c r="E76" s="244"/>
      <c r="F76" s="244"/>
      <c r="G76" s="244"/>
      <c r="H76" s="244"/>
      <c r="I76" s="244"/>
      <c r="J76" s="244"/>
      <c r="K76" s="244"/>
      <c r="L76" s="244"/>
      <c r="M76" s="244"/>
      <c r="N76" s="244"/>
      <c r="O76" s="244"/>
      <c r="P76" s="244"/>
      <c r="Q76" s="244"/>
      <c r="R76" s="704"/>
    </row>
    <row r="77" spans="1:18" x14ac:dyDescent="0.3">
      <c r="A77" s="244"/>
      <c r="B77" s="244"/>
      <c r="C77" s="244"/>
      <c r="D77" s="244"/>
      <c r="E77" s="244"/>
      <c r="F77" s="244"/>
      <c r="G77" s="244"/>
      <c r="H77" s="244"/>
      <c r="I77" s="244"/>
      <c r="J77" s="244"/>
      <c r="K77" s="244"/>
      <c r="L77" s="244"/>
      <c r="M77" s="244"/>
      <c r="N77" s="244"/>
      <c r="O77" s="244"/>
      <c r="P77" s="244"/>
      <c r="Q77" s="244"/>
      <c r="R77" s="703"/>
    </row>
    <row r="78" spans="1:18" x14ac:dyDescent="0.3">
      <c r="A78" s="244"/>
      <c r="B78" s="244"/>
      <c r="C78" s="244"/>
      <c r="D78" s="244"/>
      <c r="E78" s="244"/>
      <c r="F78" s="244"/>
      <c r="G78" s="244"/>
      <c r="H78" s="244"/>
      <c r="I78" s="244"/>
      <c r="J78" s="244"/>
      <c r="K78" s="244"/>
      <c r="L78" s="244"/>
      <c r="M78" s="244"/>
      <c r="N78" s="244"/>
      <c r="O78" s="244"/>
      <c r="P78" s="244"/>
      <c r="Q78" s="244"/>
      <c r="R78" s="703"/>
    </row>
    <row r="79" spans="1:18" x14ac:dyDescent="0.3">
      <c r="A79" s="244"/>
      <c r="B79" s="244"/>
      <c r="C79" s="244"/>
      <c r="D79" s="244"/>
      <c r="E79" s="244"/>
      <c r="F79" s="244"/>
      <c r="G79" s="244"/>
      <c r="H79" s="244"/>
      <c r="I79" s="244"/>
      <c r="J79" s="244"/>
      <c r="K79" s="244"/>
      <c r="L79" s="244"/>
      <c r="M79" s="244"/>
      <c r="N79" s="244"/>
      <c r="O79" s="244"/>
      <c r="P79" s="244"/>
      <c r="Q79" s="244"/>
      <c r="R79" s="703"/>
    </row>
    <row r="80" spans="1:18" x14ac:dyDescent="0.3">
      <c r="A80" s="244"/>
      <c r="B80" s="244"/>
      <c r="C80" s="244"/>
      <c r="D80" s="244"/>
      <c r="E80" s="244"/>
      <c r="F80" s="244"/>
      <c r="G80" s="244"/>
      <c r="H80" s="244"/>
      <c r="I80" s="244"/>
      <c r="J80" s="244"/>
      <c r="K80" s="244"/>
      <c r="L80" s="244"/>
      <c r="M80" s="244"/>
      <c r="N80" s="244"/>
      <c r="O80" s="244"/>
      <c r="P80" s="244"/>
      <c r="Q80" s="244"/>
      <c r="R80" s="703"/>
    </row>
    <row r="81" spans="1:18" x14ac:dyDescent="0.3">
      <c r="A81" s="244"/>
      <c r="B81" s="244"/>
      <c r="C81" s="244"/>
      <c r="D81" s="244"/>
      <c r="E81" s="244"/>
      <c r="F81" s="244"/>
      <c r="G81" s="244"/>
      <c r="H81" s="244"/>
      <c r="I81" s="244"/>
      <c r="J81" s="244"/>
      <c r="K81" s="244"/>
      <c r="L81" s="244"/>
      <c r="M81" s="244"/>
      <c r="N81" s="244"/>
      <c r="O81" s="244"/>
      <c r="P81" s="244"/>
      <c r="Q81" s="244"/>
      <c r="R81" s="703"/>
    </row>
    <row r="82" spans="1:18" x14ac:dyDescent="0.3">
      <c r="R82" s="703"/>
    </row>
    <row r="83" spans="1:18" x14ac:dyDescent="0.3">
      <c r="R83" s="703"/>
    </row>
    <row r="84" spans="1:18" x14ac:dyDescent="0.3">
      <c r="R84" s="703"/>
    </row>
    <row r="85" spans="1:18" x14ac:dyDescent="0.3">
      <c r="R85" s="703"/>
    </row>
    <row r="86" spans="1:18" x14ac:dyDescent="0.3">
      <c r="R86" s="703"/>
    </row>
    <row r="87" spans="1:18" x14ac:dyDescent="0.3">
      <c r="R87" s="703"/>
    </row>
    <row r="88" spans="1:18" x14ac:dyDescent="0.3">
      <c r="R88" s="703"/>
    </row>
    <row r="89" spans="1:18" x14ac:dyDescent="0.3">
      <c r="R89" s="703"/>
    </row>
    <row r="90" spans="1:18" x14ac:dyDescent="0.3">
      <c r="R90" s="703"/>
    </row>
    <row r="91" spans="1:18" x14ac:dyDescent="0.3">
      <c r="R91" s="703"/>
    </row>
    <row r="92" spans="1:18" x14ac:dyDescent="0.3">
      <c r="R92" s="703"/>
    </row>
    <row r="93" spans="1:18" x14ac:dyDescent="0.3">
      <c r="R93" s="703"/>
    </row>
    <row r="94" spans="1:18" x14ac:dyDescent="0.3">
      <c r="R94" s="703"/>
    </row>
    <row r="95" spans="1:18" x14ac:dyDescent="0.3">
      <c r="R95" s="703"/>
    </row>
    <row r="96" spans="1:18" x14ac:dyDescent="0.3">
      <c r="R96" s="703"/>
    </row>
    <row r="97" spans="18:18" x14ac:dyDescent="0.3">
      <c r="R97" s="703"/>
    </row>
    <row r="98" spans="18:18" x14ac:dyDescent="0.3">
      <c r="R98" s="703"/>
    </row>
    <row r="99" spans="18:18" x14ac:dyDescent="0.3">
      <c r="R99" s="703"/>
    </row>
    <row r="100" spans="18:18" x14ac:dyDescent="0.3">
      <c r="R100" s="703"/>
    </row>
    <row r="101" spans="18:18" x14ac:dyDescent="0.3">
      <c r="R101" s="703"/>
    </row>
    <row r="102" spans="18:18" x14ac:dyDescent="0.3">
      <c r="R102" s="703"/>
    </row>
    <row r="103" spans="18:18" x14ac:dyDescent="0.3">
      <c r="R103" s="703"/>
    </row>
    <row r="104" spans="18:18" x14ac:dyDescent="0.3">
      <c r="R104" s="703"/>
    </row>
    <row r="105" spans="18:18" x14ac:dyDescent="0.3">
      <c r="R105" s="703"/>
    </row>
    <row r="106" spans="18:18" x14ac:dyDescent="0.3">
      <c r="R106" s="703"/>
    </row>
    <row r="107" spans="18:18" x14ac:dyDescent="0.3">
      <c r="R107" s="703"/>
    </row>
    <row r="108" spans="18:18" x14ac:dyDescent="0.3">
      <c r="R108" s="702"/>
    </row>
    <row r="109" spans="18:18" x14ac:dyDescent="0.3">
      <c r="R109" s="702"/>
    </row>
    <row r="110" spans="18:18" x14ac:dyDescent="0.3">
      <c r="R110" s="702"/>
    </row>
    <row r="111" spans="18:18" x14ac:dyDescent="0.3">
      <c r="R111" s="702"/>
    </row>
    <row r="112" spans="18:18" x14ac:dyDescent="0.3">
      <c r="R112" s="702"/>
    </row>
    <row r="113" spans="18:18" x14ac:dyDescent="0.3">
      <c r="R113" s="702"/>
    </row>
    <row r="114" spans="18:18" x14ac:dyDescent="0.3">
      <c r="R114" s="702"/>
    </row>
    <row r="115" spans="18:18" x14ac:dyDescent="0.3">
      <c r="R115" s="702"/>
    </row>
    <row r="116" spans="18:18" x14ac:dyDescent="0.3">
      <c r="R116" s="702"/>
    </row>
    <row r="117" spans="18:18" x14ac:dyDescent="0.3">
      <c r="R117" s="702"/>
    </row>
    <row r="118" spans="18:18" x14ac:dyDescent="0.3">
      <c r="R118" s="702"/>
    </row>
    <row r="119" spans="18:18" x14ac:dyDescent="0.3">
      <c r="R119" s="702"/>
    </row>
    <row r="120" spans="18:18" x14ac:dyDescent="0.3">
      <c r="R120" s="702"/>
    </row>
    <row r="121" spans="18:18" x14ac:dyDescent="0.3">
      <c r="R121" s="702"/>
    </row>
    <row r="122" spans="18:18" x14ac:dyDescent="0.3">
      <c r="R122" s="702"/>
    </row>
    <row r="123" spans="18:18" x14ac:dyDescent="0.3">
      <c r="R123" s="702"/>
    </row>
    <row r="124" spans="18:18" x14ac:dyDescent="0.3">
      <c r="R124" s="702"/>
    </row>
    <row r="125" spans="18:18" x14ac:dyDescent="0.3">
      <c r="R125" s="702"/>
    </row>
    <row r="126" spans="18:18" x14ac:dyDescent="0.3">
      <c r="R126" s="702"/>
    </row>
    <row r="127" spans="18:18" x14ac:dyDescent="0.3">
      <c r="R127" s="702"/>
    </row>
    <row r="128" spans="18:18" x14ac:dyDescent="0.3">
      <c r="R128" s="702"/>
    </row>
    <row r="129" spans="18:18" x14ac:dyDescent="0.3">
      <c r="R129" s="702"/>
    </row>
    <row r="130" spans="18:18" x14ac:dyDescent="0.3">
      <c r="R130" s="702"/>
    </row>
    <row r="131" spans="18:18" x14ac:dyDescent="0.3">
      <c r="R131" s="702"/>
    </row>
    <row r="132" spans="18:18" x14ac:dyDescent="0.3">
      <c r="R132" s="702"/>
    </row>
    <row r="133" spans="18:18" x14ac:dyDescent="0.3">
      <c r="R133" s="702"/>
    </row>
    <row r="134" spans="18:18" x14ac:dyDescent="0.3">
      <c r="R134" s="702"/>
    </row>
    <row r="135" spans="18:18" x14ac:dyDescent="0.3">
      <c r="R135" s="702"/>
    </row>
    <row r="136" spans="18:18" x14ac:dyDescent="0.3">
      <c r="R136" s="702"/>
    </row>
    <row r="137" spans="18:18" x14ac:dyDescent="0.3">
      <c r="R137" s="702"/>
    </row>
    <row r="138" spans="18:18" x14ac:dyDescent="0.3">
      <c r="R138" s="702"/>
    </row>
    <row r="139" spans="18:18" x14ac:dyDescent="0.3">
      <c r="R139" s="702"/>
    </row>
    <row r="140" spans="18:18" x14ac:dyDescent="0.3">
      <c r="R140" s="702"/>
    </row>
    <row r="141" spans="18:18" x14ac:dyDescent="0.3">
      <c r="R141" s="702"/>
    </row>
    <row r="142" spans="18:18" x14ac:dyDescent="0.3">
      <c r="R142" s="702"/>
    </row>
    <row r="143" spans="18:18" x14ac:dyDescent="0.3">
      <c r="R143" s="702"/>
    </row>
    <row r="144" spans="18:18" x14ac:dyDescent="0.3">
      <c r="R144" s="702"/>
    </row>
    <row r="145" spans="18:18" x14ac:dyDescent="0.3">
      <c r="R145" s="702"/>
    </row>
    <row r="146" spans="18:18" x14ac:dyDescent="0.3">
      <c r="R146" s="702"/>
    </row>
    <row r="147" spans="18:18" x14ac:dyDescent="0.3">
      <c r="R147" s="702"/>
    </row>
    <row r="148" spans="18:18" x14ac:dyDescent="0.3">
      <c r="R148" s="702"/>
    </row>
    <row r="149" spans="18:18" x14ac:dyDescent="0.3">
      <c r="R149" s="702"/>
    </row>
    <row r="150" spans="18:18" x14ac:dyDescent="0.3">
      <c r="R150" s="702"/>
    </row>
    <row r="151" spans="18:18" x14ac:dyDescent="0.3">
      <c r="R151" s="702"/>
    </row>
    <row r="152" spans="18:18" x14ac:dyDescent="0.3">
      <c r="R152" s="702"/>
    </row>
    <row r="153" spans="18:18" x14ac:dyDescent="0.3">
      <c r="R153" s="702"/>
    </row>
    <row r="154" spans="18:18" x14ac:dyDescent="0.3">
      <c r="R154" s="702"/>
    </row>
    <row r="155" spans="18:18" x14ac:dyDescent="0.3">
      <c r="R155" s="702"/>
    </row>
    <row r="156" spans="18:18" x14ac:dyDescent="0.3">
      <c r="R156" s="702"/>
    </row>
    <row r="157" spans="18:18" x14ac:dyDescent="0.3">
      <c r="R157" s="702"/>
    </row>
    <row r="158" spans="18:18" x14ac:dyDescent="0.3">
      <c r="R158" s="702"/>
    </row>
    <row r="159" spans="18:18" x14ac:dyDescent="0.3">
      <c r="R159" s="702"/>
    </row>
    <row r="160" spans="18:18" x14ac:dyDescent="0.3">
      <c r="R160" s="702"/>
    </row>
    <row r="161" spans="18:18" x14ac:dyDescent="0.3">
      <c r="R161" s="702"/>
    </row>
    <row r="162" spans="18:18" x14ac:dyDescent="0.3">
      <c r="R162" s="702"/>
    </row>
    <row r="163" spans="18:18" x14ac:dyDescent="0.3">
      <c r="R163" s="702"/>
    </row>
    <row r="164" spans="18:18" x14ac:dyDescent="0.3">
      <c r="R164" s="702"/>
    </row>
    <row r="165" spans="18:18" x14ac:dyDescent="0.3">
      <c r="R165" s="702"/>
    </row>
    <row r="166" spans="18:18" x14ac:dyDescent="0.3">
      <c r="R166" s="702"/>
    </row>
    <row r="167" spans="18:18" x14ac:dyDescent="0.3">
      <c r="R167" s="702"/>
    </row>
    <row r="168" spans="18:18" x14ac:dyDescent="0.3">
      <c r="R168" s="702"/>
    </row>
    <row r="169" spans="18:18" x14ac:dyDescent="0.3">
      <c r="R169" s="702"/>
    </row>
    <row r="170" spans="18:18" x14ac:dyDescent="0.3">
      <c r="R170" s="702"/>
    </row>
    <row r="171" spans="18:18" x14ac:dyDescent="0.3">
      <c r="R171" s="702"/>
    </row>
    <row r="172" spans="18:18" x14ac:dyDescent="0.3">
      <c r="R172" s="702"/>
    </row>
    <row r="173" spans="18:18" x14ac:dyDescent="0.3">
      <c r="R173" s="702"/>
    </row>
    <row r="174" spans="18:18" x14ac:dyDescent="0.3">
      <c r="R174" s="702"/>
    </row>
    <row r="175" spans="18:18" x14ac:dyDescent="0.3">
      <c r="R175" s="702"/>
    </row>
    <row r="176" spans="18:18" x14ac:dyDescent="0.3">
      <c r="R176" s="702"/>
    </row>
    <row r="177" spans="18:18" x14ac:dyDescent="0.3">
      <c r="R177" s="702"/>
    </row>
    <row r="178" spans="18:18" x14ac:dyDescent="0.3">
      <c r="R178" s="702"/>
    </row>
    <row r="179" spans="18:18" x14ac:dyDescent="0.3">
      <c r="R179" s="702"/>
    </row>
    <row r="180" spans="18:18" x14ac:dyDescent="0.3">
      <c r="R180" s="702"/>
    </row>
    <row r="181" spans="18:18" x14ac:dyDescent="0.3">
      <c r="R181" s="702"/>
    </row>
    <row r="182" spans="18:18" x14ac:dyDescent="0.3">
      <c r="R182" s="702"/>
    </row>
    <row r="183" spans="18:18" x14ac:dyDescent="0.3">
      <c r="R183" s="702"/>
    </row>
    <row r="184" spans="18:18" x14ac:dyDescent="0.3">
      <c r="R184" s="702"/>
    </row>
    <row r="185" spans="18:18" x14ac:dyDescent="0.3">
      <c r="R185" s="702"/>
    </row>
    <row r="186" spans="18:18" x14ac:dyDescent="0.3">
      <c r="R186" s="702"/>
    </row>
    <row r="187" spans="18:18" x14ac:dyDescent="0.3">
      <c r="R187" s="702"/>
    </row>
    <row r="188" spans="18:18" x14ac:dyDescent="0.3">
      <c r="R188" s="702"/>
    </row>
    <row r="189" spans="18:18" x14ac:dyDescent="0.3">
      <c r="R189" s="702"/>
    </row>
    <row r="190" spans="18:18" x14ac:dyDescent="0.3">
      <c r="R190" s="702"/>
    </row>
    <row r="191" spans="18:18" x14ac:dyDescent="0.3">
      <c r="R191" s="702"/>
    </row>
    <row r="192" spans="18:18" x14ac:dyDescent="0.3">
      <c r="R192" s="702"/>
    </row>
    <row r="193" spans="18:18" x14ac:dyDescent="0.3">
      <c r="R193" s="702"/>
    </row>
    <row r="194" spans="18:18" x14ac:dyDescent="0.3">
      <c r="R194" s="702"/>
    </row>
    <row r="195" spans="18:18" x14ac:dyDescent="0.3">
      <c r="R195" s="702"/>
    </row>
    <row r="196" spans="18:18" x14ac:dyDescent="0.3">
      <c r="R196" s="702"/>
    </row>
    <row r="197" spans="18:18" x14ac:dyDescent="0.3">
      <c r="R197" s="702"/>
    </row>
    <row r="198" spans="18:18" x14ac:dyDescent="0.3">
      <c r="R198" s="702"/>
    </row>
    <row r="199" spans="18:18" x14ac:dyDescent="0.3">
      <c r="R199" s="702"/>
    </row>
    <row r="200" spans="18:18" x14ac:dyDescent="0.3">
      <c r="R200" s="702"/>
    </row>
    <row r="201" spans="18:18" x14ac:dyDescent="0.3">
      <c r="R201" s="702"/>
    </row>
    <row r="202" spans="18:18" x14ac:dyDescent="0.3">
      <c r="R202" s="702"/>
    </row>
    <row r="203" spans="18:18" x14ac:dyDescent="0.3">
      <c r="R203" s="702"/>
    </row>
    <row r="204" spans="18:18" x14ac:dyDescent="0.3">
      <c r="R204" s="702"/>
    </row>
    <row r="205" spans="18:18" x14ac:dyDescent="0.3">
      <c r="R205" s="702"/>
    </row>
    <row r="206" spans="18:18" x14ac:dyDescent="0.3">
      <c r="R206" s="702"/>
    </row>
    <row r="207" spans="18:18" x14ac:dyDescent="0.3">
      <c r="R207" s="702"/>
    </row>
    <row r="208" spans="18:18" x14ac:dyDescent="0.3">
      <c r="R208" s="702"/>
    </row>
    <row r="209" spans="18:18" x14ac:dyDescent="0.3">
      <c r="R209" s="702"/>
    </row>
    <row r="210" spans="18:18" x14ac:dyDescent="0.3">
      <c r="R210" s="702"/>
    </row>
    <row r="211" spans="18:18" x14ac:dyDescent="0.3">
      <c r="R211" s="702"/>
    </row>
    <row r="212" spans="18:18" x14ac:dyDescent="0.3">
      <c r="R212" s="702"/>
    </row>
    <row r="213" spans="18:18" x14ac:dyDescent="0.3">
      <c r="R213" s="702"/>
    </row>
    <row r="214" spans="18:18" x14ac:dyDescent="0.3">
      <c r="R214" s="702"/>
    </row>
    <row r="215" spans="18:18" x14ac:dyDescent="0.3">
      <c r="R215" s="702"/>
    </row>
    <row r="216" spans="18:18" x14ac:dyDescent="0.3">
      <c r="R216" s="702"/>
    </row>
    <row r="217" spans="18:18" x14ac:dyDescent="0.3">
      <c r="R217" s="702"/>
    </row>
    <row r="218" spans="18:18" x14ac:dyDescent="0.3">
      <c r="R218" s="702"/>
    </row>
    <row r="219" spans="18:18" x14ac:dyDescent="0.3">
      <c r="R219" s="702"/>
    </row>
    <row r="220" spans="18:18" x14ac:dyDescent="0.3">
      <c r="R220" s="702"/>
    </row>
    <row r="221" spans="18:18" x14ac:dyDescent="0.3">
      <c r="R221" s="702"/>
    </row>
    <row r="222" spans="18:18" x14ac:dyDescent="0.3">
      <c r="R222" s="702"/>
    </row>
    <row r="223" spans="18:18" x14ac:dyDescent="0.3">
      <c r="R223" s="702"/>
    </row>
    <row r="224" spans="18:18" x14ac:dyDescent="0.3">
      <c r="R224" s="702"/>
    </row>
    <row r="225" spans="18:18" x14ac:dyDescent="0.3">
      <c r="R225" s="702"/>
    </row>
    <row r="226" spans="18:18" x14ac:dyDescent="0.3">
      <c r="R226" s="702"/>
    </row>
    <row r="227" spans="18:18" x14ac:dyDescent="0.3">
      <c r="R227" s="702"/>
    </row>
    <row r="228" spans="18:18" x14ac:dyDescent="0.3">
      <c r="R228" s="702"/>
    </row>
    <row r="229" spans="18:18" x14ac:dyDescent="0.3">
      <c r="R229" s="702"/>
    </row>
    <row r="230" spans="18:18" x14ac:dyDescent="0.3">
      <c r="R230" s="702"/>
    </row>
    <row r="231" spans="18:18" x14ac:dyDescent="0.3">
      <c r="R231" s="702"/>
    </row>
    <row r="232" spans="18:18" x14ac:dyDescent="0.3">
      <c r="R232" s="702"/>
    </row>
    <row r="233" spans="18:18" x14ac:dyDescent="0.3">
      <c r="R233" s="702"/>
    </row>
    <row r="234" spans="18:18" x14ac:dyDescent="0.3">
      <c r="R234" s="702"/>
    </row>
    <row r="235" spans="18:18" x14ac:dyDescent="0.3">
      <c r="R235" s="702"/>
    </row>
    <row r="236" spans="18:18" x14ac:dyDescent="0.3">
      <c r="R236" s="702"/>
    </row>
    <row r="237" spans="18:18" x14ac:dyDescent="0.3">
      <c r="R237" s="702"/>
    </row>
    <row r="238" spans="18:18" x14ac:dyDescent="0.3">
      <c r="R238" s="702"/>
    </row>
    <row r="239" spans="18:18" x14ac:dyDescent="0.3">
      <c r="R239" s="702"/>
    </row>
    <row r="240" spans="18:18" x14ac:dyDescent="0.3">
      <c r="R240" s="702"/>
    </row>
    <row r="241" spans="18:18" x14ac:dyDescent="0.3">
      <c r="R241" s="702"/>
    </row>
    <row r="242" spans="18:18" x14ac:dyDescent="0.3">
      <c r="R242" s="702"/>
    </row>
    <row r="243" spans="18:18" x14ac:dyDescent="0.3">
      <c r="R243" s="702"/>
    </row>
    <row r="244" spans="18:18" x14ac:dyDescent="0.3">
      <c r="R244" s="702"/>
    </row>
    <row r="245" spans="18:18" x14ac:dyDescent="0.3">
      <c r="R245" s="702"/>
    </row>
    <row r="246" spans="18:18" x14ac:dyDescent="0.3">
      <c r="R246" s="702"/>
    </row>
    <row r="247" spans="18:18" x14ac:dyDescent="0.3">
      <c r="R247" s="702"/>
    </row>
    <row r="248" spans="18:18" x14ac:dyDescent="0.3">
      <c r="R248" s="702"/>
    </row>
    <row r="249" spans="18:18" x14ac:dyDescent="0.3">
      <c r="R249" s="702"/>
    </row>
    <row r="250" spans="18:18" x14ac:dyDescent="0.3">
      <c r="R250" s="702"/>
    </row>
    <row r="251" spans="18:18" x14ac:dyDescent="0.3">
      <c r="R251" s="702"/>
    </row>
    <row r="252" spans="18:18" x14ac:dyDescent="0.3">
      <c r="R252" s="702"/>
    </row>
    <row r="253" spans="18:18" x14ac:dyDescent="0.3">
      <c r="R253" s="702"/>
    </row>
    <row r="254" spans="18:18" x14ac:dyDescent="0.3">
      <c r="R254" s="702"/>
    </row>
    <row r="255" spans="18:18" x14ac:dyDescent="0.3">
      <c r="R255" s="702"/>
    </row>
    <row r="256" spans="18:18" x14ac:dyDescent="0.3">
      <c r="R256" s="702"/>
    </row>
    <row r="257" spans="18:18" x14ac:dyDescent="0.3">
      <c r="R257" s="702"/>
    </row>
    <row r="258" spans="18:18" x14ac:dyDescent="0.3">
      <c r="R258" s="702"/>
    </row>
    <row r="259" spans="18:18" x14ac:dyDescent="0.3">
      <c r="R259" s="702"/>
    </row>
    <row r="260" spans="18:18" x14ac:dyDescent="0.3">
      <c r="R260" s="702"/>
    </row>
    <row r="261" spans="18:18" x14ac:dyDescent="0.3">
      <c r="R261" s="702"/>
    </row>
    <row r="262" spans="18:18" x14ac:dyDescent="0.3">
      <c r="R262" s="702"/>
    </row>
    <row r="263" spans="18:18" x14ac:dyDescent="0.3">
      <c r="R263" s="702"/>
    </row>
    <row r="264" spans="18:18" x14ac:dyDescent="0.3">
      <c r="R264" s="702"/>
    </row>
    <row r="265" spans="18:18" x14ac:dyDescent="0.3">
      <c r="R265" s="702"/>
    </row>
    <row r="266" spans="18:18" x14ac:dyDescent="0.3">
      <c r="R266" s="702"/>
    </row>
    <row r="267" spans="18:18" x14ac:dyDescent="0.3">
      <c r="R267" s="702"/>
    </row>
    <row r="268" spans="18:18" x14ac:dyDescent="0.3">
      <c r="R268" s="702"/>
    </row>
    <row r="269" spans="18:18" x14ac:dyDescent="0.3">
      <c r="R269" s="702"/>
    </row>
    <row r="270" spans="18:18" x14ac:dyDescent="0.3">
      <c r="R270" s="702"/>
    </row>
    <row r="271" spans="18:18" x14ac:dyDescent="0.3">
      <c r="R271" s="702"/>
    </row>
    <row r="272" spans="18:18" x14ac:dyDescent="0.3">
      <c r="R272" s="702"/>
    </row>
    <row r="273" spans="18:18" x14ac:dyDescent="0.3">
      <c r="R273" s="702"/>
    </row>
    <row r="274" spans="18:18" x14ac:dyDescent="0.3">
      <c r="R274" s="702"/>
    </row>
    <row r="275" spans="18:18" x14ac:dyDescent="0.3">
      <c r="R275" s="702"/>
    </row>
    <row r="276" spans="18:18" x14ac:dyDescent="0.3">
      <c r="R276" s="702"/>
    </row>
    <row r="277" spans="18:18" x14ac:dyDescent="0.3">
      <c r="R277" s="702"/>
    </row>
    <row r="278" spans="18:18" x14ac:dyDescent="0.3">
      <c r="R278" s="702"/>
    </row>
    <row r="279" spans="18:18" x14ac:dyDescent="0.3">
      <c r="R279" s="702"/>
    </row>
    <row r="280" spans="18:18" x14ac:dyDescent="0.3">
      <c r="R280" s="702"/>
    </row>
    <row r="281" spans="18:18" x14ac:dyDescent="0.3">
      <c r="R281" s="702"/>
    </row>
    <row r="282" spans="18:18" x14ac:dyDescent="0.3">
      <c r="R282" s="702"/>
    </row>
    <row r="283" spans="18:18" x14ac:dyDescent="0.3">
      <c r="R283" s="702"/>
    </row>
    <row r="284" spans="18:18" x14ac:dyDescent="0.3">
      <c r="R284" s="702"/>
    </row>
    <row r="285" spans="18:18" x14ac:dyDescent="0.3">
      <c r="R285" s="702"/>
    </row>
    <row r="286" spans="18:18" x14ac:dyDescent="0.3">
      <c r="R286" s="702"/>
    </row>
    <row r="287" spans="18:18" x14ac:dyDescent="0.3">
      <c r="R287" s="702"/>
    </row>
    <row r="288" spans="18:18" x14ac:dyDescent="0.3">
      <c r="R288" s="702"/>
    </row>
    <row r="289" spans="18:18" x14ac:dyDescent="0.3">
      <c r="R289" s="702"/>
    </row>
    <row r="290" spans="18:18" x14ac:dyDescent="0.3">
      <c r="R290" s="702"/>
    </row>
    <row r="291" spans="18:18" x14ac:dyDescent="0.3">
      <c r="R291" s="702"/>
    </row>
    <row r="292" spans="18:18" x14ac:dyDescent="0.3">
      <c r="R292" s="702"/>
    </row>
    <row r="293" spans="18:18" x14ac:dyDescent="0.3">
      <c r="R293" s="702"/>
    </row>
    <row r="294" spans="18:18" x14ac:dyDescent="0.3">
      <c r="R294" s="702"/>
    </row>
    <row r="295" spans="18:18" x14ac:dyDescent="0.3">
      <c r="R295" s="702"/>
    </row>
    <row r="296" spans="18:18" x14ac:dyDescent="0.3">
      <c r="R296" s="702"/>
    </row>
    <row r="297" spans="18:18" x14ac:dyDescent="0.3">
      <c r="R297" s="702"/>
    </row>
    <row r="298" spans="18:18" x14ac:dyDescent="0.3">
      <c r="R298" s="702"/>
    </row>
    <row r="299" spans="18:18" x14ac:dyDescent="0.3">
      <c r="R299" s="702"/>
    </row>
    <row r="300" spans="18:18" x14ac:dyDescent="0.3">
      <c r="R300" s="702"/>
    </row>
    <row r="301" spans="18:18" x14ac:dyDescent="0.3">
      <c r="R301" s="702"/>
    </row>
    <row r="302" spans="18:18" x14ac:dyDescent="0.3">
      <c r="R302" s="702"/>
    </row>
    <row r="303" spans="18:18" x14ac:dyDescent="0.3">
      <c r="R303" s="702"/>
    </row>
    <row r="304" spans="18:18" x14ac:dyDescent="0.3">
      <c r="R304" s="702"/>
    </row>
    <row r="305" spans="18:18" x14ac:dyDescent="0.3">
      <c r="R305" s="702"/>
    </row>
    <row r="306" spans="18:18" x14ac:dyDescent="0.3">
      <c r="R306" s="702"/>
    </row>
    <row r="307" spans="18:18" x14ac:dyDescent="0.3">
      <c r="R307" s="702"/>
    </row>
    <row r="308" spans="18:18" x14ac:dyDescent="0.3">
      <c r="R308" s="702"/>
    </row>
    <row r="309" spans="18:18" x14ac:dyDescent="0.3">
      <c r="R309" s="702"/>
    </row>
    <row r="310" spans="18:18" x14ac:dyDescent="0.3">
      <c r="R310" s="702"/>
    </row>
    <row r="311" spans="18:18" x14ac:dyDescent="0.3">
      <c r="R311" s="702"/>
    </row>
    <row r="312" spans="18:18" x14ac:dyDescent="0.3">
      <c r="R312" s="702"/>
    </row>
    <row r="313" spans="18:18" x14ac:dyDescent="0.3">
      <c r="R313" s="702"/>
    </row>
    <row r="314" spans="18:18" x14ac:dyDescent="0.3">
      <c r="R314" s="702"/>
    </row>
    <row r="315" spans="18:18" x14ac:dyDescent="0.3">
      <c r="R315" s="702"/>
    </row>
    <row r="316" spans="18:18" x14ac:dyDescent="0.3">
      <c r="R316" s="702"/>
    </row>
    <row r="317" spans="18:18" x14ac:dyDescent="0.3">
      <c r="R317" s="702"/>
    </row>
    <row r="318" spans="18:18" x14ac:dyDescent="0.3">
      <c r="R318" s="702"/>
    </row>
    <row r="319" spans="18:18" x14ac:dyDescent="0.3">
      <c r="R319" s="702"/>
    </row>
    <row r="320" spans="18:18" x14ac:dyDescent="0.3">
      <c r="R320" s="702"/>
    </row>
    <row r="321" spans="18:18" x14ac:dyDescent="0.3">
      <c r="R321" s="702"/>
    </row>
    <row r="322" spans="18:18" x14ac:dyDescent="0.3">
      <c r="R322" s="702"/>
    </row>
    <row r="323" spans="18:18" x14ac:dyDescent="0.3">
      <c r="R323" s="702"/>
    </row>
    <row r="324" spans="18:18" x14ac:dyDescent="0.3">
      <c r="R324" s="702"/>
    </row>
    <row r="325" spans="18:18" x14ac:dyDescent="0.3">
      <c r="R325" s="702"/>
    </row>
    <row r="326" spans="18:18" x14ac:dyDescent="0.3">
      <c r="R326" s="702"/>
    </row>
    <row r="327" spans="18:18" x14ac:dyDescent="0.3">
      <c r="R327" s="702"/>
    </row>
    <row r="328" spans="18:18" x14ac:dyDescent="0.3">
      <c r="R328" s="702"/>
    </row>
    <row r="329" spans="18:18" x14ac:dyDescent="0.3">
      <c r="R329" s="702"/>
    </row>
    <row r="330" spans="18:18" x14ac:dyDescent="0.3">
      <c r="R330" s="702"/>
    </row>
    <row r="331" spans="18:18" x14ac:dyDescent="0.3">
      <c r="R331" s="702"/>
    </row>
    <row r="332" spans="18:18" x14ac:dyDescent="0.3">
      <c r="R332" s="702"/>
    </row>
    <row r="333" spans="18:18" x14ac:dyDescent="0.3">
      <c r="R333" s="702"/>
    </row>
    <row r="334" spans="18:18" x14ac:dyDescent="0.3">
      <c r="R334" s="702"/>
    </row>
    <row r="335" spans="18:18" x14ac:dyDescent="0.3">
      <c r="R335" s="702"/>
    </row>
    <row r="336" spans="18:18" x14ac:dyDescent="0.3">
      <c r="R336" s="702"/>
    </row>
    <row r="337" spans="18:18" x14ac:dyDescent="0.3">
      <c r="R337" s="702"/>
    </row>
    <row r="338" spans="18:18" x14ac:dyDescent="0.3">
      <c r="R338" s="702"/>
    </row>
    <row r="339" spans="18:18" x14ac:dyDescent="0.3">
      <c r="R339" s="702"/>
    </row>
    <row r="340" spans="18:18" x14ac:dyDescent="0.3">
      <c r="R340" s="702"/>
    </row>
    <row r="341" spans="18:18" x14ac:dyDescent="0.3">
      <c r="R341" s="702"/>
    </row>
    <row r="342" spans="18:18" x14ac:dyDescent="0.3">
      <c r="R342" s="702"/>
    </row>
    <row r="343" spans="18:18" x14ac:dyDescent="0.3">
      <c r="R343" s="702"/>
    </row>
    <row r="344" spans="18:18" x14ac:dyDescent="0.3">
      <c r="R344" s="702"/>
    </row>
    <row r="345" spans="18:18" x14ac:dyDescent="0.3">
      <c r="R345" s="702"/>
    </row>
    <row r="346" spans="18:18" x14ac:dyDescent="0.3">
      <c r="R346" s="702"/>
    </row>
    <row r="347" spans="18:18" x14ac:dyDescent="0.3">
      <c r="R347" s="702"/>
    </row>
    <row r="348" spans="18:18" x14ac:dyDescent="0.3">
      <c r="R348" s="702"/>
    </row>
    <row r="349" spans="18:18" x14ac:dyDescent="0.3">
      <c r="R349" s="702"/>
    </row>
    <row r="350" spans="18:18" x14ac:dyDescent="0.3">
      <c r="R350" s="702"/>
    </row>
    <row r="351" spans="18:18" x14ac:dyDescent="0.3">
      <c r="R351" s="702"/>
    </row>
    <row r="352" spans="18:18" x14ac:dyDescent="0.3">
      <c r="R352" s="702"/>
    </row>
    <row r="353" spans="18:18" x14ac:dyDescent="0.3">
      <c r="R353" s="702"/>
    </row>
    <row r="354" spans="18:18" x14ac:dyDescent="0.3">
      <c r="R354" s="702"/>
    </row>
    <row r="355" spans="18:18" x14ac:dyDescent="0.3">
      <c r="R355" s="702"/>
    </row>
    <row r="356" spans="18:18" x14ac:dyDescent="0.3">
      <c r="R356" s="702"/>
    </row>
    <row r="357" spans="18:18" x14ac:dyDescent="0.3">
      <c r="R357" s="702"/>
    </row>
    <row r="358" spans="18:18" x14ac:dyDescent="0.3">
      <c r="R358" s="702"/>
    </row>
    <row r="359" spans="18:18" x14ac:dyDescent="0.3">
      <c r="R359" s="702"/>
    </row>
    <row r="360" spans="18:18" x14ac:dyDescent="0.3">
      <c r="R360" s="702"/>
    </row>
    <row r="361" spans="18:18" x14ac:dyDescent="0.3">
      <c r="R361" s="702"/>
    </row>
    <row r="362" spans="18:18" x14ac:dyDescent="0.3">
      <c r="R362" s="702"/>
    </row>
    <row r="363" spans="18:18" x14ac:dyDescent="0.3">
      <c r="R363" s="702"/>
    </row>
    <row r="364" spans="18:18" x14ac:dyDescent="0.3">
      <c r="R364" s="702"/>
    </row>
    <row r="365" spans="18:18" x14ac:dyDescent="0.3">
      <c r="R365" s="702"/>
    </row>
    <row r="366" spans="18:18" x14ac:dyDescent="0.3">
      <c r="R366" s="702"/>
    </row>
    <row r="367" spans="18:18" x14ac:dyDescent="0.3">
      <c r="R367" s="702"/>
    </row>
    <row r="368" spans="18:18" x14ac:dyDescent="0.3">
      <c r="R368" s="702"/>
    </row>
    <row r="369" spans="18:18" x14ac:dyDescent="0.3">
      <c r="R369" s="702"/>
    </row>
    <row r="370" spans="18:18" x14ac:dyDescent="0.3">
      <c r="R370" s="702"/>
    </row>
    <row r="371" spans="18:18" x14ac:dyDescent="0.3">
      <c r="R371" s="702"/>
    </row>
    <row r="372" spans="18:18" x14ac:dyDescent="0.3">
      <c r="R372" s="702"/>
    </row>
    <row r="373" spans="18:18" x14ac:dyDescent="0.3">
      <c r="R373" s="702"/>
    </row>
    <row r="374" spans="18:18" x14ac:dyDescent="0.3">
      <c r="R374" s="702"/>
    </row>
    <row r="375" spans="18:18" x14ac:dyDescent="0.3">
      <c r="R375" s="702"/>
    </row>
    <row r="376" spans="18:18" x14ac:dyDescent="0.3">
      <c r="R376" s="702"/>
    </row>
    <row r="377" spans="18:18" x14ac:dyDescent="0.3">
      <c r="R377" s="702"/>
    </row>
    <row r="378" spans="18:18" x14ac:dyDescent="0.3">
      <c r="R378" s="702"/>
    </row>
    <row r="379" spans="18:18" x14ac:dyDescent="0.3">
      <c r="R379" s="702"/>
    </row>
    <row r="380" spans="18:18" x14ac:dyDescent="0.3">
      <c r="R380" s="702"/>
    </row>
    <row r="381" spans="18:18" x14ac:dyDescent="0.3">
      <c r="R381" s="702"/>
    </row>
    <row r="382" spans="18:18" x14ac:dyDescent="0.3">
      <c r="R382" s="702"/>
    </row>
    <row r="383" spans="18:18" x14ac:dyDescent="0.3">
      <c r="R383" s="702"/>
    </row>
    <row r="384" spans="18:18" x14ac:dyDescent="0.3">
      <c r="R384" s="702"/>
    </row>
    <row r="385" spans="18:18" x14ac:dyDescent="0.3">
      <c r="R385" s="702"/>
    </row>
    <row r="386" spans="18:18" x14ac:dyDescent="0.3">
      <c r="R386" s="702"/>
    </row>
    <row r="387" spans="18:18" x14ac:dyDescent="0.3">
      <c r="R387" s="702"/>
    </row>
    <row r="388" spans="18:18" x14ac:dyDescent="0.3">
      <c r="R388" s="702"/>
    </row>
    <row r="389" spans="18:18" x14ac:dyDescent="0.3">
      <c r="R389" s="702"/>
    </row>
    <row r="390" spans="18:18" x14ac:dyDescent="0.3">
      <c r="R390" s="702"/>
    </row>
    <row r="391" spans="18:18" x14ac:dyDescent="0.3">
      <c r="R391" s="702"/>
    </row>
    <row r="392" spans="18:18" x14ac:dyDescent="0.3">
      <c r="R392" s="702"/>
    </row>
    <row r="393" spans="18:18" x14ac:dyDescent="0.3">
      <c r="R393" s="702"/>
    </row>
    <row r="394" spans="18:18" x14ac:dyDescent="0.3">
      <c r="R394" s="702"/>
    </row>
    <row r="395" spans="18:18" x14ac:dyDescent="0.3">
      <c r="R395" s="702"/>
    </row>
    <row r="396" spans="18:18" x14ac:dyDescent="0.3">
      <c r="R396" s="702"/>
    </row>
    <row r="397" spans="18:18" x14ac:dyDescent="0.3">
      <c r="R397" s="702"/>
    </row>
    <row r="398" spans="18:18" x14ac:dyDescent="0.3">
      <c r="R398" s="702"/>
    </row>
    <row r="399" spans="18:18" x14ac:dyDescent="0.3">
      <c r="R399" s="702"/>
    </row>
    <row r="400" spans="18:18" x14ac:dyDescent="0.3">
      <c r="R400" s="702"/>
    </row>
    <row r="401" spans="18:18" x14ac:dyDescent="0.3">
      <c r="R401" s="702"/>
    </row>
    <row r="402" spans="18:18" x14ac:dyDescent="0.3">
      <c r="R402" s="702"/>
    </row>
    <row r="403" spans="18:18" x14ac:dyDescent="0.3">
      <c r="R403" s="702"/>
    </row>
    <row r="404" spans="18:18" x14ac:dyDescent="0.3">
      <c r="R404" s="702"/>
    </row>
    <row r="405" spans="18:18" x14ac:dyDescent="0.3">
      <c r="R405" s="702"/>
    </row>
    <row r="406" spans="18:18" x14ac:dyDescent="0.3">
      <c r="R406" s="702"/>
    </row>
    <row r="407" spans="18:18" x14ac:dyDescent="0.3">
      <c r="R407" s="702"/>
    </row>
    <row r="408" spans="18:18" x14ac:dyDescent="0.3">
      <c r="R408" s="702"/>
    </row>
    <row r="409" spans="18:18" x14ac:dyDescent="0.3">
      <c r="R409" s="702"/>
    </row>
    <row r="410" spans="18:18" x14ac:dyDescent="0.3">
      <c r="R410" s="702"/>
    </row>
    <row r="411" spans="18:18" x14ac:dyDescent="0.3">
      <c r="R411" s="702"/>
    </row>
    <row r="412" spans="18:18" x14ac:dyDescent="0.3">
      <c r="R412" s="702"/>
    </row>
    <row r="413" spans="18:18" x14ac:dyDescent="0.3">
      <c r="R413" s="702"/>
    </row>
    <row r="414" spans="18:18" x14ac:dyDescent="0.3">
      <c r="R414" s="702"/>
    </row>
    <row r="415" spans="18:18" x14ac:dyDescent="0.3">
      <c r="R415" s="702"/>
    </row>
    <row r="416" spans="18:18" x14ac:dyDescent="0.3">
      <c r="R416" s="702"/>
    </row>
    <row r="417" spans="18:18" x14ac:dyDescent="0.3">
      <c r="R417" s="702"/>
    </row>
    <row r="418" spans="18:18" x14ac:dyDescent="0.3">
      <c r="R418" s="702"/>
    </row>
    <row r="419" spans="18:18" x14ac:dyDescent="0.3">
      <c r="R419" s="702"/>
    </row>
    <row r="420" spans="18:18" x14ac:dyDescent="0.3">
      <c r="R420" s="702"/>
    </row>
    <row r="421" spans="18:18" x14ac:dyDescent="0.3">
      <c r="R421" s="702"/>
    </row>
    <row r="422" spans="18:18" x14ac:dyDescent="0.3">
      <c r="R422" s="702"/>
    </row>
    <row r="423" spans="18:18" x14ac:dyDescent="0.3">
      <c r="R423" s="702"/>
    </row>
    <row r="424" spans="18:18" x14ac:dyDescent="0.3">
      <c r="R424" s="702"/>
    </row>
    <row r="425" spans="18:18" x14ac:dyDescent="0.3">
      <c r="R425" s="702"/>
    </row>
    <row r="426" spans="18:18" x14ac:dyDescent="0.3">
      <c r="R426" s="702"/>
    </row>
    <row r="427" spans="18:18" x14ac:dyDescent="0.3">
      <c r="R427" s="702"/>
    </row>
    <row r="428" spans="18:18" x14ac:dyDescent="0.3">
      <c r="R428" s="702"/>
    </row>
    <row r="429" spans="18:18" x14ac:dyDescent="0.3">
      <c r="R429" s="702"/>
    </row>
    <row r="430" spans="18:18" x14ac:dyDescent="0.3">
      <c r="R430" s="702"/>
    </row>
    <row r="431" spans="18:18" x14ac:dyDescent="0.3">
      <c r="R431" s="702"/>
    </row>
    <row r="432" spans="18:18" x14ac:dyDescent="0.3">
      <c r="R432" s="702"/>
    </row>
    <row r="433" spans="18:18" x14ac:dyDescent="0.3">
      <c r="R433" s="702"/>
    </row>
    <row r="434" spans="18:18" x14ac:dyDescent="0.3">
      <c r="R434" s="702"/>
    </row>
    <row r="435" spans="18:18" x14ac:dyDescent="0.3">
      <c r="R435" s="702"/>
    </row>
    <row r="436" spans="18:18" x14ac:dyDescent="0.3">
      <c r="R436" s="702"/>
    </row>
    <row r="437" spans="18:18" x14ac:dyDescent="0.3">
      <c r="R437" s="702"/>
    </row>
    <row r="438" spans="18:18" x14ac:dyDescent="0.3">
      <c r="R438" s="702"/>
    </row>
    <row r="439" spans="18:18" x14ac:dyDescent="0.3">
      <c r="R439" s="702"/>
    </row>
    <row r="440" spans="18:18" x14ac:dyDescent="0.3">
      <c r="R440" s="702"/>
    </row>
    <row r="441" spans="18:18" x14ac:dyDescent="0.3">
      <c r="R441" s="702"/>
    </row>
    <row r="442" spans="18:18" x14ac:dyDescent="0.3">
      <c r="R442" s="702"/>
    </row>
    <row r="443" spans="18:18" x14ac:dyDescent="0.3">
      <c r="R443" s="702"/>
    </row>
    <row r="444" spans="18:18" x14ac:dyDescent="0.3">
      <c r="R444" s="702"/>
    </row>
    <row r="445" spans="18:18" x14ac:dyDescent="0.3">
      <c r="R445" s="702"/>
    </row>
    <row r="446" spans="18:18" x14ac:dyDescent="0.3">
      <c r="R446" s="702"/>
    </row>
    <row r="447" spans="18:18" x14ac:dyDescent="0.3">
      <c r="R447" s="702"/>
    </row>
    <row r="448" spans="18:18" x14ac:dyDescent="0.3">
      <c r="R448" s="702"/>
    </row>
    <row r="449" spans="18:18" x14ac:dyDescent="0.3">
      <c r="R449" s="702"/>
    </row>
    <row r="450" spans="18:18" x14ac:dyDescent="0.3">
      <c r="R450" s="702"/>
    </row>
    <row r="451" spans="18:18" x14ac:dyDescent="0.3">
      <c r="R451" s="702"/>
    </row>
    <row r="452" spans="18:18" x14ac:dyDescent="0.3">
      <c r="R452" s="702"/>
    </row>
    <row r="453" spans="18:18" x14ac:dyDescent="0.3">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99060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22860</xdr:colOff>
                <xdr:row>32</xdr:row>
                <xdr:rowOff>137160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3.8" x14ac:dyDescent="0.3"/>
  <cols>
    <col min="4" max="4" width="4.33203125" customWidth="1"/>
    <col min="16" max="16" width="20.33203125" customWidth="1"/>
    <col min="17" max="17" width="71.5546875" customWidth="1"/>
    <col min="18" max="18" width="30.44140625" style="79" customWidth="1"/>
  </cols>
  <sheetData>
    <row r="1" spans="1:18" ht="39.6" x14ac:dyDescent="0.3">
      <c r="A1" s="796" t="s">
        <v>805</v>
      </c>
      <c r="B1" s="797"/>
      <c r="C1" s="797"/>
      <c r="D1" s="797"/>
      <c r="E1" s="797"/>
      <c r="F1" s="797"/>
      <c r="G1" s="797"/>
      <c r="H1" s="797"/>
      <c r="I1" s="797"/>
      <c r="J1" s="797"/>
      <c r="K1" s="797"/>
      <c r="L1" s="797"/>
      <c r="M1" s="797"/>
      <c r="N1" s="797"/>
      <c r="O1" s="797"/>
      <c r="P1" s="797"/>
      <c r="Q1" s="797"/>
      <c r="R1" s="484"/>
    </row>
    <row r="2" spans="1:18" ht="17.7" customHeight="1" x14ac:dyDescent="0.55000000000000004">
      <c r="A2" s="487"/>
      <c r="B2" s="488"/>
      <c r="C2" s="488"/>
      <c r="D2" s="488"/>
      <c r="E2" s="488"/>
      <c r="F2" s="488"/>
      <c r="G2" s="488"/>
      <c r="H2" s="488"/>
      <c r="I2" s="488"/>
      <c r="J2" s="488"/>
      <c r="K2" s="488"/>
      <c r="L2" s="488"/>
      <c r="M2" s="488"/>
      <c r="N2" s="488"/>
      <c r="O2" s="502" t="s">
        <v>585</v>
      </c>
      <c r="P2" s="488"/>
      <c r="Q2" s="488"/>
      <c r="R2" s="484"/>
    </row>
    <row r="3" spans="1:18" ht="16.2" customHeight="1" x14ac:dyDescent="0.55000000000000004">
      <c r="A3" s="489" t="s">
        <v>232</v>
      </c>
      <c r="B3" s="490"/>
      <c r="C3" s="501" t="s">
        <v>233</v>
      </c>
      <c r="D3" s="491"/>
      <c r="E3" s="119"/>
      <c r="F3" s="495" t="s">
        <v>145</v>
      </c>
      <c r="G3" s="496"/>
      <c r="H3" s="488"/>
      <c r="I3" s="488"/>
      <c r="J3" s="496"/>
      <c r="K3" s="497"/>
      <c r="L3" s="498"/>
      <c r="M3" s="484"/>
      <c r="N3" s="484"/>
      <c r="O3" s="786" t="s">
        <v>51</v>
      </c>
      <c r="P3" s="786"/>
      <c r="Q3" s="484" t="s">
        <v>165</v>
      </c>
      <c r="R3" s="484"/>
    </row>
    <row r="4" spans="1:18" ht="14.7" customHeight="1" thickBot="1" x14ac:dyDescent="0.4">
      <c r="A4" s="492"/>
      <c r="B4" s="493"/>
      <c r="C4" s="494"/>
      <c r="D4" s="494"/>
      <c r="E4" s="494"/>
      <c r="F4" s="494"/>
      <c r="G4" s="494"/>
      <c r="H4" s="494"/>
      <c r="I4" s="494"/>
      <c r="J4" s="494"/>
      <c r="K4" s="494"/>
      <c r="L4" s="494"/>
      <c r="M4" s="499"/>
      <c r="N4" s="499"/>
      <c r="O4" s="499"/>
      <c r="P4" s="499"/>
      <c r="Q4" s="500"/>
      <c r="R4" s="484"/>
    </row>
    <row r="5" spans="1:18" x14ac:dyDescent="0.3">
      <c r="A5" s="134"/>
      <c r="B5" s="134"/>
      <c r="C5" s="134"/>
      <c r="D5" s="134"/>
      <c r="E5" s="134"/>
      <c r="F5" s="134"/>
      <c r="G5" s="134"/>
      <c r="H5" s="134"/>
      <c r="I5" s="134"/>
      <c r="J5" s="134"/>
      <c r="K5" s="134"/>
      <c r="L5" s="134"/>
      <c r="M5" s="134"/>
      <c r="N5" s="134"/>
      <c r="O5" s="134"/>
      <c r="P5" s="134"/>
      <c r="Q5" s="134"/>
      <c r="R5" s="484"/>
    </row>
    <row r="6" spans="1:18" x14ac:dyDescent="0.3">
      <c r="A6" s="134"/>
      <c r="B6" s="134"/>
      <c r="C6" s="134"/>
      <c r="D6" s="134"/>
      <c r="E6" s="134"/>
      <c r="F6" s="134"/>
      <c r="G6" s="134"/>
      <c r="H6" s="134"/>
      <c r="I6" s="134"/>
      <c r="J6" s="134"/>
      <c r="K6" s="134"/>
      <c r="L6" s="134"/>
      <c r="M6" s="134"/>
      <c r="N6" s="134"/>
      <c r="O6" s="134"/>
      <c r="P6" s="134"/>
      <c r="Q6" s="134"/>
      <c r="R6" s="484"/>
    </row>
    <row r="7" spans="1:18" ht="14.4" thickBot="1" x14ac:dyDescent="0.35">
      <c r="A7" s="644"/>
      <c r="B7" s="607" t="s">
        <v>813</v>
      </c>
      <c r="C7" s="134"/>
      <c r="D7" s="134"/>
      <c r="E7" s="134"/>
      <c r="F7" s="134"/>
      <c r="G7" s="134"/>
      <c r="H7" s="134"/>
      <c r="I7" s="134"/>
      <c r="J7" s="134"/>
      <c r="K7" s="134"/>
      <c r="L7" s="134"/>
      <c r="M7" s="134"/>
      <c r="N7" s="134"/>
      <c r="O7" s="134"/>
      <c r="P7" s="134"/>
      <c r="Q7" s="134"/>
      <c r="R7" s="484"/>
    </row>
    <row r="8" spans="1:18" x14ac:dyDescent="0.3">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3">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3">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4.4" thickBot="1" x14ac:dyDescent="0.3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3">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3">
      <c r="A13" s="134"/>
      <c r="B13" s="134"/>
      <c r="C13" s="134"/>
      <c r="D13" s="134"/>
      <c r="E13" s="582"/>
      <c r="F13" s="124" t="s">
        <v>787</v>
      </c>
      <c r="G13" s="127">
        <f>VinRipple_dBuV</f>
        <v>102.15634849028891</v>
      </c>
      <c r="H13" s="162" t="s">
        <v>786</v>
      </c>
      <c r="I13" s="134"/>
      <c r="J13" s="134"/>
      <c r="K13" s="134"/>
      <c r="L13" s="134"/>
      <c r="M13" s="134"/>
      <c r="N13" s="134"/>
      <c r="O13" s="134"/>
      <c r="P13" s="134"/>
      <c r="Q13" s="134"/>
      <c r="R13" s="484"/>
    </row>
    <row r="14" spans="1:18" ht="14.4" thickBot="1" x14ac:dyDescent="0.35">
      <c r="A14" s="134"/>
      <c r="B14" s="134"/>
      <c r="C14" s="134"/>
      <c r="D14" s="134"/>
      <c r="E14" s="659"/>
      <c r="F14" s="648" t="s">
        <v>803</v>
      </c>
      <c r="G14" s="554">
        <f>'Variable Management'!B304</f>
        <v>102.15634849028891</v>
      </c>
      <c r="H14" s="260" t="s">
        <v>786</v>
      </c>
      <c r="I14" s="134"/>
      <c r="J14" s="134"/>
      <c r="K14" s="134"/>
      <c r="L14" s="134"/>
      <c r="M14" s="134"/>
      <c r="N14" s="134"/>
      <c r="O14" s="134"/>
      <c r="P14" s="134"/>
      <c r="Q14" s="134"/>
      <c r="R14" s="484"/>
    </row>
    <row r="15" spans="1:18" x14ac:dyDescent="0.3">
      <c r="A15" s="134"/>
      <c r="B15" s="134"/>
      <c r="C15" s="134"/>
      <c r="D15" s="134"/>
      <c r="E15" s="134"/>
      <c r="F15" s="134"/>
      <c r="G15" s="134"/>
      <c r="H15" s="134"/>
      <c r="I15" s="134"/>
      <c r="J15" s="134"/>
      <c r="K15" s="134"/>
      <c r="L15" s="134"/>
      <c r="M15" s="134"/>
      <c r="N15" s="134"/>
      <c r="O15" s="134"/>
      <c r="P15" s="134"/>
      <c r="Q15" s="134"/>
      <c r="R15" s="484"/>
    </row>
    <row r="16" spans="1:18" x14ac:dyDescent="0.3">
      <c r="A16" s="134"/>
      <c r="B16" s="134"/>
      <c r="C16" s="134"/>
      <c r="D16" s="134"/>
      <c r="E16" s="134"/>
      <c r="F16" s="134"/>
      <c r="G16" s="134"/>
      <c r="H16" s="134"/>
      <c r="I16" s="134"/>
      <c r="J16" s="134"/>
      <c r="K16" s="134"/>
      <c r="L16" s="134"/>
      <c r="M16" s="134"/>
      <c r="N16" s="134"/>
      <c r="O16" s="134"/>
      <c r="P16" s="134"/>
      <c r="Q16" s="134"/>
      <c r="R16" s="484"/>
    </row>
    <row r="17" spans="1:18" x14ac:dyDescent="0.3">
      <c r="A17" s="134"/>
      <c r="B17" s="134"/>
      <c r="C17" s="134"/>
      <c r="D17" s="134"/>
      <c r="E17" s="134"/>
      <c r="F17" s="134"/>
      <c r="G17" s="134"/>
      <c r="H17" s="134"/>
      <c r="I17" s="134"/>
      <c r="J17" s="134"/>
      <c r="K17" s="134"/>
      <c r="L17" s="134"/>
      <c r="M17" s="134"/>
      <c r="N17" s="134"/>
      <c r="O17" s="134"/>
      <c r="P17" s="134"/>
      <c r="Q17" s="134"/>
      <c r="R17" s="484"/>
    </row>
    <row r="18" spans="1:18" x14ac:dyDescent="0.3">
      <c r="A18" s="134"/>
      <c r="B18" s="134"/>
      <c r="C18" s="134"/>
      <c r="D18" s="134"/>
      <c r="E18" s="134"/>
      <c r="F18" s="134"/>
      <c r="G18" s="134"/>
      <c r="H18" s="134"/>
      <c r="I18" s="134"/>
      <c r="J18" s="134"/>
      <c r="K18" s="134"/>
      <c r="L18" s="134"/>
      <c r="M18" s="134"/>
      <c r="N18" s="134"/>
      <c r="O18" s="134"/>
      <c r="P18" s="134"/>
      <c r="Q18" s="134"/>
      <c r="R18" s="484"/>
    </row>
    <row r="19" spans="1:18" x14ac:dyDescent="0.3">
      <c r="A19" s="134"/>
      <c r="B19" s="134"/>
      <c r="C19" s="134"/>
      <c r="D19" s="134"/>
      <c r="E19" s="134"/>
      <c r="F19" s="134"/>
      <c r="G19" s="134"/>
      <c r="H19" s="134"/>
      <c r="I19" s="134"/>
      <c r="J19" s="134"/>
      <c r="K19" s="134"/>
      <c r="L19" s="134"/>
      <c r="M19" s="134"/>
      <c r="N19" s="134"/>
      <c r="O19" s="134"/>
      <c r="P19" s="134"/>
      <c r="Q19" s="134"/>
      <c r="R19" s="484"/>
    </row>
    <row r="20" spans="1:18" x14ac:dyDescent="0.3">
      <c r="A20" s="134"/>
      <c r="B20" s="134"/>
      <c r="C20" s="134"/>
      <c r="D20" s="134"/>
      <c r="E20" s="134"/>
      <c r="F20" s="134"/>
      <c r="G20" s="134"/>
      <c r="H20" s="134"/>
      <c r="I20" s="134"/>
      <c r="J20" s="134"/>
      <c r="K20" s="134"/>
      <c r="L20" s="134"/>
      <c r="M20" s="134"/>
      <c r="N20" s="134"/>
      <c r="O20" s="134"/>
      <c r="P20" s="134"/>
      <c r="Q20" s="134"/>
      <c r="R20" s="484"/>
    </row>
    <row r="21" spans="1:18" x14ac:dyDescent="0.3">
      <c r="A21" s="134"/>
      <c r="B21" s="134"/>
      <c r="C21" s="134"/>
      <c r="D21" s="134"/>
      <c r="E21" s="134"/>
      <c r="F21" s="134"/>
      <c r="G21" s="134"/>
      <c r="H21" s="134"/>
      <c r="I21" s="134"/>
      <c r="J21" s="134"/>
      <c r="K21" s="134"/>
      <c r="L21" s="134"/>
      <c r="M21" s="134"/>
      <c r="N21" s="134"/>
      <c r="O21" s="134"/>
      <c r="P21" s="134"/>
      <c r="Q21" s="134"/>
      <c r="R21" s="484"/>
    </row>
    <row r="22" spans="1:18" x14ac:dyDescent="0.3">
      <c r="A22" s="134"/>
      <c r="B22" s="134"/>
      <c r="C22" s="134"/>
      <c r="D22" s="134"/>
      <c r="E22" s="134"/>
      <c r="F22" s="134"/>
      <c r="G22" s="134"/>
      <c r="H22" s="134"/>
      <c r="I22" s="134"/>
      <c r="J22" s="134"/>
      <c r="K22" s="134"/>
      <c r="L22" s="134"/>
      <c r="M22" s="134"/>
      <c r="N22" s="134"/>
      <c r="O22" s="134"/>
      <c r="P22" s="134"/>
      <c r="Q22" s="134"/>
      <c r="R22" s="484"/>
    </row>
    <row r="23" spans="1:18" x14ac:dyDescent="0.3">
      <c r="A23" s="134"/>
      <c r="B23" s="134"/>
      <c r="C23" s="134"/>
      <c r="D23" s="134"/>
      <c r="E23" s="134"/>
      <c r="F23" s="134"/>
      <c r="G23" s="134"/>
      <c r="H23" s="134"/>
      <c r="I23" s="134"/>
      <c r="J23" s="134"/>
      <c r="K23" s="134"/>
      <c r="L23" s="134"/>
      <c r="M23" s="134"/>
      <c r="N23" s="134"/>
      <c r="O23" s="134"/>
      <c r="P23" s="134"/>
      <c r="Q23" s="134"/>
      <c r="R23" s="484"/>
    </row>
    <row r="24" spans="1:18" x14ac:dyDescent="0.3">
      <c r="A24" s="134"/>
      <c r="B24" s="134"/>
      <c r="C24" s="134"/>
      <c r="D24" s="134"/>
      <c r="E24" s="134"/>
      <c r="F24" s="134"/>
      <c r="G24" s="134"/>
      <c r="H24" s="134"/>
      <c r="I24" s="134"/>
      <c r="J24" s="134"/>
      <c r="K24" s="134"/>
      <c r="L24" s="134"/>
      <c r="M24" s="134"/>
      <c r="N24" s="134"/>
      <c r="O24" s="134"/>
      <c r="P24" s="134"/>
      <c r="Q24" s="134"/>
      <c r="R24" s="484"/>
    </row>
    <row r="25" spans="1:18" x14ac:dyDescent="0.3">
      <c r="A25" s="134"/>
      <c r="B25" s="134"/>
      <c r="C25" s="134"/>
      <c r="D25" s="134"/>
      <c r="E25" s="134"/>
      <c r="F25" s="134"/>
      <c r="G25" s="134"/>
      <c r="H25" s="134"/>
      <c r="I25" s="134"/>
      <c r="J25" s="134"/>
      <c r="K25" s="134"/>
      <c r="L25" s="134"/>
      <c r="M25" s="134"/>
      <c r="N25" s="134"/>
      <c r="O25" s="134"/>
      <c r="P25" s="134"/>
      <c r="Q25" s="134"/>
      <c r="R25" s="484"/>
    </row>
    <row r="26" spans="1:18" x14ac:dyDescent="0.3">
      <c r="A26" s="134"/>
      <c r="B26" s="134"/>
      <c r="C26" s="134"/>
      <c r="D26" s="134"/>
      <c r="E26" s="134"/>
      <c r="F26" s="134"/>
      <c r="G26" s="134"/>
      <c r="H26" s="134"/>
      <c r="I26" s="134"/>
      <c r="J26" s="134"/>
      <c r="K26" s="134"/>
      <c r="L26" s="134"/>
      <c r="M26" s="134"/>
      <c r="N26" s="134"/>
      <c r="O26" s="134"/>
      <c r="P26" s="134"/>
      <c r="Q26" s="134"/>
      <c r="R26" s="484"/>
    </row>
    <row r="27" spans="1:18" x14ac:dyDescent="0.3">
      <c r="A27" s="134"/>
      <c r="B27" s="134"/>
      <c r="C27" s="134"/>
      <c r="D27" s="134"/>
      <c r="E27" s="134"/>
      <c r="F27" s="134"/>
      <c r="G27" s="134"/>
      <c r="H27" s="134"/>
      <c r="I27" s="134"/>
      <c r="J27" s="134"/>
      <c r="K27" s="134"/>
      <c r="L27" s="134"/>
      <c r="M27" s="134"/>
      <c r="N27" s="134"/>
      <c r="O27" s="134"/>
      <c r="P27" s="134"/>
      <c r="Q27" s="134"/>
      <c r="R27" s="484"/>
    </row>
    <row r="28" spans="1:18" x14ac:dyDescent="0.3">
      <c r="A28" s="134"/>
      <c r="B28" s="134"/>
      <c r="C28" s="134"/>
      <c r="D28" s="134"/>
      <c r="E28" s="134"/>
      <c r="F28" s="134"/>
      <c r="G28" s="134"/>
      <c r="H28" s="134"/>
      <c r="I28" s="134"/>
      <c r="J28" s="134"/>
      <c r="K28" s="134"/>
      <c r="L28" s="134"/>
      <c r="M28" s="134"/>
      <c r="N28" s="134"/>
      <c r="O28" s="134"/>
      <c r="P28" s="134"/>
      <c r="Q28" s="134"/>
      <c r="R28" s="484"/>
    </row>
    <row r="29" spans="1:18" x14ac:dyDescent="0.3">
      <c r="A29" s="134"/>
      <c r="B29" s="134"/>
      <c r="C29" s="134"/>
      <c r="D29" s="134"/>
      <c r="E29" s="134"/>
      <c r="F29" s="134"/>
      <c r="G29" s="134"/>
      <c r="H29" s="134"/>
      <c r="I29" s="134"/>
      <c r="J29" s="134"/>
      <c r="K29" s="134"/>
      <c r="L29" s="134"/>
      <c r="M29" s="134"/>
      <c r="N29" s="134"/>
      <c r="O29" s="134"/>
      <c r="P29" s="134"/>
      <c r="Q29" s="134"/>
      <c r="R29" s="484"/>
    </row>
    <row r="30" spans="1:18" x14ac:dyDescent="0.3">
      <c r="A30" s="134"/>
      <c r="B30" s="134"/>
      <c r="C30" s="134"/>
      <c r="D30" s="134"/>
      <c r="E30" s="134"/>
      <c r="F30" s="134"/>
      <c r="G30" s="134"/>
      <c r="H30" s="134"/>
      <c r="I30" s="134"/>
      <c r="J30" s="134"/>
      <c r="K30" s="134"/>
      <c r="L30" s="134"/>
      <c r="M30" s="134"/>
      <c r="N30" s="134"/>
      <c r="O30" s="134"/>
      <c r="P30" s="134"/>
      <c r="Q30" s="134"/>
      <c r="R30" s="484"/>
    </row>
    <row r="31" spans="1:18" x14ac:dyDescent="0.3">
      <c r="A31" s="134"/>
      <c r="B31" s="134"/>
      <c r="C31" s="134"/>
      <c r="D31" s="134"/>
      <c r="E31" s="134"/>
      <c r="F31" s="134"/>
      <c r="G31" s="134"/>
      <c r="H31" s="134"/>
      <c r="I31" s="134"/>
      <c r="J31" s="134"/>
      <c r="K31" s="134"/>
      <c r="L31" s="134"/>
      <c r="M31" s="134"/>
      <c r="N31" s="134"/>
      <c r="O31" s="134"/>
      <c r="P31" s="134"/>
      <c r="Q31" s="134"/>
      <c r="R31" s="484"/>
    </row>
    <row r="32" spans="1:18" x14ac:dyDescent="0.3">
      <c r="A32" s="134"/>
      <c r="B32" s="134"/>
      <c r="C32" s="134"/>
      <c r="D32" s="134"/>
      <c r="E32" s="134"/>
      <c r="F32" s="134"/>
      <c r="G32" s="134"/>
      <c r="H32" s="134"/>
      <c r="I32" s="134"/>
      <c r="J32" s="134"/>
      <c r="K32" s="134"/>
      <c r="L32" s="134"/>
      <c r="M32" s="134"/>
      <c r="N32" s="134"/>
      <c r="O32" s="134"/>
      <c r="P32" s="134"/>
      <c r="Q32" s="134"/>
      <c r="R32" s="484"/>
    </row>
    <row r="33" spans="1:18" x14ac:dyDescent="0.3">
      <c r="A33" s="134"/>
      <c r="B33" s="134"/>
      <c r="C33" s="134"/>
      <c r="D33" s="134"/>
      <c r="E33" s="134"/>
      <c r="F33" s="134"/>
      <c r="G33" s="134"/>
      <c r="H33" s="134"/>
      <c r="I33" s="134"/>
      <c r="J33" s="134"/>
      <c r="K33" s="134"/>
      <c r="L33" s="134"/>
      <c r="M33" s="134"/>
      <c r="N33" s="134"/>
      <c r="O33" s="134"/>
      <c r="P33" s="134"/>
      <c r="Q33" s="134"/>
      <c r="R33" s="484"/>
    </row>
    <row r="34" spans="1:18" x14ac:dyDescent="0.3">
      <c r="A34" s="134"/>
      <c r="B34" s="134"/>
      <c r="C34" s="134"/>
      <c r="D34" s="134"/>
      <c r="E34" s="134"/>
      <c r="F34" s="134"/>
      <c r="G34" s="134"/>
      <c r="H34" s="134"/>
      <c r="I34" s="134"/>
      <c r="J34" s="134"/>
      <c r="K34" s="134"/>
      <c r="L34" s="134"/>
      <c r="M34" s="134"/>
      <c r="N34" s="134"/>
      <c r="O34" s="134"/>
      <c r="P34" s="134"/>
      <c r="Q34" s="134"/>
      <c r="R34" s="484"/>
    </row>
    <row r="35" spans="1:18" x14ac:dyDescent="0.3">
      <c r="A35" s="134"/>
      <c r="B35" s="134"/>
      <c r="C35" s="134"/>
      <c r="D35" s="134"/>
      <c r="E35" s="134"/>
      <c r="F35" s="134"/>
      <c r="G35" s="134"/>
      <c r="H35" s="134"/>
      <c r="I35" s="134"/>
      <c r="J35" s="134"/>
      <c r="K35" s="134"/>
      <c r="L35" s="134"/>
      <c r="M35" s="134"/>
      <c r="N35" s="134"/>
      <c r="O35" s="134"/>
      <c r="P35" s="134"/>
      <c r="Q35" s="134"/>
      <c r="R35" s="484"/>
    </row>
    <row r="36" spans="1:18" x14ac:dyDescent="0.3">
      <c r="A36" s="134"/>
      <c r="B36" s="134"/>
      <c r="C36" s="134"/>
      <c r="D36" s="134"/>
      <c r="E36" s="134"/>
      <c r="F36" s="134"/>
      <c r="G36" s="134"/>
      <c r="H36" s="134"/>
      <c r="I36" s="134"/>
      <c r="J36" s="134"/>
      <c r="K36" s="134"/>
      <c r="L36" s="134"/>
      <c r="M36" s="134"/>
      <c r="N36" s="134"/>
      <c r="O36" s="134"/>
      <c r="P36" s="134"/>
      <c r="Q36" s="134"/>
      <c r="R36" s="484"/>
    </row>
    <row r="37" spans="1:18" x14ac:dyDescent="0.3">
      <c r="A37" s="134"/>
      <c r="B37" s="134"/>
      <c r="C37" s="134"/>
      <c r="D37" s="134"/>
      <c r="E37" s="134"/>
      <c r="F37" s="134"/>
      <c r="G37" s="134"/>
      <c r="H37" s="134"/>
      <c r="I37" s="134"/>
      <c r="J37" s="134"/>
      <c r="K37" s="134"/>
      <c r="L37" s="134"/>
      <c r="M37" s="134"/>
      <c r="N37" s="134"/>
      <c r="O37" s="134"/>
      <c r="P37" s="134"/>
      <c r="Q37" s="134"/>
      <c r="R37" s="484"/>
    </row>
    <row r="38" spans="1:18" x14ac:dyDescent="0.3">
      <c r="A38" s="134"/>
      <c r="B38" s="134"/>
      <c r="C38" s="134"/>
      <c r="D38" s="134"/>
      <c r="E38" s="134"/>
      <c r="F38" s="134"/>
      <c r="G38" s="134"/>
      <c r="H38" s="134"/>
      <c r="I38" s="134"/>
      <c r="J38" s="134"/>
      <c r="K38" s="134"/>
      <c r="L38" s="134"/>
      <c r="M38" s="134"/>
      <c r="N38" s="134"/>
      <c r="O38" s="134"/>
      <c r="P38" s="134"/>
      <c r="Q38" s="134"/>
      <c r="R38" s="484"/>
    </row>
    <row r="39" spans="1:18" x14ac:dyDescent="0.3">
      <c r="A39" s="134"/>
      <c r="B39" s="134"/>
      <c r="C39" s="134"/>
      <c r="D39" s="134"/>
      <c r="E39" s="134"/>
      <c r="F39" s="134"/>
      <c r="G39" s="134"/>
      <c r="H39" s="134"/>
      <c r="I39" s="134"/>
      <c r="J39" s="134"/>
      <c r="K39" s="134"/>
      <c r="L39" s="134"/>
      <c r="M39" s="134"/>
      <c r="N39" s="134"/>
      <c r="O39" s="134"/>
      <c r="P39" s="134"/>
      <c r="Q39" s="134"/>
      <c r="R39" s="484"/>
    </row>
    <row r="40" spans="1:18" x14ac:dyDescent="0.3">
      <c r="A40" s="134"/>
      <c r="B40" s="134"/>
      <c r="C40" s="134"/>
      <c r="D40" s="134"/>
      <c r="E40" s="134"/>
      <c r="F40" s="134"/>
      <c r="G40" s="134"/>
      <c r="H40" s="134"/>
      <c r="I40" s="134"/>
      <c r="J40" s="134"/>
      <c r="K40" s="134"/>
      <c r="L40" s="134"/>
      <c r="M40" s="134"/>
      <c r="N40" s="134"/>
      <c r="O40" s="134"/>
      <c r="P40" s="134"/>
      <c r="Q40" s="134"/>
      <c r="R40" s="484"/>
    </row>
    <row r="41" spans="1:18" x14ac:dyDescent="0.3">
      <c r="A41" s="134"/>
      <c r="B41" s="134"/>
      <c r="C41" s="134"/>
      <c r="D41" s="134"/>
      <c r="E41" s="134"/>
      <c r="F41" s="134"/>
      <c r="G41" s="134"/>
      <c r="H41" s="134"/>
      <c r="I41" s="134"/>
      <c r="J41" s="134"/>
      <c r="K41" s="134"/>
      <c r="L41" s="134"/>
      <c r="M41" s="134"/>
      <c r="N41" s="134"/>
      <c r="O41" s="134"/>
      <c r="P41" s="134"/>
      <c r="Q41" s="134"/>
      <c r="R41" s="484"/>
    </row>
    <row r="42" spans="1:18" x14ac:dyDescent="0.3">
      <c r="A42" s="134"/>
      <c r="B42" s="134"/>
      <c r="C42" s="134"/>
      <c r="D42" s="134"/>
      <c r="E42" s="134"/>
      <c r="F42" s="134"/>
      <c r="G42" s="134"/>
      <c r="H42" s="134"/>
      <c r="I42" s="134"/>
      <c r="J42" s="134"/>
      <c r="K42" s="134"/>
      <c r="L42" s="134"/>
      <c r="M42" s="134"/>
      <c r="N42" s="134"/>
      <c r="O42" s="134"/>
      <c r="P42" s="134"/>
      <c r="Q42" s="134"/>
      <c r="R42" s="484"/>
    </row>
    <row r="43" spans="1:18" x14ac:dyDescent="0.3">
      <c r="A43" s="134"/>
      <c r="B43" s="134"/>
      <c r="C43" s="134"/>
      <c r="D43" s="134"/>
      <c r="E43" s="134"/>
      <c r="F43" s="134"/>
      <c r="G43" s="134"/>
      <c r="H43" s="134"/>
      <c r="I43" s="134"/>
      <c r="J43" s="134"/>
      <c r="K43" s="134"/>
      <c r="L43" s="134"/>
      <c r="M43" s="134"/>
      <c r="N43" s="134"/>
      <c r="O43" s="134"/>
      <c r="P43" s="134"/>
      <c r="Q43" s="134"/>
      <c r="R43" s="484"/>
    </row>
    <row r="44" spans="1:18" x14ac:dyDescent="0.3">
      <c r="A44" s="134"/>
      <c r="B44" s="134"/>
      <c r="C44" s="134"/>
      <c r="D44" s="134"/>
      <c r="E44" s="134"/>
      <c r="F44" s="134"/>
      <c r="G44" s="134"/>
      <c r="H44" s="134"/>
      <c r="I44" s="134"/>
      <c r="J44" s="134"/>
      <c r="K44" s="134"/>
      <c r="L44" s="134"/>
      <c r="M44" s="134"/>
      <c r="N44" s="134"/>
      <c r="O44" s="134"/>
      <c r="P44" s="134"/>
      <c r="Q44" s="134"/>
      <c r="R44" s="484"/>
    </row>
    <row r="45" spans="1:18" x14ac:dyDescent="0.3">
      <c r="A45" s="134"/>
      <c r="B45" s="134"/>
      <c r="C45" s="134"/>
      <c r="D45" s="134"/>
      <c r="E45" s="134"/>
      <c r="F45" s="134"/>
      <c r="G45" s="134"/>
      <c r="H45" s="134"/>
      <c r="I45" s="134"/>
      <c r="J45" s="134"/>
      <c r="K45" s="134"/>
      <c r="L45" s="134"/>
      <c r="M45" s="134"/>
      <c r="N45" s="134"/>
      <c r="O45" s="134"/>
      <c r="P45" s="134"/>
      <c r="Q45" s="134"/>
      <c r="R45" s="484"/>
    </row>
    <row r="46" spans="1:18" x14ac:dyDescent="0.3">
      <c r="A46" s="134"/>
      <c r="B46" s="134"/>
      <c r="C46" s="134"/>
      <c r="D46" s="134"/>
      <c r="E46" s="134"/>
      <c r="F46" s="134"/>
      <c r="G46" s="134"/>
      <c r="H46" s="134"/>
      <c r="I46" s="134"/>
      <c r="J46" s="134"/>
      <c r="K46" s="134"/>
      <c r="L46" s="134"/>
      <c r="M46" s="134"/>
      <c r="N46" s="134"/>
      <c r="O46" s="134"/>
      <c r="P46" s="134"/>
      <c r="Q46" s="134"/>
      <c r="R46" s="484"/>
    </row>
    <row r="47" spans="1:18" x14ac:dyDescent="0.3">
      <c r="A47" s="134"/>
      <c r="B47" s="134"/>
      <c r="C47" s="134"/>
      <c r="D47" s="134"/>
      <c r="E47" s="134"/>
      <c r="F47" s="134"/>
      <c r="G47" s="134"/>
      <c r="H47" s="134"/>
      <c r="I47" s="134"/>
      <c r="J47" s="134"/>
      <c r="K47" s="134"/>
      <c r="L47" s="134"/>
      <c r="M47" s="134"/>
      <c r="N47" s="134"/>
      <c r="O47" s="134"/>
      <c r="P47" s="134"/>
      <c r="Q47" s="134"/>
      <c r="R47" s="484"/>
    </row>
    <row r="48" spans="1:18" x14ac:dyDescent="0.3">
      <c r="A48" s="134"/>
      <c r="B48" s="134"/>
      <c r="C48" s="134"/>
      <c r="D48" s="134"/>
      <c r="E48" s="134"/>
      <c r="F48" s="134"/>
      <c r="G48" s="134"/>
      <c r="H48" s="134"/>
      <c r="I48" s="134"/>
      <c r="J48" s="134"/>
      <c r="K48" s="134"/>
      <c r="L48" s="134"/>
      <c r="M48" s="134"/>
      <c r="N48" s="134"/>
      <c r="O48" s="134"/>
      <c r="P48" s="134"/>
      <c r="Q48" s="134"/>
      <c r="R48" s="484"/>
    </row>
    <row r="49" spans="1:18" x14ac:dyDescent="0.3">
      <c r="A49" s="134"/>
      <c r="B49" s="134"/>
      <c r="C49" s="134"/>
      <c r="D49" s="134"/>
      <c r="E49" s="134"/>
      <c r="F49" s="134"/>
      <c r="G49" s="134"/>
      <c r="H49" s="134"/>
      <c r="I49" s="134"/>
      <c r="J49" s="134"/>
      <c r="K49" s="134"/>
      <c r="L49" s="134"/>
      <c r="M49" s="134"/>
      <c r="N49" s="134"/>
      <c r="O49" s="134"/>
      <c r="P49" s="134"/>
      <c r="Q49" s="134"/>
      <c r="R49" s="484"/>
    </row>
    <row r="50" spans="1:18" x14ac:dyDescent="0.3">
      <c r="A50" s="134"/>
      <c r="B50" s="134"/>
      <c r="C50" s="134"/>
      <c r="D50" s="134"/>
      <c r="E50" s="134"/>
      <c r="F50" s="134"/>
      <c r="G50" s="134"/>
      <c r="H50" s="134"/>
      <c r="I50" s="134"/>
      <c r="J50" s="134"/>
      <c r="K50" s="134"/>
      <c r="L50" s="134"/>
      <c r="M50" s="134"/>
      <c r="N50" s="134"/>
      <c r="O50" s="134"/>
      <c r="P50" s="134"/>
      <c r="Q50" s="134"/>
      <c r="R50" s="484"/>
    </row>
    <row r="51" spans="1:18" x14ac:dyDescent="0.3">
      <c r="A51" s="134"/>
      <c r="B51" s="134"/>
      <c r="C51" s="134"/>
      <c r="D51" s="134"/>
      <c r="E51" s="134"/>
      <c r="F51" s="134"/>
      <c r="G51" s="134"/>
      <c r="H51" s="134"/>
      <c r="I51" s="134"/>
      <c r="J51" s="134"/>
      <c r="K51" s="134"/>
      <c r="L51" s="134"/>
      <c r="M51" s="134"/>
      <c r="N51" s="134"/>
      <c r="O51" s="134"/>
      <c r="P51" s="134"/>
      <c r="Q51" s="134"/>
      <c r="R51" s="484"/>
    </row>
    <row r="52" spans="1:18" x14ac:dyDescent="0.3">
      <c r="A52" s="134"/>
      <c r="B52" s="134"/>
      <c r="C52" s="134"/>
      <c r="D52" s="134"/>
      <c r="E52" s="134"/>
      <c r="F52" s="134"/>
      <c r="G52" s="134"/>
      <c r="H52" s="134"/>
      <c r="I52" s="134"/>
      <c r="J52" s="134"/>
      <c r="K52" s="134"/>
      <c r="L52" s="134"/>
      <c r="M52" s="134"/>
      <c r="N52" s="134"/>
      <c r="O52" s="134"/>
      <c r="P52" s="134"/>
      <c r="Q52" s="134"/>
      <c r="R52" s="484"/>
    </row>
    <row r="53" spans="1:18" x14ac:dyDescent="0.3">
      <c r="A53" s="134"/>
      <c r="B53" s="134"/>
      <c r="C53" s="134"/>
      <c r="D53" s="134"/>
      <c r="E53" s="134"/>
      <c r="F53" s="134"/>
      <c r="G53" s="134"/>
      <c r="H53" s="134"/>
      <c r="I53" s="134"/>
      <c r="J53" s="134"/>
      <c r="K53" s="134"/>
      <c r="L53" s="134"/>
      <c r="M53" s="134"/>
      <c r="N53" s="134"/>
      <c r="O53" s="134"/>
      <c r="P53" s="134"/>
      <c r="Q53" s="134"/>
      <c r="R53" s="484"/>
    </row>
    <row r="54" spans="1:18" x14ac:dyDescent="0.3">
      <c r="A54" s="134"/>
      <c r="B54" s="134"/>
      <c r="C54" s="134"/>
      <c r="D54" s="134"/>
      <c r="E54" s="134"/>
      <c r="F54" s="134"/>
      <c r="G54" s="134"/>
      <c r="H54" s="134"/>
      <c r="I54" s="134"/>
      <c r="J54" s="134"/>
      <c r="K54" s="134"/>
      <c r="L54" s="134"/>
      <c r="M54" s="134"/>
      <c r="N54" s="134"/>
      <c r="O54" s="134"/>
      <c r="P54" s="134"/>
      <c r="Q54" s="134"/>
      <c r="R54" s="484"/>
    </row>
    <row r="55" spans="1:18" x14ac:dyDescent="0.3">
      <c r="A55" s="134"/>
      <c r="B55" s="134"/>
      <c r="C55" s="134"/>
      <c r="D55" s="134"/>
      <c r="E55" s="134"/>
      <c r="F55" s="134"/>
      <c r="G55" s="134"/>
      <c r="H55" s="134"/>
      <c r="I55" s="134"/>
      <c r="J55" s="134"/>
      <c r="K55" s="134"/>
      <c r="L55" s="134"/>
      <c r="M55" s="134"/>
      <c r="N55" s="134"/>
      <c r="O55" s="134"/>
      <c r="P55" s="134"/>
      <c r="Q55" s="134"/>
      <c r="R55" s="484"/>
    </row>
    <row r="56" spans="1:18" x14ac:dyDescent="0.3">
      <c r="A56" s="134"/>
      <c r="B56" s="134"/>
      <c r="C56" s="134"/>
      <c r="D56" s="134"/>
      <c r="E56" s="134"/>
      <c r="F56" s="134"/>
      <c r="G56" s="134"/>
      <c r="H56" s="134"/>
      <c r="I56" s="134"/>
      <c r="J56" s="134"/>
      <c r="K56" s="134"/>
      <c r="L56" s="134"/>
      <c r="M56" s="134"/>
      <c r="N56" s="134"/>
      <c r="O56" s="134"/>
      <c r="P56" s="134"/>
      <c r="Q56" s="134"/>
      <c r="R56" s="484"/>
    </row>
    <row r="57" spans="1:18" x14ac:dyDescent="0.3">
      <c r="A57" s="134"/>
      <c r="B57" s="134"/>
      <c r="C57" s="134"/>
      <c r="D57" s="134"/>
      <c r="E57" s="134"/>
      <c r="F57" s="134"/>
      <c r="G57" s="134"/>
      <c r="H57" s="134"/>
      <c r="I57" s="134"/>
      <c r="J57" s="134"/>
      <c r="K57" s="134"/>
      <c r="L57" s="134"/>
      <c r="M57" s="134"/>
      <c r="N57" s="134"/>
      <c r="O57" s="134"/>
      <c r="P57" s="134"/>
      <c r="Q57" s="134"/>
      <c r="R57" s="484"/>
    </row>
    <row r="58" spans="1:18" x14ac:dyDescent="0.3">
      <c r="A58" s="134"/>
      <c r="B58" s="134"/>
      <c r="C58" s="134"/>
      <c r="D58" s="134"/>
      <c r="E58" s="134"/>
      <c r="F58" s="134"/>
      <c r="G58" s="134"/>
      <c r="H58" s="134"/>
      <c r="I58" s="134"/>
      <c r="J58" s="134"/>
      <c r="K58" s="134"/>
      <c r="L58" s="134"/>
      <c r="M58" s="134"/>
      <c r="N58" s="134"/>
      <c r="O58" s="134"/>
      <c r="P58" s="134"/>
      <c r="Q58" s="134"/>
      <c r="R58" s="484"/>
    </row>
    <row r="59" spans="1:18" x14ac:dyDescent="0.3">
      <c r="A59" s="134"/>
      <c r="B59" s="134"/>
      <c r="C59" s="134"/>
      <c r="D59" s="134"/>
      <c r="E59" s="134"/>
      <c r="F59" s="134"/>
      <c r="G59" s="134"/>
      <c r="H59" s="134"/>
      <c r="I59" s="134"/>
      <c r="J59" s="134"/>
      <c r="K59" s="134"/>
      <c r="L59" s="134"/>
      <c r="M59" s="134"/>
      <c r="N59" s="134"/>
      <c r="O59" s="134"/>
      <c r="P59" s="134"/>
      <c r="Q59" s="134"/>
      <c r="R59" s="484"/>
    </row>
    <row r="60" spans="1:18" x14ac:dyDescent="0.3">
      <c r="A60" s="134"/>
      <c r="B60" s="134"/>
      <c r="C60" s="134"/>
      <c r="D60" s="134"/>
      <c r="E60" s="134"/>
      <c r="F60" s="134"/>
      <c r="G60" s="134"/>
      <c r="H60" s="134"/>
      <c r="I60" s="134"/>
      <c r="J60" s="134"/>
      <c r="K60" s="134"/>
      <c r="L60" s="134"/>
      <c r="M60" s="134"/>
      <c r="N60" s="134"/>
      <c r="O60" s="134"/>
      <c r="P60" s="134"/>
      <c r="Q60" s="134"/>
      <c r="R60" s="483"/>
    </row>
    <row r="61" spans="1:18" x14ac:dyDescent="0.3">
      <c r="A61" s="134"/>
      <c r="B61" s="134"/>
      <c r="C61" s="134"/>
      <c r="D61" s="134"/>
      <c r="E61" s="134"/>
      <c r="F61" s="134"/>
      <c r="G61" s="134"/>
      <c r="H61" s="134"/>
      <c r="I61" s="134"/>
      <c r="J61" s="134"/>
      <c r="K61" s="134"/>
      <c r="L61" s="134"/>
      <c r="M61" s="134"/>
      <c r="N61" s="134"/>
      <c r="O61" s="134"/>
      <c r="P61" s="134"/>
      <c r="Q61" s="134"/>
      <c r="R61" s="483"/>
    </row>
    <row r="62" spans="1:18" x14ac:dyDescent="0.3">
      <c r="A62" s="134"/>
      <c r="B62" s="134"/>
      <c r="C62" s="134"/>
      <c r="D62" s="134"/>
      <c r="E62" s="134"/>
      <c r="F62" s="134"/>
      <c r="G62" s="134"/>
      <c r="H62" s="134"/>
      <c r="I62" s="134"/>
      <c r="J62" s="134"/>
      <c r="K62" s="134"/>
      <c r="L62" s="134"/>
      <c r="M62" s="134"/>
      <c r="N62" s="134"/>
      <c r="O62" s="134"/>
      <c r="P62" s="134"/>
      <c r="Q62" s="134"/>
      <c r="R62" s="483"/>
    </row>
    <row r="63" spans="1:18" x14ac:dyDescent="0.3">
      <c r="A63" s="134"/>
      <c r="B63" s="134"/>
      <c r="C63" s="134"/>
      <c r="D63" s="134"/>
      <c r="E63" s="134"/>
      <c r="F63" s="134"/>
      <c r="G63" s="134"/>
      <c r="H63" s="134"/>
      <c r="I63" s="134"/>
      <c r="J63" s="134"/>
      <c r="K63" s="134"/>
      <c r="L63" s="134"/>
      <c r="M63" s="134"/>
      <c r="N63" s="134"/>
      <c r="O63" s="134"/>
      <c r="P63" s="134"/>
      <c r="Q63" s="134"/>
      <c r="R63" s="483"/>
    </row>
    <row r="64" spans="1:18" x14ac:dyDescent="0.3">
      <c r="A64" s="134"/>
      <c r="B64" s="134"/>
      <c r="C64" s="134"/>
      <c r="D64" s="134"/>
      <c r="E64" s="134"/>
      <c r="F64" s="134"/>
      <c r="G64" s="134"/>
      <c r="H64" s="134"/>
      <c r="I64" s="134"/>
      <c r="J64" s="134"/>
      <c r="K64" s="134"/>
      <c r="L64" s="134"/>
      <c r="M64" s="134"/>
      <c r="N64" s="134"/>
      <c r="O64" s="134"/>
      <c r="P64" s="134"/>
      <c r="Q64" s="134"/>
      <c r="R64" s="483"/>
    </row>
    <row r="65" spans="1:18" x14ac:dyDescent="0.3">
      <c r="A65" s="134"/>
      <c r="B65" s="134"/>
      <c r="C65" s="134"/>
      <c r="D65" s="134"/>
      <c r="E65" s="134"/>
      <c r="F65" s="134"/>
      <c r="G65" s="134"/>
      <c r="H65" s="134"/>
      <c r="I65" s="134"/>
      <c r="J65" s="134"/>
      <c r="K65" s="134"/>
      <c r="L65" s="134"/>
      <c r="M65" s="134"/>
      <c r="N65" s="134"/>
      <c r="O65" s="134"/>
      <c r="P65" s="134"/>
      <c r="Q65" s="134"/>
      <c r="R65" s="483"/>
    </row>
    <row r="66" spans="1:18" x14ac:dyDescent="0.3">
      <c r="A66" s="134"/>
      <c r="B66" s="134"/>
      <c r="C66" s="134"/>
      <c r="D66" s="134"/>
      <c r="E66" s="134"/>
      <c r="F66" s="134"/>
      <c r="G66" s="134"/>
      <c r="H66" s="134"/>
      <c r="I66" s="134"/>
      <c r="J66" s="134"/>
      <c r="K66" s="134"/>
      <c r="L66" s="134"/>
      <c r="M66" s="134"/>
      <c r="N66" s="134"/>
      <c r="O66" s="134"/>
      <c r="P66" s="134"/>
      <c r="Q66" s="134"/>
      <c r="R66" s="483"/>
    </row>
    <row r="67" spans="1:18" x14ac:dyDescent="0.3">
      <c r="A67" s="134"/>
      <c r="B67" s="134"/>
      <c r="C67" s="134"/>
      <c r="D67" s="134"/>
      <c r="E67" s="134"/>
      <c r="F67" s="134"/>
      <c r="G67" s="134"/>
      <c r="H67" s="134"/>
      <c r="I67" s="134"/>
      <c r="J67" s="134"/>
      <c r="K67" s="134"/>
      <c r="L67" s="134"/>
      <c r="M67" s="134"/>
      <c r="N67" s="134"/>
      <c r="O67" s="134"/>
      <c r="P67" s="134"/>
      <c r="Q67" s="134"/>
      <c r="R67" s="483"/>
    </row>
    <row r="68" spans="1:18" x14ac:dyDescent="0.3">
      <c r="A68" s="134"/>
      <c r="B68" s="134"/>
      <c r="C68" s="134"/>
      <c r="D68" s="134"/>
      <c r="E68" s="134"/>
      <c r="F68" s="134"/>
      <c r="G68" s="134"/>
      <c r="H68" s="134"/>
      <c r="I68" s="134"/>
      <c r="J68" s="134"/>
      <c r="K68" s="134"/>
      <c r="L68" s="134"/>
      <c r="M68" s="134"/>
      <c r="N68" s="134"/>
      <c r="O68" s="134"/>
      <c r="P68" s="134"/>
      <c r="Q68" s="134"/>
      <c r="R68" s="483"/>
    </row>
    <row r="69" spans="1:18" x14ac:dyDescent="0.3">
      <c r="A69" s="134"/>
      <c r="B69" s="134"/>
      <c r="C69" s="134"/>
      <c r="D69" s="134"/>
      <c r="E69" s="134"/>
      <c r="F69" s="134"/>
      <c r="G69" s="134"/>
      <c r="H69" s="134"/>
      <c r="I69" s="134"/>
      <c r="J69" s="134"/>
      <c r="K69" s="134"/>
      <c r="L69" s="134"/>
      <c r="M69" s="134"/>
      <c r="N69" s="134"/>
      <c r="O69" s="134"/>
      <c r="P69" s="134"/>
      <c r="Q69" s="134"/>
      <c r="R69" s="485"/>
    </row>
    <row r="70" spans="1:18" x14ac:dyDescent="0.3">
      <c r="A70" s="134"/>
      <c r="B70" s="134"/>
      <c r="C70" s="134"/>
      <c r="D70" s="134"/>
      <c r="E70" s="134"/>
      <c r="F70" s="134"/>
      <c r="G70" s="134"/>
      <c r="H70" s="134"/>
      <c r="I70" s="134"/>
      <c r="J70" s="134"/>
      <c r="K70" s="134"/>
      <c r="L70" s="134"/>
      <c r="M70" s="134"/>
      <c r="N70" s="134"/>
      <c r="O70" s="134"/>
      <c r="P70" s="134"/>
      <c r="Q70" s="134"/>
      <c r="R70" s="483"/>
    </row>
    <row r="71" spans="1:18" x14ac:dyDescent="0.3">
      <c r="A71" s="134"/>
      <c r="B71" s="134"/>
      <c r="C71" s="134"/>
      <c r="D71" s="134"/>
      <c r="E71" s="134"/>
      <c r="F71" s="134"/>
      <c r="G71" s="134"/>
      <c r="H71" s="134"/>
      <c r="I71" s="134"/>
      <c r="J71" s="134"/>
      <c r="K71" s="134"/>
      <c r="L71" s="134"/>
      <c r="M71" s="134"/>
      <c r="N71" s="134"/>
      <c r="O71" s="134"/>
      <c r="P71" s="134"/>
      <c r="Q71" s="134"/>
      <c r="R71" s="483"/>
    </row>
    <row r="72" spans="1:18" x14ac:dyDescent="0.3">
      <c r="A72" s="134"/>
      <c r="B72" s="134"/>
      <c r="C72" s="134"/>
      <c r="D72" s="134"/>
      <c r="E72" s="134"/>
      <c r="F72" s="134"/>
      <c r="G72" s="134"/>
      <c r="H72" s="134"/>
      <c r="I72" s="134"/>
      <c r="J72" s="134"/>
      <c r="K72" s="134"/>
      <c r="L72" s="134"/>
      <c r="M72" s="134"/>
      <c r="N72" s="134"/>
      <c r="O72" s="134"/>
      <c r="P72" s="134"/>
      <c r="Q72" s="134"/>
      <c r="R72" s="483"/>
    </row>
    <row r="73" spans="1:18" x14ac:dyDescent="0.3">
      <c r="A73" s="134"/>
      <c r="B73" s="134"/>
      <c r="C73" s="134"/>
      <c r="D73" s="134"/>
      <c r="E73" s="134"/>
      <c r="F73" s="134"/>
      <c r="G73" s="134"/>
      <c r="H73" s="134"/>
      <c r="I73" s="134"/>
      <c r="J73" s="134"/>
      <c r="K73" s="134"/>
      <c r="L73" s="134"/>
      <c r="M73" s="134"/>
      <c r="N73" s="134"/>
      <c r="O73" s="134"/>
      <c r="P73" s="134"/>
      <c r="Q73" s="134"/>
      <c r="R73" s="483"/>
    </row>
    <row r="74" spans="1:18" x14ac:dyDescent="0.3">
      <c r="A74" s="134"/>
      <c r="B74" s="134"/>
      <c r="C74" s="134"/>
      <c r="D74" s="134"/>
      <c r="E74" s="134"/>
      <c r="F74" s="134"/>
      <c r="G74" s="134"/>
      <c r="H74" s="134"/>
      <c r="I74" s="134"/>
      <c r="J74" s="134"/>
      <c r="K74" s="134"/>
      <c r="L74" s="134"/>
      <c r="M74" s="134"/>
      <c r="N74" s="134"/>
      <c r="O74" s="134"/>
      <c r="P74" s="134"/>
      <c r="Q74" s="134"/>
      <c r="R74" s="483"/>
    </row>
    <row r="75" spans="1:18" ht="15.6" x14ac:dyDescent="0.3">
      <c r="A75" s="134"/>
      <c r="B75" s="134"/>
      <c r="C75" s="134"/>
      <c r="D75" s="134"/>
      <c r="E75" s="134"/>
      <c r="F75" s="134"/>
      <c r="G75" s="134"/>
      <c r="H75" s="134"/>
      <c r="I75" s="134"/>
      <c r="J75" s="134"/>
      <c r="K75" s="134"/>
      <c r="L75" s="134"/>
      <c r="M75" s="134"/>
      <c r="N75" s="134"/>
      <c r="O75" s="134"/>
      <c r="P75" s="134"/>
      <c r="Q75" s="134"/>
      <c r="R75" s="486"/>
    </row>
    <row r="76" spans="1:18" x14ac:dyDescent="0.3">
      <c r="A76" s="134"/>
      <c r="B76" s="134"/>
      <c r="C76" s="134"/>
      <c r="D76" s="134"/>
      <c r="E76" s="134"/>
      <c r="F76" s="134"/>
      <c r="G76" s="134"/>
      <c r="H76" s="134"/>
      <c r="I76" s="134"/>
      <c r="J76" s="134"/>
      <c r="K76" s="134"/>
      <c r="L76" s="134"/>
      <c r="M76" s="134"/>
      <c r="N76" s="134"/>
      <c r="O76" s="134"/>
      <c r="P76" s="134"/>
      <c r="Q76" s="134"/>
      <c r="R76" s="483"/>
    </row>
    <row r="77" spans="1:18" x14ac:dyDescent="0.3">
      <c r="A77" s="134"/>
      <c r="B77" s="134"/>
      <c r="C77" s="134"/>
      <c r="D77" s="134"/>
      <c r="E77" s="134"/>
      <c r="F77" s="134"/>
      <c r="G77" s="134"/>
      <c r="H77" s="134"/>
      <c r="I77" s="134"/>
      <c r="J77" s="134"/>
      <c r="K77" s="134"/>
      <c r="L77" s="134"/>
      <c r="M77" s="134"/>
      <c r="N77" s="134"/>
      <c r="O77" s="134"/>
      <c r="P77" s="134"/>
      <c r="Q77" s="134"/>
      <c r="R77" s="483"/>
    </row>
    <row r="78" spans="1:18" x14ac:dyDescent="0.3">
      <c r="A78" s="134"/>
      <c r="B78" s="134"/>
      <c r="C78" s="134"/>
      <c r="D78" s="134"/>
      <c r="E78" s="134"/>
      <c r="F78" s="134"/>
      <c r="G78" s="134"/>
      <c r="H78" s="134"/>
      <c r="I78" s="134"/>
      <c r="J78" s="134"/>
      <c r="K78" s="134"/>
      <c r="L78" s="134"/>
      <c r="M78" s="134"/>
      <c r="N78" s="134"/>
      <c r="O78" s="134"/>
      <c r="P78" s="134"/>
      <c r="Q78" s="134"/>
      <c r="R78" s="483"/>
    </row>
    <row r="79" spans="1:18" x14ac:dyDescent="0.3">
      <c r="A79" s="134"/>
      <c r="B79" s="134"/>
      <c r="C79" s="134"/>
      <c r="D79" s="134"/>
      <c r="E79" s="134"/>
      <c r="F79" s="134"/>
      <c r="G79" s="134"/>
      <c r="H79" s="134"/>
      <c r="I79" s="134"/>
      <c r="J79" s="134"/>
      <c r="K79" s="134"/>
      <c r="L79" s="134"/>
      <c r="M79" s="134"/>
      <c r="N79" s="134"/>
      <c r="O79" s="134"/>
      <c r="P79" s="134"/>
      <c r="Q79" s="134"/>
      <c r="R79" s="483"/>
    </row>
    <row r="80" spans="1:18" x14ac:dyDescent="0.3">
      <c r="A80" s="134"/>
      <c r="B80" s="134"/>
      <c r="C80" s="134"/>
      <c r="D80" s="134"/>
      <c r="E80" s="134"/>
      <c r="F80" s="134"/>
      <c r="G80" s="134"/>
      <c r="H80" s="134"/>
      <c r="I80" s="134"/>
      <c r="J80" s="134"/>
      <c r="K80" s="134"/>
      <c r="L80" s="134"/>
      <c r="M80" s="134"/>
      <c r="N80" s="134"/>
      <c r="O80" s="134"/>
      <c r="P80" s="134"/>
      <c r="Q80" s="134"/>
      <c r="R80" s="483"/>
    </row>
    <row r="81" spans="18:18" x14ac:dyDescent="0.3">
      <c r="R81" s="483"/>
    </row>
    <row r="82" spans="18:18" x14ac:dyDescent="0.3">
      <c r="R82" s="483"/>
    </row>
    <row r="83" spans="18:18" x14ac:dyDescent="0.3">
      <c r="R83" s="483"/>
    </row>
    <row r="84" spans="18:18" x14ac:dyDescent="0.3">
      <c r="R84" s="483"/>
    </row>
    <row r="85" spans="18:18" x14ac:dyDescent="0.3">
      <c r="R85" s="483"/>
    </row>
    <row r="86" spans="18:18" x14ac:dyDescent="0.3">
      <c r="R86" s="483"/>
    </row>
    <row r="87" spans="18:18" x14ac:dyDescent="0.3">
      <c r="R87" s="483"/>
    </row>
    <row r="88" spans="18:18" x14ac:dyDescent="0.3">
      <c r="R88" s="483"/>
    </row>
    <row r="89" spans="18:18" x14ac:dyDescent="0.3">
      <c r="R89" s="483"/>
    </row>
    <row r="90" spans="18:18" x14ac:dyDescent="0.3">
      <c r="R90" s="483"/>
    </row>
    <row r="91" spans="18:18" x14ac:dyDescent="0.3">
      <c r="R91" s="483"/>
    </row>
    <row r="92" spans="18:18" x14ac:dyDescent="0.3">
      <c r="R92" s="483"/>
    </row>
    <row r="93" spans="18:18" x14ac:dyDescent="0.3">
      <c r="R93" s="483"/>
    </row>
    <row r="94" spans="18:18" x14ac:dyDescent="0.3">
      <c r="R94" s="483"/>
    </row>
    <row r="95" spans="18:18" x14ac:dyDescent="0.3">
      <c r="R95" s="483"/>
    </row>
    <row r="96" spans="18:18" x14ac:dyDescent="0.3">
      <c r="R96" s="483"/>
    </row>
    <row r="97" spans="18:18" x14ac:dyDescent="0.3">
      <c r="R97" s="483"/>
    </row>
    <row r="98" spans="18:18" x14ac:dyDescent="0.3">
      <c r="R98" s="483"/>
    </row>
    <row r="99" spans="18:18" x14ac:dyDescent="0.3">
      <c r="R99" s="483"/>
    </row>
    <row r="100" spans="18:18" x14ac:dyDescent="0.3">
      <c r="R100" s="483"/>
    </row>
    <row r="101" spans="18:18" x14ac:dyDescent="0.3">
      <c r="R101" s="483"/>
    </row>
    <row r="102" spans="18:18" x14ac:dyDescent="0.3">
      <c r="R102" s="483"/>
    </row>
    <row r="103" spans="18:18" x14ac:dyDescent="0.3">
      <c r="R103" s="483"/>
    </row>
    <row r="104" spans="18:18" x14ac:dyDescent="0.3">
      <c r="R104" s="483"/>
    </row>
    <row r="105" spans="18:18" x14ac:dyDescent="0.3">
      <c r="R105" s="483"/>
    </row>
    <row r="106" spans="18:18" x14ac:dyDescent="0.3">
      <c r="R106" s="483"/>
    </row>
    <row r="107" spans="18:18" x14ac:dyDescent="0.3">
      <c r="R107" s="54"/>
    </row>
    <row r="108" spans="18:18" x14ac:dyDescent="0.3">
      <c r="R108" s="54"/>
    </row>
    <row r="109" spans="18:18" x14ac:dyDescent="0.3">
      <c r="R109" s="54"/>
    </row>
    <row r="110" spans="18:18" x14ac:dyDescent="0.3">
      <c r="R110" s="54"/>
    </row>
    <row r="111" spans="18:18" x14ac:dyDescent="0.3">
      <c r="R111" s="54"/>
    </row>
    <row r="112" spans="18:18" x14ac:dyDescent="0.3">
      <c r="R112" s="54"/>
    </row>
    <row r="113" spans="18:18" x14ac:dyDescent="0.3">
      <c r="R113" s="54"/>
    </row>
    <row r="114" spans="18:18" x14ac:dyDescent="0.3">
      <c r="R114" s="54"/>
    </row>
    <row r="115" spans="18:18" x14ac:dyDescent="0.3">
      <c r="R115" s="54"/>
    </row>
    <row r="116" spans="18:18" x14ac:dyDescent="0.3">
      <c r="R116" s="54"/>
    </row>
    <row r="117" spans="18:18" x14ac:dyDescent="0.3">
      <c r="R117" s="54"/>
    </row>
    <row r="118" spans="18:18" x14ac:dyDescent="0.3">
      <c r="R118" s="54"/>
    </row>
    <row r="119" spans="18:18" x14ac:dyDescent="0.3">
      <c r="R119" s="54"/>
    </row>
    <row r="120" spans="18:18" x14ac:dyDescent="0.3">
      <c r="R120" s="54"/>
    </row>
    <row r="121" spans="18:18" x14ac:dyDescent="0.3">
      <c r="R121" s="54"/>
    </row>
    <row r="122" spans="18:18" x14ac:dyDescent="0.3">
      <c r="R122" s="54"/>
    </row>
    <row r="123" spans="18:18" x14ac:dyDescent="0.3">
      <c r="R123" s="54"/>
    </row>
    <row r="124" spans="18:18" x14ac:dyDescent="0.3">
      <c r="R124" s="54"/>
    </row>
    <row r="125" spans="18:18" x14ac:dyDescent="0.3">
      <c r="R125" s="54"/>
    </row>
    <row r="126" spans="18:18" x14ac:dyDescent="0.3">
      <c r="R126" s="54"/>
    </row>
    <row r="127" spans="18:18" x14ac:dyDescent="0.3">
      <c r="R127" s="54"/>
    </row>
    <row r="128" spans="18:18" x14ac:dyDescent="0.3">
      <c r="R128" s="54"/>
    </row>
    <row r="129" spans="18:18" x14ac:dyDescent="0.3">
      <c r="R129" s="54"/>
    </row>
    <row r="130" spans="18:18" x14ac:dyDescent="0.3">
      <c r="R130" s="54"/>
    </row>
    <row r="131" spans="18:18" x14ac:dyDescent="0.3">
      <c r="R131" s="54"/>
    </row>
    <row r="132" spans="18:18" x14ac:dyDescent="0.3">
      <c r="R132" s="54"/>
    </row>
    <row r="133" spans="18:18" x14ac:dyDescent="0.3">
      <c r="R133" s="54"/>
    </row>
    <row r="134" spans="18:18" x14ac:dyDescent="0.3">
      <c r="R134" s="54"/>
    </row>
    <row r="135" spans="18:18" x14ac:dyDescent="0.3">
      <c r="R135" s="54"/>
    </row>
    <row r="136" spans="18:18" x14ac:dyDescent="0.3">
      <c r="R136" s="54"/>
    </row>
    <row r="137" spans="18:18" x14ac:dyDescent="0.3">
      <c r="R137" s="54"/>
    </row>
    <row r="138" spans="18:18" x14ac:dyDescent="0.3">
      <c r="R138" s="54"/>
    </row>
    <row r="139" spans="18:18" x14ac:dyDescent="0.3">
      <c r="R139" s="54"/>
    </row>
    <row r="140" spans="18:18" x14ac:dyDescent="0.3">
      <c r="R140" s="54"/>
    </row>
    <row r="141" spans="18:18" x14ac:dyDescent="0.3">
      <c r="R141" s="54"/>
    </row>
    <row r="142" spans="18:18" x14ac:dyDescent="0.3">
      <c r="R142" s="54"/>
    </row>
    <row r="143" spans="18:18" x14ac:dyDescent="0.3">
      <c r="R143" s="54"/>
    </row>
    <row r="144" spans="18:18" x14ac:dyDescent="0.3">
      <c r="R144" s="54"/>
    </row>
    <row r="145" spans="18:18" x14ac:dyDescent="0.3">
      <c r="R145" s="54"/>
    </row>
    <row r="146" spans="18:18" x14ac:dyDescent="0.3">
      <c r="R146" s="54"/>
    </row>
    <row r="147" spans="18:18" x14ac:dyDescent="0.3">
      <c r="R147" s="54"/>
    </row>
    <row r="148" spans="18:18" x14ac:dyDescent="0.3">
      <c r="R148" s="54"/>
    </row>
    <row r="149" spans="18:18" x14ac:dyDescent="0.3">
      <c r="R149" s="54"/>
    </row>
    <row r="150" spans="18:18" x14ac:dyDescent="0.3">
      <c r="R150" s="54"/>
    </row>
    <row r="151" spans="18:18" x14ac:dyDescent="0.3">
      <c r="R151" s="54"/>
    </row>
    <row r="152" spans="18:18" x14ac:dyDescent="0.3">
      <c r="R152" s="54"/>
    </row>
    <row r="153" spans="18:18" x14ac:dyDescent="0.3">
      <c r="R153" s="54"/>
    </row>
    <row r="154" spans="18:18" x14ac:dyDescent="0.3">
      <c r="R154" s="54"/>
    </row>
    <row r="155" spans="18:18" x14ac:dyDescent="0.3">
      <c r="R155" s="54"/>
    </row>
    <row r="156" spans="18:18" x14ac:dyDescent="0.3">
      <c r="R156" s="54"/>
    </row>
    <row r="157" spans="18:18" x14ac:dyDescent="0.3">
      <c r="R157" s="54"/>
    </row>
    <row r="158" spans="18:18" x14ac:dyDescent="0.3">
      <c r="R158" s="54"/>
    </row>
    <row r="159" spans="18:18" x14ac:dyDescent="0.3">
      <c r="R159" s="54"/>
    </row>
    <row r="160" spans="18:18" x14ac:dyDescent="0.3">
      <c r="R160" s="54"/>
    </row>
    <row r="161" spans="18:18" x14ac:dyDescent="0.3">
      <c r="R161" s="54"/>
    </row>
    <row r="162" spans="18:18" x14ac:dyDescent="0.3">
      <c r="R162" s="54"/>
    </row>
    <row r="163" spans="18:18" x14ac:dyDescent="0.3">
      <c r="R163" s="54"/>
    </row>
    <row r="164" spans="18:18" x14ac:dyDescent="0.3">
      <c r="R164" s="54"/>
    </row>
    <row r="165" spans="18:18" x14ac:dyDescent="0.3">
      <c r="R165" s="54"/>
    </row>
    <row r="166" spans="18:18" x14ac:dyDescent="0.3">
      <c r="R166" s="54"/>
    </row>
    <row r="167" spans="18:18" x14ac:dyDescent="0.3">
      <c r="R167" s="54"/>
    </row>
    <row r="168" spans="18:18" x14ac:dyDescent="0.3">
      <c r="R168" s="54"/>
    </row>
    <row r="169" spans="18:18" x14ac:dyDescent="0.3">
      <c r="R169" s="54"/>
    </row>
    <row r="170" spans="18:18" x14ac:dyDescent="0.3">
      <c r="R170" s="54"/>
    </row>
    <row r="171" spans="18:18" x14ac:dyDescent="0.3">
      <c r="R171" s="54"/>
    </row>
    <row r="172" spans="18:18" x14ac:dyDescent="0.3">
      <c r="R172" s="54"/>
    </row>
    <row r="173" spans="18:18" x14ac:dyDescent="0.3">
      <c r="R173" s="54"/>
    </row>
    <row r="174" spans="18:18" x14ac:dyDescent="0.3">
      <c r="R174" s="54"/>
    </row>
    <row r="175" spans="18:18" x14ac:dyDescent="0.3">
      <c r="R175" s="54"/>
    </row>
    <row r="176" spans="18:18" x14ac:dyDescent="0.3">
      <c r="R176" s="54"/>
    </row>
    <row r="177" spans="18:18" x14ac:dyDescent="0.3">
      <c r="R177" s="54"/>
    </row>
    <row r="178" spans="18:18" x14ac:dyDescent="0.3">
      <c r="R178" s="54"/>
    </row>
    <row r="179" spans="18:18" x14ac:dyDescent="0.3">
      <c r="R179" s="54"/>
    </row>
    <row r="180" spans="18:18" x14ac:dyDescent="0.3">
      <c r="R180" s="54"/>
    </row>
    <row r="181" spans="18:18" x14ac:dyDescent="0.3">
      <c r="R181" s="54"/>
    </row>
    <row r="182" spans="18:18" x14ac:dyDescent="0.3">
      <c r="R182" s="54"/>
    </row>
    <row r="183" spans="18:18" x14ac:dyDescent="0.3">
      <c r="R183" s="54"/>
    </row>
    <row r="184" spans="18:18" x14ac:dyDescent="0.3">
      <c r="R184" s="54"/>
    </row>
    <row r="185" spans="18:18" x14ac:dyDescent="0.3">
      <c r="R185" s="54"/>
    </row>
    <row r="186" spans="18:18" x14ac:dyDescent="0.3">
      <c r="R186" s="54"/>
    </row>
    <row r="187" spans="18:18" x14ac:dyDescent="0.3">
      <c r="R187" s="54"/>
    </row>
    <row r="188" spans="18:18" x14ac:dyDescent="0.3">
      <c r="R188" s="54"/>
    </row>
    <row r="189" spans="18:18" x14ac:dyDescent="0.3">
      <c r="R189" s="54"/>
    </row>
    <row r="190" spans="18:18" x14ac:dyDescent="0.3">
      <c r="R190" s="54"/>
    </row>
    <row r="191" spans="18:18" x14ac:dyDescent="0.3">
      <c r="R191" s="54"/>
    </row>
    <row r="192" spans="18:18" x14ac:dyDescent="0.3">
      <c r="R192" s="54"/>
    </row>
    <row r="193" spans="18:18" x14ac:dyDescent="0.3">
      <c r="R193" s="54"/>
    </row>
    <row r="194" spans="18:18" x14ac:dyDescent="0.3">
      <c r="R194" s="54"/>
    </row>
    <row r="195" spans="18:18" x14ac:dyDescent="0.3">
      <c r="R195" s="54"/>
    </row>
    <row r="196" spans="18:18" x14ac:dyDescent="0.3">
      <c r="R196" s="54"/>
    </row>
    <row r="197" spans="18:18" x14ac:dyDescent="0.3">
      <c r="R197" s="54"/>
    </row>
    <row r="198" spans="18:18" x14ac:dyDescent="0.3">
      <c r="R198" s="54"/>
    </row>
    <row r="199" spans="18:18" x14ac:dyDescent="0.3">
      <c r="R199" s="54"/>
    </row>
    <row r="200" spans="18:18" x14ac:dyDescent="0.3">
      <c r="R200" s="54"/>
    </row>
    <row r="201" spans="18:18" x14ac:dyDescent="0.3">
      <c r="R201" s="54"/>
    </row>
    <row r="202" spans="18:18" x14ac:dyDescent="0.3">
      <c r="R202" s="54"/>
    </row>
    <row r="203" spans="18:18" x14ac:dyDescent="0.3">
      <c r="R203" s="54"/>
    </row>
    <row r="204" spans="18:18" x14ac:dyDescent="0.3">
      <c r="R204" s="54"/>
    </row>
    <row r="205" spans="18:18" x14ac:dyDescent="0.3">
      <c r="R205" s="54"/>
    </row>
    <row r="206" spans="18:18" x14ac:dyDescent="0.3">
      <c r="R206" s="54"/>
    </row>
    <row r="207" spans="18:18" x14ac:dyDescent="0.3">
      <c r="R207" s="54"/>
    </row>
    <row r="208" spans="18:18" x14ac:dyDescent="0.3">
      <c r="R208" s="54"/>
    </row>
    <row r="209" spans="18:18" x14ac:dyDescent="0.3">
      <c r="R209" s="54"/>
    </row>
    <row r="210" spans="18:18" x14ac:dyDescent="0.3">
      <c r="R210" s="54"/>
    </row>
    <row r="211" spans="18:18" x14ac:dyDescent="0.3">
      <c r="R211" s="54"/>
    </row>
    <row r="212" spans="18:18" x14ac:dyDescent="0.3">
      <c r="R212" s="54"/>
    </row>
    <row r="213" spans="18:18" x14ac:dyDescent="0.3">
      <c r="R213" s="54"/>
    </row>
    <row r="214" spans="18:18" x14ac:dyDescent="0.3">
      <c r="R214" s="54"/>
    </row>
    <row r="215" spans="18:18" x14ac:dyDescent="0.3">
      <c r="R215" s="54"/>
    </row>
    <row r="216" spans="18:18" x14ac:dyDescent="0.3">
      <c r="R216" s="54"/>
    </row>
    <row r="217" spans="18:18" x14ac:dyDescent="0.3">
      <c r="R217" s="54"/>
    </row>
    <row r="218" spans="18:18" x14ac:dyDescent="0.3">
      <c r="R218" s="54"/>
    </row>
    <row r="219" spans="18:18" x14ac:dyDescent="0.3">
      <c r="R219" s="54"/>
    </row>
    <row r="220" spans="18:18" x14ac:dyDescent="0.3">
      <c r="R220" s="54"/>
    </row>
    <row r="221" spans="18:18" x14ac:dyDescent="0.3">
      <c r="R221" s="54"/>
    </row>
    <row r="222" spans="18:18" x14ac:dyDescent="0.3">
      <c r="R222" s="54"/>
    </row>
    <row r="223" spans="18:18" x14ac:dyDescent="0.3">
      <c r="R223" s="54"/>
    </row>
    <row r="224" spans="18:18" x14ac:dyDescent="0.3">
      <c r="R224" s="54"/>
    </row>
    <row r="225" spans="18:18" x14ac:dyDescent="0.3">
      <c r="R225" s="54"/>
    </row>
    <row r="226" spans="18:18" x14ac:dyDescent="0.3">
      <c r="R226" s="54"/>
    </row>
    <row r="227" spans="18:18" x14ac:dyDescent="0.3">
      <c r="R227" s="54"/>
    </row>
    <row r="228" spans="18:18" x14ac:dyDescent="0.3">
      <c r="R228" s="54"/>
    </row>
    <row r="229" spans="18:18" x14ac:dyDescent="0.3">
      <c r="R229" s="54"/>
    </row>
    <row r="230" spans="18:18" x14ac:dyDescent="0.3">
      <c r="R230" s="54"/>
    </row>
    <row r="231" spans="18:18" x14ac:dyDescent="0.3">
      <c r="R231" s="54"/>
    </row>
    <row r="232" spans="18:18" x14ac:dyDescent="0.3">
      <c r="R232" s="54"/>
    </row>
    <row r="233" spans="18:18" x14ac:dyDescent="0.3">
      <c r="R233" s="54"/>
    </row>
    <row r="234" spans="18:18" x14ac:dyDescent="0.3">
      <c r="R234" s="54"/>
    </row>
    <row r="235" spans="18:18" x14ac:dyDescent="0.3">
      <c r="R235" s="54"/>
    </row>
    <row r="236" spans="18:18" x14ac:dyDescent="0.3">
      <c r="R236" s="54"/>
    </row>
    <row r="237" spans="18:18" x14ac:dyDescent="0.3">
      <c r="R237" s="54"/>
    </row>
    <row r="238" spans="18:18" x14ac:dyDescent="0.3">
      <c r="R238" s="54"/>
    </row>
    <row r="239" spans="18:18" x14ac:dyDescent="0.3">
      <c r="R239" s="54"/>
    </row>
    <row r="240" spans="18:18" x14ac:dyDescent="0.3">
      <c r="R240" s="54"/>
    </row>
    <row r="241" spans="18:18" x14ac:dyDescent="0.3">
      <c r="R241" s="54"/>
    </row>
    <row r="242" spans="18:18" x14ac:dyDescent="0.3">
      <c r="R242" s="54"/>
    </row>
    <row r="243" spans="18:18" x14ac:dyDescent="0.3">
      <c r="R243" s="54"/>
    </row>
    <row r="244" spans="18:18" x14ac:dyDescent="0.3">
      <c r="R244" s="54"/>
    </row>
    <row r="245" spans="18:18" x14ac:dyDescent="0.3">
      <c r="R245" s="54"/>
    </row>
    <row r="246" spans="18:18" x14ac:dyDescent="0.3">
      <c r="R246" s="54"/>
    </row>
    <row r="247" spans="18:18" x14ac:dyDescent="0.3">
      <c r="R247" s="54"/>
    </row>
    <row r="248" spans="18:18" x14ac:dyDescent="0.3">
      <c r="R248" s="54"/>
    </row>
    <row r="249" spans="18:18" x14ac:dyDescent="0.3">
      <c r="R249" s="54"/>
    </row>
    <row r="250" spans="18:18" x14ac:dyDescent="0.3">
      <c r="R250" s="54"/>
    </row>
    <row r="251" spans="18:18" x14ac:dyDescent="0.3">
      <c r="R251" s="54"/>
    </row>
    <row r="252" spans="18:18" x14ac:dyDescent="0.3">
      <c r="R252" s="54"/>
    </row>
    <row r="253" spans="18:18" x14ac:dyDescent="0.3">
      <c r="R253" s="54"/>
    </row>
    <row r="254" spans="18:18" x14ac:dyDescent="0.3">
      <c r="R254" s="54"/>
    </row>
    <row r="255" spans="18:18" x14ac:dyDescent="0.3">
      <c r="R255" s="54"/>
    </row>
    <row r="256" spans="18:18" x14ac:dyDescent="0.3">
      <c r="R256" s="54"/>
    </row>
    <row r="257" spans="18:18" x14ac:dyDescent="0.3">
      <c r="R257" s="54"/>
    </row>
    <row r="258" spans="18:18" x14ac:dyDescent="0.3">
      <c r="R258" s="54"/>
    </row>
    <row r="259" spans="18:18" x14ac:dyDescent="0.3">
      <c r="R259" s="54"/>
    </row>
    <row r="260" spans="18:18" x14ac:dyDescent="0.3">
      <c r="R260" s="54"/>
    </row>
    <row r="261" spans="18:18" x14ac:dyDescent="0.3">
      <c r="R261" s="54"/>
    </row>
    <row r="262" spans="18:18" x14ac:dyDescent="0.3">
      <c r="R262" s="54"/>
    </row>
    <row r="263" spans="18:18" x14ac:dyDescent="0.3">
      <c r="R263" s="54"/>
    </row>
    <row r="264" spans="18:18" x14ac:dyDescent="0.3">
      <c r="R264" s="54"/>
    </row>
    <row r="265" spans="18:18" x14ac:dyDescent="0.3">
      <c r="R265" s="54"/>
    </row>
    <row r="266" spans="18:18" x14ac:dyDescent="0.3">
      <c r="R266" s="54"/>
    </row>
    <row r="267" spans="18:18" x14ac:dyDescent="0.3">
      <c r="R267" s="54"/>
    </row>
    <row r="268" spans="18:18" x14ac:dyDescent="0.3">
      <c r="R268" s="54"/>
    </row>
    <row r="269" spans="18:18" x14ac:dyDescent="0.3">
      <c r="R269" s="54"/>
    </row>
    <row r="270" spans="18:18" x14ac:dyDescent="0.3">
      <c r="R270" s="54"/>
    </row>
    <row r="271" spans="18:18" x14ac:dyDescent="0.3">
      <c r="R271" s="54"/>
    </row>
    <row r="272" spans="18:18" x14ac:dyDescent="0.3">
      <c r="R272" s="54"/>
    </row>
    <row r="273" spans="18:18" x14ac:dyDescent="0.3">
      <c r="R273" s="54"/>
    </row>
    <row r="274" spans="18:18" x14ac:dyDescent="0.3">
      <c r="R274" s="54"/>
    </row>
    <row r="275" spans="18:18" x14ac:dyDescent="0.3">
      <c r="R275" s="54"/>
    </row>
    <row r="276" spans="18:18" x14ac:dyDescent="0.3">
      <c r="R276" s="54"/>
    </row>
    <row r="277" spans="18:18" x14ac:dyDescent="0.3">
      <c r="R277" s="54"/>
    </row>
    <row r="278" spans="18:18" x14ac:dyDescent="0.3">
      <c r="R278" s="54"/>
    </row>
    <row r="279" spans="18:18" x14ac:dyDescent="0.3">
      <c r="R279" s="54"/>
    </row>
    <row r="280" spans="18:18" x14ac:dyDescent="0.3">
      <c r="R280" s="54"/>
    </row>
    <row r="281" spans="18:18" x14ac:dyDescent="0.3">
      <c r="R281" s="54"/>
    </row>
    <row r="282" spans="18:18" x14ac:dyDescent="0.3">
      <c r="R282" s="54"/>
    </row>
    <row r="283" spans="18:18" x14ac:dyDescent="0.3">
      <c r="R283" s="54"/>
    </row>
    <row r="284" spans="18:18" x14ac:dyDescent="0.3">
      <c r="R284" s="54"/>
    </row>
    <row r="285" spans="18:18" x14ac:dyDescent="0.3">
      <c r="R285" s="54"/>
    </row>
    <row r="286" spans="18:18" x14ac:dyDescent="0.3">
      <c r="R286" s="54"/>
    </row>
    <row r="287" spans="18:18" x14ac:dyDescent="0.3">
      <c r="R287" s="54"/>
    </row>
    <row r="288" spans="18:18" x14ac:dyDescent="0.3">
      <c r="R288" s="54"/>
    </row>
    <row r="289" spans="18:18" x14ac:dyDescent="0.3">
      <c r="R289" s="54"/>
    </row>
    <row r="290" spans="18:18" x14ac:dyDescent="0.3">
      <c r="R290" s="54"/>
    </row>
    <row r="291" spans="18:18" x14ac:dyDescent="0.3">
      <c r="R291" s="54"/>
    </row>
    <row r="292" spans="18:18" x14ac:dyDescent="0.3">
      <c r="R292" s="54"/>
    </row>
    <row r="293" spans="18:18" x14ac:dyDescent="0.3">
      <c r="R293" s="54"/>
    </row>
    <row r="294" spans="18:18" x14ac:dyDescent="0.3">
      <c r="R294" s="54"/>
    </row>
    <row r="295" spans="18:18" x14ac:dyDescent="0.3">
      <c r="R295" s="54"/>
    </row>
    <row r="296" spans="18:18" x14ac:dyDescent="0.3">
      <c r="R296" s="54"/>
    </row>
    <row r="297" spans="18:18" x14ac:dyDescent="0.3">
      <c r="R297" s="54"/>
    </row>
    <row r="298" spans="18:18" x14ac:dyDescent="0.3">
      <c r="R298" s="54"/>
    </row>
    <row r="299" spans="18:18" x14ac:dyDescent="0.3">
      <c r="R299" s="54"/>
    </row>
    <row r="300" spans="18:18" x14ac:dyDescent="0.3">
      <c r="R300" s="54"/>
    </row>
    <row r="301" spans="18:18" x14ac:dyDescent="0.3">
      <c r="R301" s="54"/>
    </row>
    <row r="302" spans="18:18" x14ac:dyDescent="0.3">
      <c r="R302" s="54"/>
    </row>
    <row r="303" spans="18:18" x14ac:dyDescent="0.3">
      <c r="R303" s="54"/>
    </row>
    <row r="304" spans="18:18" x14ac:dyDescent="0.3">
      <c r="R304" s="54"/>
    </row>
    <row r="305" spans="18:18" x14ac:dyDescent="0.3">
      <c r="R305" s="54"/>
    </row>
    <row r="306" spans="18:18" x14ac:dyDescent="0.3">
      <c r="R306" s="54"/>
    </row>
    <row r="307" spans="18:18" x14ac:dyDescent="0.3">
      <c r="R307" s="54"/>
    </row>
    <row r="308" spans="18:18" x14ac:dyDescent="0.3">
      <c r="R308" s="54"/>
    </row>
    <row r="309" spans="18:18" x14ac:dyDescent="0.3">
      <c r="R309" s="54"/>
    </row>
    <row r="310" spans="18:18" x14ac:dyDescent="0.3">
      <c r="R310" s="54"/>
    </row>
    <row r="311" spans="18:18" x14ac:dyDescent="0.3">
      <c r="R311" s="54"/>
    </row>
    <row r="312" spans="18:18" x14ac:dyDescent="0.3">
      <c r="R312" s="54"/>
    </row>
    <row r="313" spans="18:18" x14ac:dyDescent="0.3">
      <c r="R313" s="54"/>
    </row>
    <row r="314" spans="18:18" x14ac:dyDescent="0.3">
      <c r="R314" s="54"/>
    </row>
    <row r="315" spans="18:18" x14ac:dyDescent="0.3">
      <c r="R315" s="54"/>
    </row>
    <row r="316" spans="18:18" x14ac:dyDescent="0.3">
      <c r="R316" s="54"/>
    </row>
    <row r="317" spans="18:18" x14ac:dyDescent="0.3">
      <c r="R317" s="54"/>
    </row>
    <row r="318" spans="18:18" x14ac:dyDescent="0.3">
      <c r="R318" s="54"/>
    </row>
    <row r="319" spans="18:18" x14ac:dyDescent="0.3">
      <c r="R319" s="54"/>
    </row>
    <row r="320" spans="18:18" x14ac:dyDescent="0.3">
      <c r="R320" s="54"/>
    </row>
    <row r="321" spans="18:18" x14ac:dyDescent="0.3">
      <c r="R321" s="54"/>
    </row>
    <row r="322" spans="18:18" x14ac:dyDescent="0.3">
      <c r="R322" s="54"/>
    </row>
    <row r="323" spans="18:18" x14ac:dyDescent="0.3">
      <c r="R323" s="54"/>
    </row>
    <row r="324" spans="18:18" x14ac:dyDescent="0.3">
      <c r="R324" s="54"/>
    </row>
    <row r="325" spans="18:18" x14ac:dyDescent="0.3">
      <c r="R325" s="54"/>
    </row>
    <row r="326" spans="18:18" x14ac:dyDescent="0.3">
      <c r="R326" s="54"/>
    </row>
    <row r="327" spans="18:18" x14ac:dyDescent="0.3">
      <c r="R327" s="54"/>
    </row>
    <row r="328" spans="18:18" x14ac:dyDescent="0.3">
      <c r="R328" s="54"/>
    </row>
    <row r="329" spans="18:18" x14ac:dyDescent="0.3">
      <c r="R329" s="54"/>
    </row>
    <row r="330" spans="18:18" x14ac:dyDescent="0.3">
      <c r="R330" s="54"/>
    </row>
    <row r="331" spans="18:18" x14ac:dyDescent="0.3">
      <c r="R331" s="54"/>
    </row>
    <row r="332" spans="18:18" x14ac:dyDescent="0.3">
      <c r="R332" s="54"/>
    </row>
    <row r="333" spans="18:18" x14ac:dyDescent="0.3">
      <c r="R333" s="54"/>
    </row>
    <row r="334" spans="18:18" x14ac:dyDescent="0.3">
      <c r="R334" s="54"/>
    </row>
    <row r="335" spans="18:18" x14ac:dyDescent="0.3">
      <c r="R335" s="54"/>
    </row>
    <row r="336" spans="18:18" x14ac:dyDescent="0.3">
      <c r="R336" s="54"/>
    </row>
    <row r="337" spans="18:18" x14ac:dyDescent="0.3">
      <c r="R337" s="54"/>
    </row>
    <row r="338" spans="18:18" x14ac:dyDescent="0.3">
      <c r="R338" s="54"/>
    </row>
    <row r="339" spans="18:18" x14ac:dyDescent="0.3">
      <c r="R339" s="54"/>
    </row>
    <row r="340" spans="18:18" x14ac:dyDescent="0.3">
      <c r="R340" s="54"/>
    </row>
    <row r="341" spans="18:18" x14ac:dyDescent="0.3">
      <c r="R341" s="54"/>
    </row>
    <row r="342" spans="18:18" x14ac:dyDescent="0.3">
      <c r="R342" s="54"/>
    </row>
    <row r="343" spans="18:18" x14ac:dyDescent="0.3">
      <c r="R343" s="54"/>
    </row>
    <row r="344" spans="18:18" x14ac:dyDescent="0.3">
      <c r="R344" s="54"/>
    </row>
    <row r="345" spans="18:18" x14ac:dyDescent="0.3">
      <c r="R345" s="54"/>
    </row>
    <row r="346" spans="18:18" x14ac:dyDescent="0.3">
      <c r="R346" s="54"/>
    </row>
    <row r="347" spans="18:18" x14ac:dyDescent="0.3">
      <c r="R347" s="54"/>
    </row>
    <row r="348" spans="18:18" x14ac:dyDescent="0.3">
      <c r="R348" s="54"/>
    </row>
    <row r="349" spans="18:18" x14ac:dyDescent="0.3">
      <c r="R349" s="54"/>
    </row>
    <row r="350" spans="18:18" x14ac:dyDescent="0.3">
      <c r="R350" s="54"/>
    </row>
    <row r="351" spans="18:18" x14ac:dyDescent="0.3">
      <c r="R351" s="54"/>
    </row>
    <row r="352" spans="18:18" x14ac:dyDescent="0.3">
      <c r="R352" s="54"/>
    </row>
    <row r="353" spans="18:18" x14ac:dyDescent="0.3">
      <c r="R353" s="54"/>
    </row>
    <row r="354" spans="18:18" x14ac:dyDescent="0.3">
      <c r="R354" s="54"/>
    </row>
    <row r="355" spans="18:18" x14ac:dyDescent="0.3">
      <c r="R355" s="54"/>
    </row>
    <row r="356" spans="18:18" x14ac:dyDescent="0.3">
      <c r="R356" s="54"/>
    </row>
    <row r="357" spans="18:18" x14ac:dyDescent="0.3">
      <c r="R357" s="54"/>
    </row>
    <row r="358" spans="18:18" x14ac:dyDescent="0.3">
      <c r="R358" s="54"/>
    </row>
    <row r="359" spans="18:18" x14ac:dyDescent="0.3">
      <c r="R359" s="54"/>
    </row>
    <row r="360" spans="18:18" x14ac:dyDescent="0.3">
      <c r="R360" s="54"/>
    </row>
    <row r="361" spans="18:18" x14ac:dyDescent="0.3">
      <c r="R361" s="54"/>
    </row>
    <row r="362" spans="18:18" x14ac:dyDescent="0.3">
      <c r="R362" s="54"/>
    </row>
    <row r="363" spans="18:18" x14ac:dyDescent="0.3">
      <c r="R363" s="54"/>
    </row>
    <row r="364" spans="18:18" x14ac:dyDescent="0.3">
      <c r="R364" s="54"/>
    </row>
    <row r="365" spans="18:18" x14ac:dyDescent="0.3">
      <c r="R365" s="54"/>
    </row>
    <row r="366" spans="18:18" x14ac:dyDescent="0.3">
      <c r="R366" s="54"/>
    </row>
    <row r="367" spans="18:18" x14ac:dyDescent="0.3">
      <c r="R367" s="54"/>
    </row>
    <row r="368" spans="18:18" x14ac:dyDescent="0.3">
      <c r="R368" s="54"/>
    </row>
    <row r="369" spans="18:18" x14ac:dyDescent="0.3">
      <c r="R369" s="54"/>
    </row>
    <row r="370" spans="18:18" x14ac:dyDescent="0.3">
      <c r="R370" s="54"/>
    </row>
    <row r="371" spans="18:18" x14ac:dyDescent="0.3">
      <c r="R371" s="54"/>
    </row>
    <row r="372" spans="18:18" x14ac:dyDescent="0.3">
      <c r="R372" s="54"/>
    </row>
    <row r="373" spans="18:18" x14ac:dyDescent="0.3">
      <c r="R373" s="54"/>
    </row>
    <row r="374" spans="18:18" x14ac:dyDescent="0.3">
      <c r="R374" s="54"/>
    </row>
    <row r="375" spans="18:18" x14ac:dyDescent="0.3">
      <c r="R375" s="54"/>
    </row>
    <row r="376" spans="18:18" x14ac:dyDescent="0.3">
      <c r="R376" s="54"/>
    </row>
    <row r="377" spans="18:18" x14ac:dyDescent="0.3">
      <c r="R377" s="54"/>
    </row>
    <row r="378" spans="18:18" x14ac:dyDescent="0.3">
      <c r="R378" s="54"/>
    </row>
    <row r="379" spans="18:18" x14ac:dyDescent="0.3">
      <c r="R379" s="54"/>
    </row>
    <row r="380" spans="18:18" x14ac:dyDescent="0.3">
      <c r="R380" s="54"/>
    </row>
    <row r="381" spans="18:18" x14ac:dyDescent="0.3">
      <c r="R381" s="54"/>
    </row>
    <row r="382" spans="18:18" x14ac:dyDescent="0.3">
      <c r="R382" s="54"/>
    </row>
    <row r="383" spans="18:18" x14ac:dyDescent="0.3">
      <c r="R383" s="54"/>
    </row>
    <row r="384" spans="18:18" x14ac:dyDescent="0.3">
      <c r="R384" s="54"/>
    </row>
    <row r="385" spans="18:18" x14ac:dyDescent="0.3">
      <c r="R385" s="54"/>
    </row>
    <row r="386" spans="18:18" x14ac:dyDescent="0.3">
      <c r="R386" s="54"/>
    </row>
    <row r="387" spans="18:18" x14ac:dyDescent="0.3">
      <c r="R387" s="54"/>
    </row>
    <row r="388" spans="18:18" x14ac:dyDescent="0.3">
      <c r="R388" s="54"/>
    </row>
    <row r="389" spans="18:18" x14ac:dyDescent="0.3">
      <c r="R389" s="54"/>
    </row>
    <row r="390" spans="18:18" x14ac:dyDescent="0.3">
      <c r="R390" s="54"/>
    </row>
    <row r="391" spans="18:18" x14ac:dyDescent="0.3">
      <c r="R391" s="54"/>
    </row>
    <row r="392" spans="18:18" x14ac:dyDescent="0.3">
      <c r="R392" s="54"/>
    </row>
    <row r="393" spans="18:18" x14ac:dyDescent="0.3">
      <c r="R393" s="54"/>
    </row>
    <row r="394" spans="18:18" x14ac:dyDescent="0.3">
      <c r="R394" s="54"/>
    </row>
    <row r="395" spans="18:18" x14ac:dyDescent="0.3">
      <c r="R395" s="54"/>
    </row>
    <row r="396" spans="18:18" x14ac:dyDescent="0.3">
      <c r="R396" s="54"/>
    </row>
    <row r="397" spans="18:18" x14ac:dyDescent="0.3">
      <c r="R397" s="54"/>
    </row>
    <row r="398" spans="18:18" x14ac:dyDescent="0.3">
      <c r="R398" s="54"/>
    </row>
    <row r="399" spans="18:18" x14ac:dyDescent="0.3">
      <c r="R399" s="54"/>
    </row>
    <row r="400" spans="18:18" x14ac:dyDescent="0.3">
      <c r="R400" s="54"/>
    </row>
    <row r="401" spans="18:18" x14ac:dyDescent="0.3">
      <c r="R401" s="54"/>
    </row>
    <row r="402" spans="18:18" x14ac:dyDescent="0.3">
      <c r="R402" s="54"/>
    </row>
    <row r="403" spans="18:18" x14ac:dyDescent="0.3">
      <c r="R403" s="54"/>
    </row>
    <row r="404" spans="18:18" x14ac:dyDescent="0.3">
      <c r="R404" s="54"/>
    </row>
    <row r="405" spans="18:18" x14ac:dyDescent="0.3">
      <c r="R405" s="54"/>
    </row>
    <row r="406" spans="18:18" x14ac:dyDescent="0.3">
      <c r="R406" s="54"/>
    </row>
    <row r="407" spans="18:18" x14ac:dyDescent="0.3">
      <c r="R407" s="54"/>
    </row>
    <row r="408" spans="18:18" x14ac:dyDescent="0.3">
      <c r="R408" s="54"/>
    </row>
    <row r="409" spans="18:18" x14ac:dyDescent="0.3">
      <c r="R409" s="54"/>
    </row>
    <row r="410" spans="18:18" x14ac:dyDescent="0.3">
      <c r="R410" s="54"/>
    </row>
    <row r="411" spans="18:18" x14ac:dyDescent="0.3">
      <c r="R411" s="54"/>
    </row>
    <row r="412" spans="18:18" x14ac:dyDescent="0.3">
      <c r="R412" s="54"/>
    </row>
    <row r="413" spans="18:18" x14ac:dyDescent="0.3">
      <c r="R413" s="54"/>
    </row>
    <row r="414" spans="18:18" x14ac:dyDescent="0.3">
      <c r="R414" s="54"/>
    </row>
    <row r="415" spans="18:18" x14ac:dyDescent="0.3">
      <c r="R415" s="54"/>
    </row>
    <row r="416" spans="18:18" x14ac:dyDescent="0.3">
      <c r="R416" s="54"/>
    </row>
    <row r="417" spans="18:18" x14ac:dyDescent="0.3">
      <c r="R417" s="54"/>
    </row>
    <row r="418" spans="18:18" x14ac:dyDescent="0.3">
      <c r="R418" s="54"/>
    </row>
    <row r="419" spans="18:18" x14ac:dyDescent="0.3">
      <c r="R419" s="54"/>
    </row>
    <row r="420" spans="18:18" x14ac:dyDescent="0.3">
      <c r="R420" s="54"/>
    </row>
    <row r="421" spans="18:18" x14ac:dyDescent="0.3">
      <c r="R421" s="54"/>
    </row>
    <row r="422" spans="18:18" x14ac:dyDescent="0.3">
      <c r="R422" s="54"/>
    </row>
    <row r="423" spans="18:18" x14ac:dyDescent="0.3">
      <c r="R423" s="54"/>
    </row>
    <row r="424" spans="18:18" x14ac:dyDescent="0.3">
      <c r="R424" s="54"/>
    </row>
    <row r="425" spans="18:18" x14ac:dyDescent="0.3">
      <c r="R425" s="54"/>
    </row>
    <row r="426" spans="18:18" x14ac:dyDescent="0.3">
      <c r="R426" s="54"/>
    </row>
    <row r="427" spans="18:18" x14ac:dyDescent="0.3">
      <c r="R427" s="54"/>
    </row>
    <row r="428" spans="18:18" x14ac:dyDescent="0.3">
      <c r="R428" s="54"/>
    </row>
    <row r="429" spans="18:18" x14ac:dyDescent="0.3">
      <c r="R429" s="54"/>
    </row>
    <row r="430" spans="18:18" x14ac:dyDescent="0.3">
      <c r="R430" s="54"/>
    </row>
    <row r="431" spans="18:18" x14ac:dyDescent="0.3">
      <c r="R431" s="54"/>
    </row>
    <row r="432" spans="18:18" x14ac:dyDescent="0.3">
      <c r="R432" s="54"/>
    </row>
    <row r="433" spans="18:18" x14ac:dyDescent="0.3">
      <c r="R433" s="54"/>
    </row>
    <row r="434" spans="18:18" x14ac:dyDescent="0.3">
      <c r="R434" s="54"/>
    </row>
    <row r="435" spans="18:18" x14ac:dyDescent="0.3">
      <c r="R435" s="54"/>
    </row>
    <row r="436" spans="18:18" x14ac:dyDescent="0.3">
      <c r="R436" s="54"/>
    </row>
    <row r="437" spans="18:18" x14ac:dyDescent="0.3">
      <c r="R437" s="54"/>
    </row>
    <row r="438" spans="18:18" x14ac:dyDescent="0.3">
      <c r="R438" s="54"/>
    </row>
    <row r="439" spans="18:18" x14ac:dyDescent="0.3">
      <c r="R439" s="54"/>
    </row>
    <row r="440" spans="18:18" x14ac:dyDescent="0.3">
      <c r="R440" s="54"/>
    </row>
    <row r="441" spans="18:18" x14ac:dyDescent="0.3">
      <c r="R441" s="54"/>
    </row>
    <row r="442" spans="18:18" x14ac:dyDescent="0.3">
      <c r="R442" s="54"/>
    </row>
    <row r="443" spans="18:18" x14ac:dyDescent="0.3">
      <c r="R443" s="54"/>
    </row>
    <row r="444" spans="18:18" x14ac:dyDescent="0.3">
      <c r="R444" s="54"/>
    </row>
    <row r="445" spans="18:18" x14ac:dyDescent="0.3">
      <c r="R445" s="54"/>
    </row>
    <row r="446" spans="18:18" x14ac:dyDescent="0.3">
      <c r="R446" s="54"/>
    </row>
    <row r="447" spans="18:18" x14ac:dyDescent="0.3">
      <c r="R447" s="54"/>
    </row>
    <row r="448" spans="18:18" x14ac:dyDescent="0.3">
      <c r="R448" s="54"/>
    </row>
    <row r="449" spans="18:18" x14ac:dyDescent="0.3">
      <c r="R449" s="54"/>
    </row>
    <row r="450" spans="18:18" x14ac:dyDescent="0.3">
      <c r="R450" s="54"/>
    </row>
    <row r="451" spans="18:18" x14ac:dyDescent="0.3">
      <c r="R451" s="54"/>
    </row>
    <row r="452" spans="18:18" x14ac:dyDescent="0.3">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topLeftCell="A27" zoomScaleNormal="100" workbookViewId="0">
      <selection activeCell="A37" sqref="A37"/>
    </sheetView>
  </sheetViews>
  <sheetFormatPr defaultRowHeight="13.2" x14ac:dyDescent="0.25"/>
  <cols>
    <col min="1" max="1" width="9.5546875" style="211" customWidth="1"/>
    <col min="2" max="2" width="20.33203125" style="211" customWidth="1"/>
    <col min="3" max="3" width="16.109375" style="211" customWidth="1"/>
    <col min="4" max="4" width="20.109375" style="211" customWidth="1"/>
    <col min="5" max="5" width="17.33203125" style="211" customWidth="1"/>
    <col min="6" max="6" width="20.5546875" style="211" bestFit="1" customWidth="1"/>
    <col min="7" max="7" width="9.6640625" style="211" customWidth="1"/>
    <col min="8" max="8" width="16.109375" style="211" customWidth="1"/>
    <col min="9" max="9" width="17" style="211" customWidth="1"/>
    <col min="10" max="10" width="14.44140625" style="211" customWidth="1"/>
    <col min="11" max="11" width="26.44140625" style="211" customWidth="1"/>
    <col min="12" max="12" width="9.109375" style="211"/>
    <col min="13" max="13" width="9.109375" style="212"/>
    <col min="14" max="256" width="9.109375" style="211"/>
    <col min="257" max="257" width="8.6640625" style="211" bestFit="1" customWidth="1"/>
    <col min="258" max="258" width="13.33203125" style="211" customWidth="1"/>
    <col min="259" max="259" width="16.109375" style="211" bestFit="1" customWidth="1"/>
    <col min="260" max="260" width="23.5546875" style="211" customWidth="1"/>
    <col min="261" max="261" width="17.33203125" style="211" customWidth="1"/>
    <col min="262" max="262" width="20.5546875" style="211" bestFit="1" customWidth="1"/>
    <col min="263" max="263" width="17.109375" style="211" customWidth="1"/>
    <col min="264" max="264" width="21.6640625" style="211" bestFit="1" customWidth="1"/>
    <col min="265" max="265" width="17.109375" style="211" bestFit="1" customWidth="1"/>
    <col min="266" max="266" width="18.109375" style="211" bestFit="1" customWidth="1"/>
    <col min="267" max="267" width="26.44140625" style="211" customWidth="1"/>
    <col min="268" max="512" width="9.109375" style="211"/>
    <col min="513" max="513" width="8.6640625" style="211" bestFit="1" customWidth="1"/>
    <col min="514" max="514" width="13.33203125" style="211" customWidth="1"/>
    <col min="515" max="515" width="16.109375" style="211" bestFit="1" customWidth="1"/>
    <col min="516" max="516" width="23.5546875" style="211" customWidth="1"/>
    <col min="517" max="517" width="17.33203125" style="211" customWidth="1"/>
    <col min="518" max="518" width="20.5546875" style="211" bestFit="1" customWidth="1"/>
    <col min="519" max="519" width="17.109375" style="211" customWidth="1"/>
    <col min="520" max="520" width="21.6640625" style="211" bestFit="1" customWidth="1"/>
    <col min="521" max="521" width="17.109375" style="211" bestFit="1" customWidth="1"/>
    <col min="522" max="522" width="18.109375" style="211" bestFit="1" customWidth="1"/>
    <col min="523" max="523" width="26.44140625" style="211" customWidth="1"/>
    <col min="524" max="768" width="9.109375" style="211"/>
    <col min="769" max="769" width="8.6640625" style="211" bestFit="1" customWidth="1"/>
    <col min="770" max="770" width="13.33203125" style="211" customWidth="1"/>
    <col min="771" max="771" width="16.109375" style="211" bestFit="1" customWidth="1"/>
    <col min="772" max="772" width="23.5546875" style="211" customWidth="1"/>
    <col min="773" max="773" width="17.33203125" style="211" customWidth="1"/>
    <col min="774" max="774" width="20.5546875" style="211" bestFit="1" customWidth="1"/>
    <col min="775" max="775" width="17.109375" style="211" customWidth="1"/>
    <col min="776" max="776" width="21.6640625" style="211" bestFit="1" customWidth="1"/>
    <col min="777" max="777" width="17.109375" style="211" bestFit="1" customWidth="1"/>
    <col min="778" max="778" width="18.109375" style="211" bestFit="1" customWidth="1"/>
    <col min="779" max="779" width="26.44140625" style="211" customWidth="1"/>
    <col min="780" max="1024" width="9.109375" style="211"/>
    <col min="1025" max="1025" width="8.6640625" style="211" bestFit="1" customWidth="1"/>
    <col min="1026" max="1026" width="13.33203125" style="211" customWidth="1"/>
    <col min="1027" max="1027" width="16.109375" style="211" bestFit="1" customWidth="1"/>
    <col min="1028" max="1028" width="23.5546875" style="211" customWidth="1"/>
    <col min="1029" max="1029" width="17.33203125" style="211" customWidth="1"/>
    <col min="1030" max="1030" width="20.5546875" style="211" bestFit="1" customWidth="1"/>
    <col min="1031" max="1031" width="17.109375" style="211" customWidth="1"/>
    <col min="1032" max="1032" width="21.6640625" style="211" bestFit="1" customWidth="1"/>
    <col min="1033" max="1033" width="17.109375" style="211" bestFit="1" customWidth="1"/>
    <col min="1034" max="1034" width="18.109375" style="211" bestFit="1" customWidth="1"/>
    <col min="1035" max="1035" width="26.44140625" style="211" customWidth="1"/>
    <col min="1036" max="1280" width="9.109375" style="211"/>
    <col min="1281" max="1281" width="8.6640625" style="211" bestFit="1" customWidth="1"/>
    <col min="1282" max="1282" width="13.33203125" style="211" customWidth="1"/>
    <col min="1283" max="1283" width="16.109375" style="211" bestFit="1" customWidth="1"/>
    <col min="1284" max="1284" width="23.5546875" style="211" customWidth="1"/>
    <col min="1285" max="1285" width="17.33203125" style="211" customWidth="1"/>
    <col min="1286" max="1286" width="20.5546875" style="211" bestFit="1" customWidth="1"/>
    <col min="1287" max="1287" width="17.109375" style="211" customWidth="1"/>
    <col min="1288" max="1288" width="21.6640625" style="211" bestFit="1" customWidth="1"/>
    <col min="1289" max="1289" width="17.109375" style="211" bestFit="1" customWidth="1"/>
    <col min="1290" max="1290" width="18.109375" style="211" bestFit="1" customWidth="1"/>
    <col min="1291" max="1291" width="26.44140625" style="211" customWidth="1"/>
    <col min="1292" max="1536" width="9.109375" style="211"/>
    <col min="1537" max="1537" width="8.6640625" style="211" bestFit="1" customWidth="1"/>
    <col min="1538" max="1538" width="13.33203125" style="211" customWidth="1"/>
    <col min="1539" max="1539" width="16.109375" style="211" bestFit="1" customWidth="1"/>
    <col min="1540" max="1540" width="23.5546875" style="211" customWidth="1"/>
    <col min="1541" max="1541" width="17.33203125" style="211" customWidth="1"/>
    <col min="1542" max="1542" width="20.5546875" style="211" bestFit="1" customWidth="1"/>
    <col min="1543" max="1543" width="17.109375" style="211" customWidth="1"/>
    <col min="1544" max="1544" width="21.6640625" style="211" bestFit="1" customWidth="1"/>
    <col min="1545" max="1545" width="17.109375" style="211" bestFit="1" customWidth="1"/>
    <col min="1546" max="1546" width="18.109375" style="211" bestFit="1" customWidth="1"/>
    <col min="1547" max="1547" width="26.44140625" style="211" customWidth="1"/>
    <col min="1548" max="1792" width="9.109375" style="211"/>
    <col min="1793" max="1793" width="8.6640625" style="211" bestFit="1" customWidth="1"/>
    <col min="1794" max="1794" width="13.33203125" style="211" customWidth="1"/>
    <col min="1795" max="1795" width="16.109375" style="211" bestFit="1" customWidth="1"/>
    <col min="1796" max="1796" width="23.5546875" style="211" customWidth="1"/>
    <col min="1797" max="1797" width="17.33203125" style="211" customWidth="1"/>
    <col min="1798" max="1798" width="20.5546875" style="211" bestFit="1" customWidth="1"/>
    <col min="1799" max="1799" width="17.109375" style="211" customWidth="1"/>
    <col min="1800" max="1800" width="21.6640625" style="211" bestFit="1" customWidth="1"/>
    <col min="1801" max="1801" width="17.109375" style="211" bestFit="1" customWidth="1"/>
    <col min="1802" max="1802" width="18.109375" style="211" bestFit="1" customWidth="1"/>
    <col min="1803" max="1803" width="26.44140625" style="211" customWidth="1"/>
    <col min="1804" max="2048" width="9.109375" style="211"/>
    <col min="2049" max="2049" width="8.6640625" style="211" bestFit="1" customWidth="1"/>
    <col min="2050" max="2050" width="13.33203125" style="211" customWidth="1"/>
    <col min="2051" max="2051" width="16.109375" style="211" bestFit="1" customWidth="1"/>
    <col min="2052" max="2052" width="23.5546875" style="211" customWidth="1"/>
    <col min="2053" max="2053" width="17.33203125" style="211" customWidth="1"/>
    <col min="2054" max="2054" width="20.5546875" style="211" bestFit="1" customWidth="1"/>
    <col min="2055" max="2055" width="17.109375" style="211" customWidth="1"/>
    <col min="2056" max="2056" width="21.6640625" style="211" bestFit="1" customWidth="1"/>
    <col min="2057" max="2057" width="17.109375" style="211" bestFit="1" customWidth="1"/>
    <col min="2058" max="2058" width="18.109375" style="211" bestFit="1" customWidth="1"/>
    <col min="2059" max="2059" width="26.44140625" style="211" customWidth="1"/>
    <col min="2060" max="2304" width="9.109375" style="211"/>
    <col min="2305" max="2305" width="8.6640625" style="211" bestFit="1" customWidth="1"/>
    <col min="2306" max="2306" width="13.33203125" style="211" customWidth="1"/>
    <col min="2307" max="2307" width="16.109375" style="211" bestFit="1" customWidth="1"/>
    <col min="2308" max="2308" width="23.5546875" style="211" customWidth="1"/>
    <col min="2309" max="2309" width="17.33203125" style="211" customWidth="1"/>
    <col min="2310" max="2310" width="20.5546875" style="211" bestFit="1" customWidth="1"/>
    <col min="2311" max="2311" width="17.109375" style="211" customWidth="1"/>
    <col min="2312" max="2312" width="21.6640625" style="211" bestFit="1" customWidth="1"/>
    <col min="2313" max="2313" width="17.109375" style="211" bestFit="1" customWidth="1"/>
    <col min="2314" max="2314" width="18.109375" style="211" bestFit="1" customWidth="1"/>
    <col min="2315" max="2315" width="26.44140625" style="211" customWidth="1"/>
    <col min="2316" max="2560" width="9.109375" style="211"/>
    <col min="2561" max="2561" width="8.6640625" style="211" bestFit="1" customWidth="1"/>
    <col min="2562" max="2562" width="13.33203125" style="211" customWidth="1"/>
    <col min="2563" max="2563" width="16.109375" style="211" bestFit="1" customWidth="1"/>
    <col min="2564" max="2564" width="23.5546875" style="211" customWidth="1"/>
    <col min="2565" max="2565" width="17.33203125" style="211" customWidth="1"/>
    <col min="2566" max="2566" width="20.5546875" style="211" bestFit="1" customWidth="1"/>
    <col min="2567" max="2567" width="17.109375" style="211" customWidth="1"/>
    <col min="2568" max="2568" width="21.6640625" style="211" bestFit="1" customWidth="1"/>
    <col min="2569" max="2569" width="17.109375" style="211" bestFit="1" customWidth="1"/>
    <col min="2570" max="2570" width="18.109375" style="211" bestFit="1" customWidth="1"/>
    <col min="2571" max="2571" width="26.44140625" style="211" customWidth="1"/>
    <col min="2572" max="2816" width="9.109375" style="211"/>
    <col min="2817" max="2817" width="8.6640625" style="211" bestFit="1" customWidth="1"/>
    <col min="2818" max="2818" width="13.33203125" style="211" customWidth="1"/>
    <col min="2819" max="2819" width="16.109375" style="211" bestFit="1" customWidth="1"/>
    <col min="2820" max="2820" width="23.5546875" style="211" customWidth="1"/>
    <col min="2821" max="2821" width="17.33203125" style="211" customWidth="1"/>
    <col min="2822" max="2822" width="20.5546875" style="211" bestFit="1" customWidth="1"/>
    <col min="2823" max="2823" width="17.109375" style="211" customWidth="1"/>
    <col min="2824" max="2824" width="21.6640625" style="211" bestFit="1" customWidth="1"/>
    <col min="2825" max="2825" width="17.109375" style="211" bestFit="1" customWidth="1"/>
    <col min="2826" max="2826" width="18.109375" style="211" bestFit="1" customWidth="1"/>
    <col min="2827" max="2827" width="26.44140625" style="211" customWidth="1"/>
    <col min="2828" max="3072" width="9.109375" style="211"/>
    <col min="3073" max="3073" width="8.6640625" style="211" bestFit="1" customWidth="1"/>
    <col min="3074" max="3074" width="13.33203125" style="211" customWidth="1"/>
    <col min="3075" max="3075" width="16.109375" style="211" bestFit="1" customWidth="1"/>
    <col min="3076" max="3076" width="23.5546875" style="211" customWidth="1"/>
    <col min="3077" max="3077" width="17.33203125" style="211" customWidth="1"/>
    <col min="3078" max="3078" width="20.5546875" style="211" bestFit="1" customWidth="1"/>
    <col min="3079" max="3079" width="17.109375" style="211" customWidth="1"/>
    <col min="3080" max="3080" width="21.6640625" style="211" bestFit="1" customWidth="1"/>
    <col min="3081" max="3081" width="17.109375" style="211" bestFit="1" customWidth="1"/>
    <col min="3082" max="3082" width="18.109375" style="211" bestFit="1" customWidth="1"/>
    <col min="3083" max="3083" width="26.44140625" style="211" customWidth="1"/>
    <col min="3084" max="3328" width="9.109375" style="211"/>
    <col min="3329" max="3329" width="8.6640625" style="211" bestFit="1" customWidth="1"/>
    <col min="3330" max="3330" width="13.33203125" style="211" customWidth="1"/>
    <col min="3331" max="3331" width="16.109375" style="211" bestFit="1" customWidth="1"/>
    <col min="3332" max="3332" width="23.5546875" style="211" customWidth="1"/>
    <col min="3333" max="3333" width="17.33203125" style="211" customWidth="1"/>
    <col min="3334" max="3334" width="20.5546875" style="211" bestFit="1" customWidth="1"/>
    <col min="3335" max="3335" width="17.109375" style="211" customWidth="1"/>
    <col min="3336" max="3336" width="21.6640625" style="211" bestFit="1" customWidth="1"/>
    <col min="3337" max="3337" width="17.109375" style="211" bestFit="1" customWidth="1"/>
    <col min="3338" max="3338" width="18.109375" style="211" bestFit="1" customWidth="1"/>
    <col min="3339" max="3339" width="26.44140625" style="211" customWidth="1"/>
    <col min="3340" max="3584" width="9.109375" style="211"/>
    <col min="3585" max="3585" width="8.6640625" style="211" bestFit="1" customWidth="1"/>
    <col min="3586" max="3586" width="13.33203125" style="211" customWidth="1"/>
    <col min="3587" max="3587" width="16.109375" style="211" bestFit="1" customWidth="1"/>
    <col min="3588" max="3588" width="23.5546875" style="211" customWidth="1"/>
    <col min="3589" max="3589" width="17.33203125" style="211" customWidth="1"/>
    <col min="3590" max="3590" width="20.5546875" style="211" bestFit="1" customWidth="1"/>
    <col min="3591" max="3591" width="17.109375" style="211" customWidth="1"/>
    <col min="3592" max="3592" width="21.6640625" style="211" bestFit="1" customWidth="1"/>
    <col min="3593" max="3593" width="17.109375" style="211" bestFit="1" customWidth="1"/>
    <col min="3594" max="3594" width="18.109375" style="211" bestFit="1" customWidth="1"/>
    <col min="3595" max="3595" width="26.44140625" style="211" customWidth="1"/>
    <col min="3596" max="3840" width="9.109375" style="211"/>
    <col min="3841" max="3841" width="8.6640625" style="211" bestFit="1" customWidth="1"/>
    <col min="3842" max="3842" width="13.33203125" style="211" customWidth="1"/>
    <col min="3843" max="3843" width="16.109375" style="211" bestFit="1" customWidth="1"/>
    <col min="3844" max="3844" width="23.5546875" style="211" customWidth="1"/>
    <col min="3845" max="3845" width="17.33203125" style="211" customWidth="1"/>
    <col min="3846" max="3846" width="20.5546875" style="211" bestFit="1" customWidth="1"/>
    <col min="3847" max="3847" width="17.109375" style="211" customWidth="1"/>
    <col min="3848" max="3848" width="21.6640625" style="211" bestFit="1" customWidth="1"/>
    <col min="3849" max="3849" width="17.109375" style="211" bestFit="1" customWidth="1"/>
    <col min="3850" max="3850" width="18.109375" style="211" bestFit="1" customWidth="1"/>
    <col min="3851" max="3851" width="26.44140625" style="211" customWidth="1"/>
    <col min="3852" max="4096" width="9.109375" style="211"/>
    <col min="4097" max="4097" width="8.6640625" style="211" bestFit="1" customWidth="1"/>
    <col min="4098" max="4098" width="13.33203125" style="211" customWidth="1"/>
    <col min="4099" max="4099" width="16.109375" style="211" bestFit="1" customWidth="1"/>
    <col min="4100" max="4100" width="23.5546875" style="211" customWidth="1"/>
    <col min="4101" max="4101" width="17.33203125" style="211" customWidth="1"/>
    <col min="4102" max="4102" width="20.5546875" style="211" bestFit="1" customWidth="1"/>
    <col min="4103" max="4103" width="17.109375" style="211" customWidth="1"/>
    <col min="4104" max="4104" width="21.6640625" style="211" bestFit="1" customWidth="1"/>
    <col min="4105" max="4105" width="17.109375" style="211" bestFit="1" customWidth="1"/>
    <col min="4106" max="4106" width="18.109375" style="211" bestFit="1" customWidth="1"/>
    <col min="4107" max="4107" width="26.44140625" style="211" customWidth="1"/>
    <col min="4108" max="4352" width="9.109375" style="211"/>
    <col min="4353" max="4353" width="8.6640625" style="211" bestFit="1" customWidth="1"/>
    <col min="4354" max="4354" width="13.33203125" style="211" customWidth="1"/>
    <col min="4355" max="4355" width="16.109375" style="211" bestFit="1" customWidth="1"/>
    <col min="4356" max="4356" width="23.5546875" style="211" customWidth="1"/>
    <col min="4357" max="4357" width="17.33203125" style="211" customWidth="1"/>
    <col min="4358" max="4358" width="20.5546875" style="211" bestFit="1" customWidth="1"/>
    <col min="4359" max="4359" width="17.109375" style="211" customWidth="1"/>
    <col min="4360" max="4360" width="21.6640625" style="211" bestFit="1" customWidth="1"/>
    <col min="4361" max="4361" width="17.109375" style="211" bestFit="1" customWidth="1"/>
    <col min="4362" max="4362" width="18.109375" style="211" bestFit="1" customWidth="1"/>
    <col min="4363" max="4363" width="26.44140625" style="211" customWidth="1"/>
    <col min="4364" max="4608" width="9.109375" style="211"/>
    <col min="4609" max="4609" width="8.6640625" style="211" bestFit="1" customWidth="1"/>
    <col min="4610" max="4610" width="13.33203125" style="211" customWidth="1"/>
    <col min="4611" max="4611" width="16.109375" style="211" bestFit="1" customWidth="1"/>
    <col min="4612" max="4612" width="23.5546875" style="211" customWidth="1"/>
    <col min="4613" max="4613" width="17.33203125" style="211" customWidth="1"/>
    <col min="4614" max="4614" width="20.5546875" style="211" bestFit="1" customWidth="1"/>
    <col min="4615" max="4615" width="17.109375" style="211" customWidth="1"/>
    <col min="4616" max="4616" width="21.6640625" style="211" bestFit="1" customWidth="1"/>
    <col min="4617" max="4617" width="17.109375" style="211" bestFit="1" customWidth="1"/>
    <col min="4618" max="4618" width="18.109375" style="211" bestFit="1" customWidth="1"/>
    <col min="4619" max="4619" width="26.44140625" style="211" customWidth="1"/>
    <col min="4620" max="4864" width="9.109375" style="211"/>
    <col min="4865" max="4865" width="8.6640625" style="211" bestFit="1" customWidth="1"/>
    <col min="4866" max="4866" width="13.33203125" style="211" customWidth="1"/>
    <col min="4867" max="4867" width="16.109375" style="211" bestFit="1" customWidth="1"/>
    <col min="4868" max="4868" width="23.5546875" style="211" customWidth="1"/>
    <col min="4869" max="4869" width="17.33203125" style="211" customWidth="1"/>
    <col min="4870" max="4870" width="20.5546875" style="211" bestFit="1" customWidth="1"/>
    <col min="4871" max="4871" width="17.109375" style="211" customWidth="1"/>
    <col min="4872" max="4872" width="21.6640625" style="211" bestFit="1" customWidth="1"/>
    <col min="4873" max="4873" width="17.109375" style="211" bestFit="1" customWidth="1"/>
    <col min="4874" max="4874" width="18.109375" style="211" bestFit="1" customWidth="1"/>
    <col min="4875" max="4875" width="26.44140625" style="211" customWidth="1"/>
    <col min="4876" max="5120" width="9.109375" style="211"/>
    <col min="5121" max="5121" width="8.6640625" style="211" bestFit="1" customWidth="1"/>
    <col min="5122" max="5122" width="13.33203125" style="211" customWidth="1"/>
    <col min="5123" max="5123" width="16.109375" style="211" bestFit="1" customWidth="1"/>
    <col min="5124" max="5124" width="23.5546875" style="211" customWidth="1"/>
    <col min="5125" max="5125" width="17.33203125" style="211" customWidth="1"/>
    <col min="5126" max="5126" width="20.5546875" style="211" bestFit="1" customWidth="1"/>
    <col min="5127" max="5127" width="17.109375" style="211" customWidth="1"/>
    <col min="5128" max="5128" width="21.6640625" style="211" bestFit="1" customWidth="1"/>
    <col min="5129" max="5129" width="17.109375" style="211" bestFit="1" customWidth="1"/>
    <col min="5130" max="5130" width="18.109375" style="211" bestFit="1" customWidth="1"/>
    <col min="5131" max="5131" width="26.44140625" style="211" customWidth="1"/>
    <col min="5132" max="5376" width="9.109375" style="211"/>
    <col min="5377" max="5377" width="8.6640625" style="211" bestFit="1" customWidth="1"/>
    <col min="5378" max="5378" width="13.33203125" style="211" customWidth="1"/>
    <col min="5379" max="5379" width="16.109375" style="211" bestFit="1" customWidth="1"/>
    <col min="5380" max="5380" width="23.5546875" style="211" customWidth="1"/>
    <col min="5381" max="5381" width="17.33203125" style="211" customWidth="1"/>
    <col min="5382" max="5382" width="20.5546875" style="211" bestFit="1" customWidth="1"/>
    <col min="5383" max="5383" width="17.109375" style="211" customWidth="1"/>
    <col min="5384" max="5384" width="21.6640625" style="211" bestFit="1" customWidth="1"/>
    <col min="5385" max="5385" width="17.109375" style="211" bestFit="1" customWidth="1"/>
    <col min="5386" max="5386" width="18.109375" style="211" bestFit="1" customWidth="1"/>
    <col min="5387" max="5387" width="26.44140625" style="211" customWidth="1"/>
    <col min="5388" max="5632" width="9.109375" style="211"/>
    <col min="5633" max="5633" width="8.6640625" style="211" bestFit="1" customWidth="1"/>
    <col min="5634" max="5634" width="13.33203125" style="211" customWidth="1"/>
    <col min="5635" max="5635" width="16.109375" style="211" bestFit="1" customWidth="1"/>
    <col min="5636" max="5636" width="23.5546875" style="211" customWidth="1"/>
    <col min="5637" max="5637" width="17.33203125" style="211" customWidth="1"/>
    <col min="5638" max="5638" width="20.5546875" style="211" bestFit="1" customWidth="1"/>
    <col min="5639" max="5639" width="17.109375" style="211" customWidth="1"/>
    <col min="5640" max="5640" width="21.6640625" style="211" bestFit="1" customWidth="1"/>
    <col min="5641" max="5641" width="17.109375" style="211" bestFit="1" customWidth="1"/>
    <col min="5642" max="5642" width="18.109375" style="211" bestFit="1" customWidth="1"/>
    <col min="5643" max="5643" width="26.44140625" style="211" customWidth="1"/>
    <col min="5644" max="5888" width="9.109375" style="211"/>
    <col min="5889" max="5889" width="8.6640625" style="211" bestFit="1" customWidth="1"/>
    <col min="5890" max="5890" width="13.33203125" style="211" customWidth="1"/>
    <col min="5891" max="5891" width="16.109375" style="211" bestFit="1" customWidth="1"/>
    <col min="5892" max="5892" width="23.5546875" style="211" customWidth="1"/>
    <col min="5893" max="5893" width="17.33203125" style="211" customWidth="1"/>
    <col min="5894" max="5894" width="20.5546875" style="211" bestFit="1" customWidth="1"/>
    <col min="5895" max="5895" width="17.109375" style="211" customWidth="1"/>
    <col min="5896" max="5896" width="21.6640625" style="211" bestFit="1" customWidth="1"/>
    <col min="5897" max="5897" width="17.109375" style="211" bestFit="1" customWidth="1"/>
    <col min="5898" max="5898" width="18.109375" style="211" bestFit="1" customWidth="1"/>
    <col min="5899" max="5899" width="26.44140625" style="211" customWidth="1"/>
    <col min="5900" max="6144" width="9.109375" style="211"/>
    <col min="6145" max="6145" width="8.6640625" style="211" bestFit="1" customWidth="1"/>
    <col min="6146" max="6146" width="13.33203125" style="211" customWidth="1"/>
    <col min="6147" max="6147" width="16.109375" style="211" bestFit="1" customWidth="1"/>
    <col min="6148" max="6148" width="23.5546875" style="211" customWidth="1"/>
    <col min="6149" max="6149" width="17.33203125" style="211" customWidth="1"/>
    <col min="6150" max="6150" width="20.5546875" style="211" bestFit="1" customWidth="1"/>
    <col min="6151" max="6151" width="17.109375" style="211" customWidth="1"/>
    <col min="6152" max="6152" width="21.6640625" style="211" bestFit="1" customWidth="1"/>
    <col min="6153" max="6153" width="17.109375" style="211" bestFit="1" customWidth="1"/>
    <col min="6154" max="6154" width="18.109375" style="211" bestFit="1" customWidth="1"/>
    <col min="6155" max="6155" width="26.44140625" style="211" customWidth="1"/>
    <col min="6156" max="6400" width="9.109375" style="211"/>
    <col min="6401" max="6401" width="8.6640625" style="211" bestFit="1" customWidth="1"/>
    <col min="6402" max="6402" width="13.33203125" style="211" customWidth="1"/>
    <col min="6403" max="6403" width="16.109375" style="211" bestFit="1" customWidth="1"/>
    <col min="6404" max="6404" width="23.5546875" style="211" customWidth="1"/>
    <col min="6405" max="6405" width="17.33203125" style="211" customWidth="1"/>
    <col min="6406" max="6406" width="20.5546875" style="211" bestFit="1" customWidth="1"/>
    <col min="6407" max="6407" width="17.109375" style="211" customWidth="1"/>
    <col min="6408" max="6408" width="21.6640625" style="211" bestFit="1" customWidth="1"/>
    <col min="6409" max="6409" width="17.109375" style="211" bestFit="1" customWidth="1"/>
    <col min="6410" max="6410" width="18.109375" style="211" bestFit="1" customWidth="1"/>
    <col min="6411" max="6411" width="26.44140625" style="211" customWidth="1"/>
    <col min="6412" max="6656" width="9.109375" style="211"/>
    <col min="6657" max="6657" width="8.6640625" style="211" bestFit="1" customWidth="1"/>
    <col min="6658" max="6658" width="13.33203125" style="211" customWidth="1"/>
    <col min="6659" max="6659" width="16.109375" style="211" bestFit="1" customWidth="1"/>
    <col min="6660" max="6660" width="23.5546875" style="211" customWidth="1"/>
    <col min="6661" max="6661" width="17.33203125" style="211" customWidth="1"/>
    <col min="6662" max="6662" width="20.5546875" style="211" bestFit="1" customWidth="1"/>
    <col min="6663" max="6663" width="17.109375" style="211" customWidth="1"/>
    <col min="6664" max="6664" width="21.6640625" style="211" bestFit="1" customWidth="1"/>
    <col min="6665" max="6665" width="17.109375" style="211" bestFit="1" customWidth="1"/>
    <col min="6666" max="6666" width="18.109375" style="211" bestFit="1" customWidth="1"/>
    <col min="6667" max="6667" width="26.44140625" style="211" customWidth="1"/>
    <col min="6668" max="6912" width="9.109375" style="211"/>
    <col min="6913" max="6913" width="8.6640625" style="211" bestFit="1" customWidth="1"/>
    <col min="6914" max="6914" width="13.33203125" style="211" customWidth="1"/>
    <col min="6915" max="6915" width="16.109375" style="211" bestFit="1" customWidth="1"/>
    <col min="6916" max="6916" width="23.5546875" style="211" customWidth="1"/>
    <col min="6917" max="6917" width="17.33203125" style="211" customWidth="1"/>
    <col min="6918" max="6918" width="20.5546875" style="211" bestFit="1" customWidth="1"/>
    <col min="6919" max="6919" width="17.109375" style="211" customWidth="1"/>
    <col min="6920" max="6920" width="21.6640625" style="211" bestFit="1" customWidth="1"/>
    <col min="6921" max="6921" width="17.109375" style="211" bestFit="1" customWidth="1"/>
    <col min="6922" max="6922" width="18.109375" style="211" bestFit="1" customWidth="1"/>
    <col min="6923" max="6923" width="26.44140625" style="211" customWidth="1"/>
    <col min="6924" max="7168" width="9.109375" style="211"/>
    <col min="7169" max="7169" width="8.6640625" style="211" bestFit="1" customWidth="1"/>
    <col min="7170" max="7170" width="13.33203125" style="211" customWidth="1"/>
    <col min="7171" max="7171" width="16.109375" style="211" bestFit="1" customWidth="1"/>
    <col min="7172" max="7172" width="23.5546875" style="211" customWidth="1"/>
    <col min="7173" max="7173" width="17.33203125" style="211" customWidth="1"/>
    <col min="7174" max="7174" width="20.5546875" style="211" bestFit="1" customWidth="1"/>
    <col min="7175" max="7175" width="17.109375" style="211" customWidth="1"/>
    <col min="7176" max="7176" width="21.6640625" style="211" bestFit="1" customWidth="1"/>
    <col min="7177" max="7177" width="17.109375" style="211" bestFit="1" customWidth="1"/>
    <col min="7178" max="7178" width="18.109375" style="211" bestFit="1" customWidth="1"/>
    <col min="7179" max="7179" width="26.44140625" style="211" customWidth="1"/>
    <col min="7180" max="7424" width="9.109375" style="211"/>
    <col min="7425" max="7425" width="8.6640625" style="211" bestFit="1" customWidth="1"/>
    <col min="7426" max="7426" width="13.33203125" style="211" customWidth="1"/>
    <col min="7427" max="7427" width="16.109375" style="211" bestFit="1" customWidth="1"/>
    <col min="7428" max="7428" width="23.5546875" style="211" customWidth="1"/>
    <col min="7429" max="7429" width="17.33203125" style="211" customWidth="1"/>
    <col min="7430" max="7430" width="20.5546875" style="211" bestFit="1" customWidth="1"/>
    <col min="7431" max="7431" width="17.109375" style="211" customWidth="1"/>
    <col min="7432" max="7432" width="21.6640625" style="211" bestFit="1" customWidth="1"/>
    <col min="7433" max="7433" width="17.109375" style="211" bestFit="1" customWidth="1"/>
    <col min="7434" max="7434" width="18.109375" style="211" bestFit="1" customWidth="1"/>
    <col min="7435" max="7435" width="26.44140625" style="211" customWidth="1"/>
    <col min="7436" max="7680" width="9.109375" style="211"/>
    <col min="7681" max="7681" width="8.6640625" style="211" bestFit="1" customWidth="1"/>
    <col min="7682" max="7682" width="13.33203125" style="211" customWidth="1"/>
    <col min="7683" max="7683" width="16.109375" style="211" bestFit="1" customWidth="1"/>
    <col min="7684" max="7684" width="23.5546875" style="211" customWidth="1"/>
    <col min="7685" max="7685" width="17.33203125" style="211" customWidth="1"/>
    <col min="7686" max="7686" width="20.5546875" style="211" bestFit="1" customWidth="1"/>
    <col min="7687" max="7687" width="17.109375" style="211" customWidth="1"/>
    <col min="7688" max="7688" width="21.6640625" style="211" bestFit="1" customWidth="1"/>
    <col min="7689" max="7689" width="17.109375" style="211" bestFit="1" customWidth="1"/>
    <col min="7690" max="7690" width="18.109375" style="211" bestFit="1" customWidth="1"/>
    <col min="7691" max="7691" width="26.44140625" style="211" customWidth="1"/>
    <col min="7692" max="7936" width="9.109375" style="211"/>
    <col min="7937" max="7937" width="8.6640625" style="211" bestFit="1" customWidth="1"/>
    <col min="7938" max="7938" width="13.33203125" style="211" customWidth="1"/>
    <col min="7939" max="7939" width="16.109375" style="211" bestFit="1" customWidth="1"/>
    <col min="7940" max="7940" width="23.5546875" style="211" customWidth="1"/>
    <col min="7941" max="7941" width="17.33203125" style="211" customWidth="1"/>
    <col min="7942" max="7942" width="20.5546875" style="211" bestFit="1" customWidth="1"/>
    <col min="7943" max="7943" width="17.109375" style="211" customWidth="1"/>
    <col min="7944" max="7944" width="21.6640625" style="211" bestFit="1" customWidth="1"/>
    <col min="7945" max="7945" width="17.109375" style="211" bestFit="1" customWidth="1"/>
    <col min="7946" max="7946" width="18.109375" style="211" bestFit="1" customWidth="1"/>
    <col min="7947" max="7947" width="26.44140625" style="211" customWidth="1"/>
    <col min="7948" max="8192" width="9.109375" style="211"/>
    <col min="8193" max="8193" width="8.6640625" style="211" bestFit="1" customWidth="1"/>
    <col min="8194" max="8194" width="13.33203125" style="211" customWidth="1"/>
    <col min="8195" max="8195" width="16.109375" style="211" bestFit="1" customWidth="1"/>
    <col min="8196" max="8196" width="23.5546875" style="211" customWidth="1"/>
    <col min="8197" max="8197" width="17.33203125" style="211" customWidth="1"/>
    <col min="8198" max="8198" width="20.5546875" style="211" bestFit="1" customWidth="1"/>
    <col min="8199" max="8199" width="17.109375" style="211" customWidth="1"/>
    <col min="8200" max="8200" width="21.6640625" style="211" bestFit="1" customWidth="1"/>
    <col min="8201" max="8201" width="17.109375" style="211" bestFit="1" customWidth="1"/>
    <col min="8202" max="8202" width="18.109375" style="211" bestFit="1" customWidth="1"/>
    <col min="8203" max="8203" width="26.44140625" style="211" customWidth="1"/>
    <col min="8204" max="8448" width="9.109375" style="211"/>
    <col min="8449" max="8449" width="8.6640625" style="211" bestFit="1" customWidth="1"/>
    <col min="8450" max="8450" width="13.33203125" style="211" customWidth="1"/>
    <col min="8451" max="8451" width="16.109375" style="211" bestFit="1" customWidth="1"/>
    <col min="8452" max="8452" width="23.5546875" style="211" customWidth="1"/>
    <col min="8453" max="8453" width="17.33203125" style="211" customWidth="1"/>
    <col min="8454" max="8454" width="20.5546875" style="211" bestFit="1" customWidth="1"/>
    <col min="8455" max="8455" width="17.109375" style="211" customWidth="1"/>
    <col min="8456" max="8456" width="21.6640625" style="211" bestFit="1" customWidth="1"/>
    <col min="8457" max="8457" width="17.109375" style="211" bestFit="1" customWidth="1"/>
    <col min="8458" max="8458" width="18.109375" style="211" bestFit="1" customWidth="1"/>
    <col min="8459" max="8459" width="26.44140625" style="211" customWidth="1"/>
    <col min="8460" max="8704" width="9.109375" style="211"/>
    <col min="8705" max="8705" width="8.6640625" style="211" bestFit="1" customWidth="1"/>
    <col min="8706" max="8706" width="13.33203125" style="211" customWidth="1"/>
    <col min="8707" max="8707" width="16.109375" style="211" bestFit="1" customWidth="1"/>
    <col min="8708" max="8708" width="23.5546875" style="211" customWidth="1"/>
    <col min="8709" max="8709" width="17.33203125" style="211" customWidth="1"/>
    <col min="8710" max="8710" width="20.5546875" style="211" bestFit="1" customWidth="1"/>
    <col min="8711" max="8711" width="17.109375" style="211" customWidth="1"/>
    <col min="8712" max="8712" width="21.6640625" style="211" bestFit="1" customWidth="1"/>
    <col min="8713" max="8713" width="17.109375" style="211" bestFit="1" customWidth="1"/>
    <col min="8714" max="8714" width="18.109375" style="211" bestFit="1" customWidth="1"/>
    <col min="8715" max="8715" width="26.44140625" style="211" customWidth="1"/>
    <col min="8716" max="8960" width="9.109375" style="211"/>
    <col min="8961" max="8961" width="8.6640625" style="211" bestFit="1" customWidth="1"/>
    <col min="8962" max="8962" width="13.33203125" style="211" customWidth="1"/>
    <col min="8963" max="8963" width="16.109375" style="211" bestFit="1" customWidth="1"/>
    <col min="8964" max="8964" width="23.5546875" style="211" customWidth="1"/>
    <col min="8965" max="8965" width="17.33203125" style="211" customWidth="1"/>
    <col min="8966" max="8966" width="20.5546875" style="211" bestFit="1" customWidth="1"/>
    <col min="8967" max="8967" width="17.109375" style="211" customWidth="1"/>
    <col min="8968" max="8968" width="21.6640625" style="211" bestFit="1" customWidth="1"/>
    <col min="8969" max="8969" width="17.109375" style="211" bestFit="1" customWidth="1"/>
    <col min="8970" max="8970" width="18.109375" style="211" bestFit="1" customWidth="1"/>
    <col min="8971" max="8971" width="26.44140625" style="211" customWidth="1"/>
    <col min="8972" max="9216" width="9.109375" style="211"/>
    <col min="9217" max="9217" width="8.6640625" style="211" bestFit="1" customWidth="1"/>
    <col min="9218" max="9218" width="13.33203125" style="211" customWidth="1"/>
    <col min="9219" max="9219" width="16.109375" style="211" bestFit="1" customWidth="1"/>
    <col min="9220" max="9220" width="23.5546875" style="211" customWidth="1"/>
    <col min="9221" max="9221" width="17.33203125" style="211" customWidth="1"/>
    <col min="9222" max="9222" width="20.5546875" style="211" bestFit="1" customWidth="1"/>
    <col min="9223" max="9223" width="17.109375" style="211" customWidth="1"/>
    <col min="9224" max="9224" width="21.6640625" style="211" bestFit="1" customWidth="1"/>
    <col min="9225" max="9225" width="17.109375" style="211" bestFit="1" customWidth="1"/>
    <col min="9226" max="9226" width="18.109375" style="211" bestFit="1" customWidth="1"/>
    <col min="9227" max="9227" width="26.44140625" style="211" customWidth="1"/>
    <col min="9228" max="9472" width="9.109375" style="211"/>
    <col min="9473" max="9473" width="8.6640625" style="211" bestFit="1" customWidth="1"/>
    <col min="9474" max="9474" width="13.33203125" style="211" customWidth="1"/>
    <col min="9475" max="9475" width="16.109375" style="211" bestFit="1" customWidth="1"/>
    <col min="9476" max="9476" width="23.5546875" style="211" customWidth="1"/>
    <col min="9477" max="9477" width="17.33203125" style="211" customWidth="1"/>
    <col min="9478" max="9478" width="20.5546875" style="211" bestFit="1" customWidth="1"/>
    <col min="9479" max="9479" width="17.109375" style="211" customWidth="1"/>
    <col min="9480" max="9480" width="21.6640625" style="211" bestFit="1" customWidth="1"/>
    <col min="9481" max="9481" width="17.109375" style="211" bestFit="1" customWidth="1"/>
    <col min="9482" max="9482" width="18.109375" style="211" bestFit="1" customWidth="1"/>
    <col min="9483" max="9483" width="26.44140625" style="211" customWidth="1"/>
    <col min="9484" max="9728" width="9.109375" style="211"/>
    <col min="9729" max="9729" width="8.6640625" style="211" bestFit="1" customWidth="1"/>
    <col min="9730" max="9730" width="13.33203125" style="211" customWidth="1"/>
    <col min="9731" max="9731" width="16.109375" style="211" bestFit="1" customWidth="1"/>
    <col min="9732" max="9732" width="23.5546875" style="211" customWidth="1"/>
    <col min="9733" max="9733" width="17.33203125" style="211" customWidth="1"/>
    <col min="9734" max="9734" width="20.5546875" style="211" bestFit="1" customWidth="1"/>
    <col min="9735" max="9735" width="17.109375" style="211" customWidth="1"/>
    <col min="9736" max="9736" width="21.6640625" style="211" bestFit="1" customWidth="1"/>
    <col min="9737" max="9737" width="17.109375" style="211" bestFit="1" customWidth="1"/>
    <col min="9738" max="9738" width="18.109375" style="211" bestFit="1" customWidth="1"/>
    <col min="9739" max="9739" width="26.44140625" style="211" customWidth="1"/>
    <col min="9740" max="9984" width="9.109375" style="211"/>
    <col min="9985" max="9985" width="8.6640625" style="211" bestFit="1" customWidth="1"/>
    <col min="9986" max="9986" width="13.33203125" style="211" customWidth="1"/>
    <col min="9987" max="9987" width="16.109375" style="211" bestFit="1" customWidth="1"/>
    <col min="9988" max="9988" width="23.5546875" style="211" customWidth="1"/>
    <col min="9989" max="9989" width="17.33203125" style="211" customWidth="1"/>
    <col min="9990" max="9990" width="20.5546875" style="211" bestFit="1" customWidth="1"/>
    <col min="9991" max="9991" width="17.109375" style="211" customWidth="1"/>
    <col min="9992" max="9992" width="21.6640625" style="211" bestFit="1" customWidth="1"/>
    <col min="9993" max="9993" width="17.109375" style="211" bestFit="1" customWidth="1"/>
    <col min="9994" max="9994" width="18.109375" style="211" bestFit="1" customWidth="1"/>
    <col min="9995" max="9995" width="26.44140625" style="211" customWidth="1"/>
    <col min="9996" max="10240" width="9.109375" style="211"/>
    <col min="10241" max="10241" width="8.6640625" style="211" bestFit="1" customWidth="1"/>
    <col min="10242" max="10242" width="13.33203125" style="211" customWidth="1"/>
    <col min="10243" max="10243" width="16.109375" style="211" bestFit="1" customWidth="1"/>
    <col min="10244" max="10244" width="23.5546875" style="211" customWidth="1"/>
    <col min="10245" max="10245" width="17.33203125" style="211" customWidth="1"/>
    <col min="10246" max="10246" width="20.5546875" style="211" bestFit="1" customWidth="1"/>
    <col min="10247" max="10247" width="17.109375" style="211" customWidth="1"/>
    <col min="10248" max="10248" width="21.6640625" style="211" bestFit="1" customWidth="1"/>
    <col min="10249" max="10249" width="17.109375" style="211" bestFit="1" customWidth="1"/>
    <col min="10250" max="10250" width="18.109375" style="211" bestFit="1" customWidth="1"/>
    <col min="10251" max="10251" width="26.44140625" style="211" customWidth="1"/>
    <col min="10252" max="10496" width="9.109375" style="211"/>
    <col min="10497" max="10497" width="8.6640625" style="211" bestFit="1" customWidth="1"/>
    <col min="10498" max="10498" width="13.33203125" style="211" customWidth="1"/>
    <col min="10499" max="10499" width="16.109375" style="211" bestFit="1" customWidth="1"/>
    <col min="10500" max="10500" width="23.5546875" style="211" customWidth="1"/>
    <col min="10501" max="10501" width="17.33203125" style="211" customWidth="1"/>
    <col min="10502" max="10502" width="20.5546875" style="211" bestFit="1" customWidth="1"/>
    <col min="10503" max="10503" width="17.109375" style="211" customWidth="1"/>
    <col min="10504" max="10504" width="21.6640625" style="211" bestFit="1" customWidth="1"/>
    <col min="10505" max="10505" width="17.109375" style="211" bestFit="1" customWidth="1"/>
    <col min="10506" max="10506" width="18.109375" style="211" bestFit="1" customWidth="1"/>
    <col min="10507" max="10507" width="26.44140625" style="211" customWidth="1"/>
    <col min="10508" max="10752" width="9.109375" style="211"/>
    <col min="10753" max="10753" width="8.6640625" style="211" bestFit="1" customWidth="1"/>
    <col min="10754" max="10754" width="13.33203125" style="211" customWidth="1"/>
    <col min="10755" max="10755" width="16.109375" style="211" bestFit="1" customWidth="1"/>
    <col min="10756" max="10756" width="23.5546875" style="211" customWidth="1"/>
    <col min="10757" max="10757" width="17.33203125" style="211" customWidth="1"/>
    <col min="10758" max="10758" width="20.5546875" style="211" bestFit="1" customWidth="1"/>
    <col min="10759" max="10759" width="17.109375" style="211" customWidth="1"/>
    <col min="10760" max="10760" width="21.6640625" style="211" bestFit="1" customWidth="1"/>
    <col min="10761" max="10761" width="17.109375" style="211" bestFit="1" customWidth="1"/>
    <col min="10762" max="10762" width="18.109375" style="211" bestFit="1" customWidth="1"/>
    <col min="10763" max="10763" width="26.44140625" style="211" customWidth="1"/>
    <col min="10764" max="11008" width="9.109375" style="211"/>
    <col min="11009" max="11009" width="8.6640625" style="211" bestFit="1" customWidth="1"/>
    <col min="11010" max="11010" width="13.33203125" style="211" customWidth="1"/>
    <col min="11011" max="11011" width="16.109375" style="211" bestFit="1" customWidth="1"/>
    <col min="11012" max="11012" width="23.5546875" style="211" customWidth="1"/>
    <col min="11013" max="11013" width="17.33203125" style="211" customWidth="1"/>
    <col min="11014" max="11014" width="20.5546875" style="211" bestFit="1" customWidth="1"/>
    <col min="11015" max="11015" width="17.109375" style="211" customWidth="1"/>
    <col min="11016" max="11016" width="21.6640625" style="211" bestFit="1" customWidth="1"/>
    <col min="11017" max="11017" width="17.109375" style="211" bestFit="1" customWidth="1"/>
    <col min="11018" max="11018" width="18.109375" style="211" bestFit="1" customWidth="1"/>
    <col min="11019" max="11019" width="26.44140625" style="211" customWidth="1"/>
    <col min="11020" max="11264" width="9.109375" style="211"/>
    <col min="11265" max="11265" width="8.6640625" style="211" bestFit="1" customWidth="1"/>
    <col min="11266" max="11266" width="13.33203125" style="211" customWidth="1"/>
    <col min="11267" max="11267" width="16.109375" style="211" bestFit="1" customWidth="1"/>
    <col min="11268" max="11268" width="23.5546875" style="211" customWidth="1"/>
    <col min="11269" max="11269" width="17.33203125" style="211" customWidth="1"/>
    <col min="11270" max="11270" width="20.5546875" style="211" bestFit="1" customWidth="1"/>
    <col min="11271" max="11271" width="17.109375" style="211" customWidth="1"/>
    <col min="11272" max="11272" width="21.6640625" style="211" bestFit="1" customWidth="1"/>
    <col min="11273" max="11273" width="17.109375" style="211" bestFit="1" customWidth="1"/>
    <col min="11274" max="11274" width="18.109375" style="211" bestFit="1" customWidth="1"/>
    <col min="11275" max="11275" width="26.44140625" style="211" customWidth="1"/>
    <col min="11276" max="11520" width="9.109375" style="211"/>
    <col min="11521" max="11521" width="8.6640625" style="211" bestFit="1" customWidth="1"/>
    <col min="11522" max="11522" width="13.33203125" style="211" customWidth="1"/>
    <col min="11523" max="11523" width="16.109375" style="211" bestFit="1" customWidth="1"/>
    <col min="11524" max="11524" width="23.5546875" style="211" customWidth="1"/>
    <col min="11525" max="11525" width="17.33203125" style="211" customWidth="1"/>
    <col min="11526" max="11526" width="20.5546875" style="211" bestFit="1" customWidth="1"/>
    <col min="11527" max="11527" width="17.109375" style="211" customWidth="1"/>
    <col min="11528" max="11528" width="21.6640625" style="211" bestFit="1" customWidth="1"/>
    <col min="11529" max="11529" width="17.109375" style="211" bestFit="1" customWidth="1"/>
    <col min="11530" max="11530" width="18.109375" style="211" bestFit="1" customWidth="1"/>
    <col min="11531" max="11531" width="26.44140625" style="211" customWidth="1"/>
    <col min="11532" max="11776" width="9.109375" style="211"/>
    <col min="11777" max="11777" width="8.6640625" style="211" bestFit="1" customWidth="1"/>
    <col min="11778" max="11778" width="13.33203125" style="211" customWidth="1"/>
    <col min="11779" max="11779" width="16.109375" style="211" bestFit="1" customWidth="1"/>
    <col min="11780" max="11780" width="23.5546875" style="211" customWidth="1"/>
    <col min="11781" max="11781" width="17.33203125" style="211" customWidth="1"/>
    <col min="11782" max="11782" width="20.5546875" style="211" bestFit="1" customWidth="1"/>
    <col min="11783" max="11783" width="17.109375" style="211" customWidth="1"/>
    <col min="11784" max="11784" width="21.6640625" style="211" bestFit="1" customWidth="1"/>
    <col min="11785" max="11785" width="17.109375" style="211" bestFit="1" customWidth="1"/>
    <col min="11786" max="11786" width="18.109375" style="211" bestFit="1" customWidth="1"/>
    <col min="11787" max="11787" width="26.44140625" style="211" customWidth="1"/>
    <col min="11788" max="12032" width="9.109375" style="211"/>
    <col min="12033" max="12033" width="8.6640625" style="211" bestFit="1" customWidth="1"/>
    <col min="12034" max="12034" width="13.33203125" style="211" customWidth="1"/>
    <col min="12035" max="12035" width="16.109375" style="211" bestFit="1" customWidth="1"/>
    <col min="12036" max="12036" width="23.5546875" style="211" customWidth="1"/>
    <col min="12037" max="12037" width="17.33203125" style="211" customWidth="1"/>
    <col min="12038" max="12038" width="20.5546875" style="211" bestFit="1" customWidth="1"/>
    <col min="12039" max="12039" width="17.109375" style="211" customWidth="1"/>
    <col min="12040" max="12040" width="21.6640625" style="211" bestFit="1" customWidth="1"/>
    <col min="12041" max="12041" width="17.109375" style="211" bestFit="1" customWidth="1"/>
    <col min="12042" max="12042" width="18.109375" style="211" bestFit="1" customWidth="1"/>
    <col min="12043" max="12043" width="26.44140625" style="211" customWidth="1"/>
    <col min="12044" max="12288" width="9.109375" style="211"/>
    <col min="12289" max="12289" width="8.6640625" style="211" bestFit="1" customWidth="1"/>
    <col min="12290" max="12290" width="13.33203125" style="211" customWidth="1"/>
    <col min="12291" max="12291" width="16.109375" style="211" bestFit="1" customWidth="1"/>
    <col min="12292" max="12292" width="23.5546875" style="211" customWidth="1"/>
    <col min="12293" max="12293" width="17.33203125" style="211" customWidth="1"/>
    <col min="12294" max="12294" width="20.5546875" style="211" bestFit="1" customWidth="1"/>
    <col min="12295" max="12295" width="17.109375" style="211" customWidth="1"/>
    <col min="12296" max="12296" width="21.6640625" style="211" bestFit="1" customWidth="1"/>
    <col min="12297" max="12297" width="17.109375" style="211" bestFit="1" customWidth="1"/>
    <col min="12298" max="12298" width="18.109375" style="211" bestFit="1" customWidth="1"/>
    <col min="12299" max="12299" width="26.44140625" style="211" customWidth="1"/>
    <col min="12300" max="12544" width="9.109375" style="211"/>
    <col min="12545" max="12545" width="8.6640625" style="211" bestFit="1" customWidth="1"/>
    <col min="12546" max="12546" width="13.33203125" style="211" customWidth="1"/>
    <col min="12547" max="12547" width="16.109375" style="211" bestFit="1" customWidth="1"/>
    <col min="12548" max="12548" width="23.5546875" style="211" customWidth="1"/>
    <col min="12549" max="12549" width="17.33203125" style="211" customWidth="1"/>
    <col min="12550" max="12550" width="20.5546875" style="211" bestFit="1" customWidth="1"/>
    <col min="12551" max="12551" width="17.109375" style="211" customWidth="1"/>
    <col min="12552" max="12552" width="21.6640625" style="211" bestFit="1" customWidth="1"/>
    <col min="12553" max="12553" width="17.109375" style="211" bestFit="1" customWidth="1"/>
    <col min="12554" max="12554" width="18.109375" style="211" bestFit="1" customWidth="1"/>
    <col min="12555" max="12555" width="26.44140625" style="211" customWidth="1"/>
    <col min="12556" max="12800" width="9.109375" style="211"/>
    <col min="12801" max="12801" width="8.6640625" style="211" bestFit="1" customWidth="1"/>
    <col min="12802" max="12802" width="13.33203125" style="211" customWidth="1"/>
    <col min="12803" max="12803" width="16.109375" style="211" bestFit="1" customWidth="1"/>
    <col min="12804" max="12804" width="23.5546875" style="211" customWidth="1"/>
    <col min="12805" max="12805" width="17.33203125" style="211" customWidth="1"/>
    <col min="12806" max="12806" width="20.5546875" style="211" bestFit="1" customWidth="1"/>
    <col min="12807" max="12807" width="17.109375" style="211" customWidth="1"/>
    <col min="12808" max="12808" width="21.6640625" style="211" bestFit="1" customWidth="1"/>
    <col min="12809" max="12809" width="17.109375" style="211" bestFit="1" customWidth="1"/>
    <col min="12810" max="12810" width="18.109375" style="211" bestFit="1" customWidth="1"/>
    <col min="12811" max="12811" width="26.44140625" style="211" customWidth="1"/>
    <col min="12812" max="13056" width="9.109375" style="211"/>
    <col min="13057" max="13057" width="8.6640625" style="211" bestFit="1" customWidth="1"/>
    <col min="13058" max="13058" width="13.33203125" style="211" customWidth="1"/>
    <col min="13059" max="13059" width="16.109375" style="211" bestFit="1" customWidth="1"/>
    <col min="13060" max="13060" width="23.5546875" style="211" customWidth="1"/>
    <col min="13061" max="13061" width="17.33203125" style="211" customWidth="1"/>
    <col min="13062" max="13062" width="20.5546875" style="211" bestFit="1" customWidth="1"/>
    <col min="13063" max="13063" width="17.109375" style="211" customWidth="1"/>
    <col min="13064" max="13064" width="21.6640625" style="211" bestFit="1" customWidth="1"/>
    <col min="13065" max="13065" width="17.109375" style="211" bestFit="1" customWidth="1"/>
    <col min="13066" max="13066" width="18.109375" style="211" bestFit="1" customWidth="1"/>
    <col min="13067" max="13067" width="26.44140625" style="211" customWidth="1"/>
    <col min="13068" max="13312" width="9.109375" style="211"/>
    <col min="13313" max="13313" width="8.6640625" style="211" bestFit="1" customWidth="1"/>
    <col min="13314" max="13314" width="13.33203125" style="211" customWidth="1"/>
    <col min="13315" max="13315" width="16.109375" style="211" bestFit="1" customWidth="1"/>
    <col min="13316" max="13316" width="23.5546875" style="211" customWidth="1"/>
    <col min="13317" max="13317" width="17.33203125" style="211" customWidth="1"/>
    <col min="13318" max="13318" width="20.5546875" style="211" bestFit="1" customWidth="1"/>
    <col min="13319" max="13319" width="17.109375" style="211" customWidth="1"/>
    <col min="13320" max="13320" width="21.6640625" style="211" bestFit="1" customWidth="1"/>
    <col min="13321" max="13321" width="17.109375" style="211" bestFit="1" customWidth="1"/>
    <col min="13322" max="13322" width="18.109375" style="211" bestFit="1" customWidth="1"/>
    <col min="13323" max="13323" width="26.44140625" style="211" customWidth="1"/>
    <col min="13324" max="13568" width="9.109375" style="211"/>
    <col min="13569" max="13569" width="8.6640625" style="211" bestFit="1" customWidth="1"/>
    <col min="13570" max="13570" width="13.33203125" style="211" customWidth="1"/>
    <col min="13571" max="13571" width="16.109375" style="211" bestFit="1" customWidth="1"/>
    <col min="13572" max="13572" width="23.5546875" style="211" customWidth="1"/>
    <col min="13573" max="13573" width="17.33203125" style="211" customWidth="1"/>
    <col min="13574" max="13574" width="20.5546875" style="211" bestFit="1" customWidth="1"/>
    <col min="13575" max="13575" width="17.109375" style="211" customWidth="1"/>
    <col min="13576" max="13576" width="21.6640625" style="211" bestFit="1" customWidth="1"/>
    <col min="13577" max="13577" width="17.109375" style="211" bestFit="1" customWidth="1"/>
    <col min="13578" max="13578" width="18.109375" style="211" bestFit="1" customWidth="1"/>
    <col min="13579" max="13579" width="26.44140625" style="211" customWidth="1"/>
    <col min="13580" max="13824" width="9.109375" style="211"/>
    <col min="13825" max="13825" width="8.6640625" style="211" bestFit="1" customWidth="1"/>
    <col min="13826" max="13826" width="13.33203125" style="211" customWidth="1"/>
    <col min="13827" max="13827" width="16.109375" style="211" bestFit="1" customWidth="1"/>
    <col min="13828" max="13828" width="23.5546875" style="211" customWidth="1"/>
    <col min="13829" max="13829" width="17.33203125" style="211" customWidth="1"/>
    <col min="13830" max="13830" width="20.5546875" style="211" bestFit="1" customWidth="1"/>
    <col min="13831" max="13831" width="17.109375" style="211" customWidth="1"/>
    <col min="13832" max="13832" width="21.6640625" style="211" bestFit="1" customWidth="1"/>
    <col min="13833" max="13833" width="17.109375" style="211" bestFit="1" customWidth="1"/>
    <col min="13834" max="13834" width="18.109375" style="211" bestFit="1" customWidth="1"/>
    <col min="13835" max="13835" width="26.44140625" style="211" customWidth="1"/>
    <col min="13836" max="14080" width="9.109375" style="211"/>
    <col min="14081" max="14081" width="8.6640625" style="211" bestFit="1" customWidth="1"/>
    <col min="14082" max="14082" width="13.33203125" style="211" customWidth="1"/>
    <col min="14083" max="14083" width="16.109375" style="211" bestFit="1" customWidth="1"/>
    <col min="14084" max="14084" width="23.5546875" style="211" customWidth="1"/>
    <col min="14085" max="14085" width="17.33203125" style="211" customWidth="1"/>
    <col min="14086" max="14086" width="20.5546875" style="211" bestFit="1" customWidth="1"/>
    <col min="14087" max="14087" width="17.109375" style="211" customWidth="1"/>
    <col min="14088" max="14088" width="21.6640625" style="211" bestFit="1" customWidth="1"/>
    <col min="14089" max="14089" width="17.109375" style="211" bestFit="1" customWidth="1"/>
    <col min="14090" max="14090" width="18.109375" style="211" bestFit="1" customWidth="1"/>
    <col min="14091" max="14091" width="26.44140625" style="211" customWidth="1"/>
    <col min="14092" max="14336" width="9.109375" style="211"/>
    <col min="14337" max="14337" width="8.6640625" style="211" bestFit="1" customWidth="1"/>
    <col min="14338" max="14338" width="13.33203125" style="211" customWidth="1"/>
    <col min="14339" max="14339" width="16.109375" style="211" bestFit="1" customWidth="1"/>
    <col min="14340" max="14340" width="23.5546875" style="211" customWidth="1"/>
    <col min="14341" max="14341" width="17.33203125" style="211" customWidth="1"/>
    <col min="14342" max="14342" width="20.5546875" style="211" bestFit="1" customWidth="1"/>
    <col min="14343" max="14343" width="17.109375" style="211" customWidth="1"/>
    <col min="14344" max="14344" width="21.6640625" style="211" bestFit="1" customWidth="1"/>
    <col min="14345" max="14345" width="17.109375" style="211" bestFit="1" customWidth="1"/>
    <col min="14346" max="14346" width="18.109375" style="211" bestFit="1" customWidth="1"/>
    <col min="14347" max="14347" width="26.44140625" style="211" customWidth="1"/>
    <col min="14348" max="14592" width="9.109375" style="211"/>
    <col min="14593" max="14593" width="8.6640625" style="211" bestFit="1" customWidth="1"/>
    <col min="14594" max="14594" width="13.33203125" style="211" customWidth="1"/>
    <col min="14595" max="14595" width="16.109375" style="211" bestFit="1" customWidth="1"/>
    <col min="14596" max="14596" width="23.5546875" style="211" customWidth="1"/>
    <col min="14597" max="14597" width="17.33203125" style="211" customWidth="1"/>
    <col min="14598" max="14598" width="20.5546875" style="211" bestFit="1" customWidth="1"/>
    <col min="14599" max="14599" width="17.109375" style="211" customWidth="1"/>
    <col min="14600" max="14600" width="21.6640625" style="211" bestFit="1" customWidth="1"/>
    <col min="14601" max="14601" width="17.109375" style="211" bestFit="1" customWidth="1"/>
    <col min="14602" max="14602" width="18.109375" style="211" bestFit="1" customWidth="1"/>
    <col min="14603" max="14603" width="26.44140625" style="211" customWidth="1"/>
    <col min="14604" max="14848" width="9.109375" style="211"/>
    <col min="14849" max="14849" width="8.6640625" style="211" bestFit="1" customWidth="1"/>
    <col min="14850" max="14850" width="13.33203125" style="211" customWidth="1"/>
    <col min="14851" max="14851" width="16.109375" style="211" bestFit="1" customWidth="1"/>
    <col min="14852" max="14852" width="23.5546875" style="211" customWidth="1"/>
    <col min="14853" max="14853" width="17.33203125" style="211" customWidth="1"/>
    <col min="14854" max="14854" width="20.5546875" style="211" bestFit="1" customWidth="1"/>
    <col min="14855" max="14855" width="17.109375" style="211" customWidth="1"/>
    <col min="14856" max="14856" width="21.6640625" style="211" bestFit="1" customWidth="1"/>
    <col min="14857" max="14857" width="17.109375" style="211" bestFit="1" customWidth="1"/>
    <col min="14858" max="14858" width="18.109375" style="211" bestFit="1" customWidth="1"/>
    <col min="14859" max="14859" width="26.44140625" style="211" customWidth="1"/>
    <col min="14860" max="15104" width="9.109375" style="211"/>
    <col min="15105" max="15105" width="8.6640625" style="211" bestFit="1" customWidth="1"/>
    <col min="15106" max="15106" width="13.33203125" style="211" customWidth="1"/>
    <col min="15107" max="15107" width="16.109375" style="211" bestFit="1" customWidth="1"/>
    <col min="15108" max="15108" width="23.5546875" style="211" customWidth="1"/>
    <col min="15109" max="15109" width="17.33203125" style="211" customWidth="1"/>
    <col min="15110" max="15110" width="20.5546875" style="211" bestFit="1" customWidth="1"/>
    <col min="15111" max="15111" width="17.109375" style="211" customWidth="1"/>
    <col min="15112" max="15112" width="21.6640625" style="211" bestFit="1" customWidth="1"/>
    <col min="15113" max="15113" width="17.109375" style="211" bestFit="1" customWidth="1"/>
    <col min="15114" max="15114" width="18.109375" style="211" bestFit="1" customWidth="1"/>
    <col min="15115" max="15115" width="26.44140625" style="211" customWidth="1"/>
    <col min="15116" max="15360" width="9.109375" style="211"/>
    <col min="15361" max="15361" width="8.6640625" style="211" bestFit="1" customWidth="1"/>
    <col min="15362" max="15362" width="13.33203125" style="211" customWidth="1"/>
    <col min="15363" max="15363" width="16.109375" style="211" bestFit="1" customWidth="1"/>
    <col min="15364" max="15364" width="23.5546875" style="211" customWidth="1"/>
    <col min="15365" max="15365" width="17.33203125" style="211" customWidth="1"/>
    <col min="15366" max="15366" width="20.5546875" style="211" bestFit="1" customWidth="1"/>
    <col min="15367" max="15367" width="17.109375" style="211" customWidth="1"/>
    <col min="15368" max="15368" width="21.6640625" style="211" bestFit="1" customWidth="1"/>
    <col min="15369" max="15369" width="17.109375" style="211" bestFit="1" customWidth="1"/>
    <col min="15370" max="15370" width="18.109375" style="211" bestFit="1" customWidth="1"/>
    <col min="15371" max="15371" width="26.44140625" style="211" customWidth="1"/>
    <col min="15372" max="15616" width="9.109375" style="211"/>
    <col min="15617" max="15617" width="8.6640625" style="211" bestFit="1" customWidth="1"/>
    <col min="15618" max="15618" width="13.33203125" style="211" customWidth="1"/>
    <col min="15619" max="15619" width="16.109375" style="211" bestFit="1" customWidth="1"/>
    <col min="15620" max="15620" width="23.5546875" style="211" customWidth="1"/>
    <col min="15621" max="15621" width="17.33203125" style="211" customWidth="1"/>
    <col min="15622" max="15622" width="20.5546875" style="211" bestFit="1" customWidth="1"/>
    <col min="15623" max="15623" width="17.109375" style="211" customWidth="1"/>
    <col min="15624" max="15624" width="21.6640625" style="211" bestFit="1" customWidth="1"/>
    <col min="15625" max="15625" width="17.109375" style="211" bestFit="1" customWidth="1"/>
    <col min="15626" max="15626" width="18.109375" style="211" bestFit="1" customWidth="1"/>
    <col min="15627" max="15627" width="26.44140625" style="211" customWidth="1"/>
    <col min="15628" max="15872" width="9.109375" style="211"/>
    <col min="15873" max="15873" width="8.6640625" style="211" bestFit="1" customWidth="1"/>
    <col min="15874" max="15874" width="13.33203125" style="211" customWidth="1"/>
    <col min="15875" max="15875" width="16.109375" style="211" bestFit="1" customWidth="1"/>
    <col min="15876" max="15876" width="23.5546875" style="211" customWidth="1"/>
    <col min="15877" max="15877" width="17.33203125" style="211" customWidth="1"/>
    <col min="15878" max="15878" width="20.5546875" style="211" bestFit="1" customWidth="1"/>
    <col min="15879" max="15879" width="17.109375" style="211" customWidth="1"/>
    <col min="15880" max="15880" width="21.6640625" style="211" bestFit="1" customWidth="1"/>
    <col min="15881" max="15881" width="17.109375" style="211" bestFit="1" customWidth="1"/>
    <col min="15882" max="15882" width="18.109375" style="211" bestFit="1" customWidth="1"/>
    <col min="15883" max="15883" width="26.44140625" style="211" customWidth="1"/>
    <col min="15884" max="16128" width="9.109375" style="211"/>
    <col min="16129" max="16129" width="8.6640625" style="211" bestFit="1" customWidth="1"/>
    <col min="16130" max="16130" width="13.33203125" style="211" customWidth="1"/>
    <col min="16131" max="16131" width="16.109375" style="211" bestFit="1" customWidth="1"/>
    <col min="16132" max="16132" width="23.5546875" style="211" customWidth="1"/>
    <col min="16133" max="16133" width="17.33203125" style="211" customWidth="1"/>
    <col min="16134" max="16134" width="20.5546875" style="211" bestFit="1" customWidth="1"/>
    <col min="16135" max="16135" width="17.109375" style="211" customWidth="1"/>
    <col min="16136" max="16136" width="21.6640625" style="211" bestFit="1" customWidth="1"/>
    <col min="16137" max="16137" width="17.109375" style="211" bestFit="1" customWidth="1"/>
    <col min="16138" max="16138" width="18.109375" style="211" bestFit="1" customWidth="1"/>
    <col min="16139" max="16139" width="26.44140625" style="211" customWidth="1"/>
    <col min="16140" max="16384" width="9.109375" style="211"/>
  </cols>
  <sheetData>
    <row r="1" spans="13:13" s="244" customFormat="1" x14ac:dyDescent="0.25">
      <c r="M1" s="245"/>
    </row>
    <row r="2" spans="13:13" s="244" customFormat="1" x14ac:dyDescent="0.25">
      <c r="M2" s="245"/>
    </row>
    <row r="3" spans="13:13" s="244" customFormat="1" x14ac:dyDescent="0.25">
      <c r="M3" s="245"/>
    </row>
    <row r="4" spans="13:13" s="244" customFormat="1" x14ac:dyDescent="0.25">
      <c r="M4" s="245"/>
    </row>
    <row r="5" spans="13:13" s="244" customFormat="1" x14ac:dyDescent="0.25">
      <c r="M5" s="245"/>
    </row>
    <row r="6" spans="13:13" s="244" customFormat="1" x14ac:dyDescent="0.25">
      <c r="M6" s="245"/>
    </row>
    <row r="7" spans="13:13" s="244" customFormat="1" x14ac:dyDescent="0.25">
      <c r="M7" s="245"/>
    </row>
    <row r="8" spans="13:13" s="244" customFormat="1" x14ac:dyDescent="0.25">
      <c r="M8" s="245"/>
    </row>
    <row r="9" spans="13:13" s="244" customFormat="1" x14ac:dyDescent="0.25">
      <c r="M9" s="245"/>
    </row>
    <row r="10" spans="13:13" s="244" customFormat="1" x14ac:dyDescent="0.25">
      <c r="M10" s="245"/>
    </row>
    <row r="11" spans="13:13" s="244" customFormat="1" x14ac:dyDescent="0.25">
      <c r="M11" s="245"/>
    </row>
    <row r="12" spans="13:13" s="244" customFormat="1" x14ac:dyDescent="0.25">
      <c r="M12" s="245"/>
    </row>
    <row r="13" spans="13:13" s="244" customFormat="1" x14ac:dyDescent="0.25">
      <c r="M13" s="245"/>
    </row>
    <row r="14" spans="13:13" s="244" customFormat="1" x14ac:dyDescent="0.25">
      <c r="M14" s="245"/>
    </row>
    <row r="15" spans="13:13" s="244" customFormat="1" x14ac:dyDescent="0.25">
      <c r="M15" s="245"/>
    </row>
    <row r="16" spans="13:13" s="244" customFormat="1" x14ac:dyDescent="0.25">
      <c r="M16" s="245"/>
    </row>
    <row r="17" spans="13:13" s="244" customFormat="1" x14ac:dyDescent="0.25">
      <c r="M17" s="245"/>
    </row>
    <row r="18" spans="13:13" s="244" customFormat="1" x14ac:dyDescent="0.25">
      <c r="M18" s="245"/>
    </row>
    <row r="19" spans="13:13" s="244" customFormat="1" x14ac:dyDescent="0.25">
      <c r="M19" s="245"/>
    </row>
    <row r="20" spans="13:13" s="244" customFormat="1" x14ac:dyDescent="0.25">
      <c r="M20" s="245"/>
    </row>
    <row r="21" spans="13:13" s="244" customFormat="1" x14ac:dyDescent="0.25">
      <c r="M21" s="245"/>
    </row>
    <row r="22" spans="13:13" s="244" customFormat="1" x14ac:dyDescent="0.25">
      <c r="M22" s="245"/>
    </row>
    <row r="23" spans="13:13" s="244" customFormat="1" x14ac:dyDescent="0.25">
      <c r="M23" s="245"/>
    </row>
    <row r="24" spans="13:13" s="244" customFormat="1" x14ac:dyDescent="0.25">
      <c r="M24" s="245"/>
    </row>
    <row r="25" spans="13:13" s="244" customFormat="1" x14ac:dyDescent="0.25">
      <c r="M25" s="245"/>
    </row>
    <row r="26" spans="13:13" s="244" customFormat="1" x14ac:dyDescent="0.25">
      <c r="M26" s="245"/>
    </row>
    <row r="27" spans="13:13" s="244" customFormat="1" x14ac:dyDescent="0.25">
      <c r="M27" s="245"/>
    </row>
    <row r="28" spans="13:13" s="244" customFormat="1" x14ac:dyDescent="0.25">
      <c r="M28" s="245"/>
    </row>
    <row r="29" spans="13:13" s="244" customFormat="1" x14ac:dyDescent="0.25">
      <c r="M29" s="245"/>
    </row>
    <row r="30" spans="13:13" s="244" customFormat="1" x14ac:dyDescent="0.25">
      <c r="M30" s="245"/>
    </row>
    <row r="31" spans="13:13" s="244" customFormat="1" x14ac:dyDescent="0.25">
      <c r="M31" s="245"/>
    </row>
    <row r="32" spans="13:13" s="244" customFormat="1" x14ac:dyDescent="0.25">
      <c r="M32" s="245"/>
    </row>
    <row r="33" spans="1:13" s="244" customFormat="1" ht="15.75" customHeight="1" x14ac:dyDescent="0.25">
      <c r="I33" s="270" t="str">
        <f>IF(OR(SCH_MODE=3, SCH_MODE=4),"** Tie VCCX to GND if not used **", "")</f>
        <v/>
      </c>
    </row>
    <row r="34" spans="1:13" s="244" customFormat="1" ht="15.75" customHeight="1" x14ac:dyDescent="0.25">
      <c r="A34" s="244" t="s">
        <v>938</v>
      </c>
    </row>
    <row r="35" spans="1:13" s="244" customFormat="1" ht="15.75" customHeight="1" x14ac:dyDescent="0.25">
      <c r="A35" s="244" t="s">
        <v>747</v>
      </c>
    </row>
    <row r="36" spans="1:13" s="244" customFormat="1" ht="24.75" customHeight="1" x14ac:dyDescent="0.3">
      <c r="A36" s="249" t="str">
        <f>"Vin = "&amp;VIN_min&amp;"V to "&amp;VIN_max&amp;"V, Vout = "&amp; Vout &amp;"V, Iout = " &amp;Iout &amp; "A, Fsw = " &amp; Fsw/1000 &amp;"kHz, Current Limit = "&amp;ROUNDUP(Ilimit_DC,0)&amp;"A"</f>
        <v>Vin = 40V to 60V, Vout = 12V, Iout = 5A, Fsw = 300kHz, Current Limit = 25A</v>
      </c>
    </row>
    <row r="37" spans="1:13" ht="24.75" customHeight="1" thickBot="1" x14ac:dyDescent="0.3">
      <c r="A37" s="213" t="s">
        <v>952</v>
      </c>
    </row>
    <row r="38" spans="1:13" ht="18" customHeight="1" x14ac:dyDescent="0.25">
      <c r="A38" s="473" t="s">
        <v>247</v>
      </c>
      <c r="B38" s="474" t="s">
        <v>246</v>
      </c>
      <c r="C38" s="474" t="s">
        <v>7</v>
      </c>
      <c r="D38" s="798" t="s">
        <v>107</v>
      </c>
      <c r="E38" s="799"/>
      <c r="F38" s="799"/>
      <c r="G38" s="800"/>
      <c r="H38" s="475" t="s">
        <v>238</v>
      </c>
      <c r="I38" s="475" t="s">
        <v>156</v>
      </c>
      <c r="J38" s="475" t="s">
        <v>239</v>
      </c>
      <c r="L38" s="212"/>
      <c r="M38" s="211"/>
    </row>
    <row r="39" spans="1:13" s="218" customFormat="1" ht="15.75" customHeight="1" x14ac:dyDescent="0.25">
      <c r="A39" s="215">
        <v>1</v>
      </c>
      <c r="B39" s="216" t="s">
        <v>743</v>
      </c>
      <c r="C39" s="230">
        <v>0.1</v>
      </c>
      <c r="D39" s="816">
        <f t="shared" ref="D39:D45" si="0">C39</f>
        <v>0.1</v>
      </c>
      <c r="E39" s="817"/>
      <c r="F39" s="817"/>
      <c r="G39" s="231"/>
      <c r="H39" s="232" t="s">
        <v>243</v>
      </c>
      <c r="I39" s="217" t="s">
        <v>240</v>
      </c>
      <c r="J39" s="217" t="s">
        <v>240</v>
      </c>
      <c r="L39" s="219"/>
    </row>
    <row r="40" spans="1:13" s="218" customFormat="1" ht="15.6" x14ac:dyDescent="0.25">
      <c r="A40" s="214">
        <v>1</v>
      </c>
      <c r="B40" s="233" t="s">
        <v>939</v>
      </c>
      <c r="C40" s="241">
        <f>'Design Regulator'!D72</f>
        <v>3.3000000000000003</v>
      </c>
      <c r="D40" s="818">
        <f t="shared" si="0"/>
        <v>3.3000000000000003</v>
      </c>
      <c r="E40" s="819"/>
      <c r="F40" s="819"/>
      <c r="G40" s="235"/>
      <c r="H40" s="236" t="s">
        <v>243</v>
      </c>
      <c r="I40" s="237" t="s">
        <v>240</v>
      </c>
      <c r="J40" s="237" t="s">
        <v>240</v>
      </c>
      <c r="L40" s="219"/>
    </row>
    <row r="41" spans="1:13" s="218" customFormat="1" ht="15.6" x14ac:dyDescent="0.25">
      <c r="A41" s="214">
        <v>1</v>
      </c>
      <c r="B41" s="233" t="s">
        <v>940</v>
      </c>
      <c r="C41" s="234">
        <f>'Design Regulator'!D73</f>
        <v>56</v>
      </c>
      <c r="D41" s="824">
        <f t="shared" si="0"/>
        <v>56</v>
      </c>
      <c r="E41" s="825"/>
      <c r="F41" s="825"/>
      <c r="G41" s="235"/>
      <c r="H41" s="236" t="s">
        <v>243</v>
      </c>
      <c r="I41" s="237" t="s">
        <v>240</v>
      </c>
      <c r="J41" s="237" t="s">
        <v>240</v>
      </c>
      <c r="L41" s="219"/>
    </row>
    <row r="42" spans="1:13" s="218" customFormat="1" ht="15.6" x14ac:dyDescent="0.25">
      <c r="A42" s="214">
        <f>ROUNDUP('Design Regulator'!E44/10,0)</f>
        <v>3</v>
      </c>
      <c r="B42" s="233" t="s">
        <v>244</v>
      </c>
      <c r="C42" s="240">
        <v>10</v>
      </c>
      <c r="D42" s="826">
        <f>C42</f>
        <v>10</v>
      </c>
      <c r="E42" s="827"/>
      <c r="F42" s="827"/>
      <c r="G42" s="235"/>
      <c r="H42" s="236">
        <v>1210</v>
      </c>
      <c r="I42" s="237" t="s">
        <v>240</v>
      </c>
      <c r="J42" s="237" t="s">
        <v>240</v>
      </c>
      <c r="L42" s="219"/>
    </row>
    <row r="43" spans="1:13" s="218" customFormat="1" ht="15.6" x14ac:dyDescent="0.25">
      <c r="A43" s="214">
        <f>ROUNDUP('Design Regulator'!E35/47,0)</f>
        <v>5</v>
      </c>
      <c r="B43" s="233" t="s">
        <v>245</v>
      </c>
      <c r="C43" s="240">
        <v>47</v>
      </c>
      <c r="D43" s="820">
        <f>C43</f>
        <v>47</v>
      </c>
      <c r="E43" s="821"/>
      <c r="F43" s="821"/>
      <c r="G43" s="235"/>
      <c r="H43" s="236">
        <v>1210</v>
      </c>
      <c r="I43" s="237" t="s">
        <v>240</v>
      </c>
      <c r="J43" s="237" t="s">
        <v>240</v>
      </c>
      <c r="L43" s="219"/>
    </row>
    <row r="44" spans="1:13" s="218" customFormat="1" ht="15.6" x14ac:dyDescent="0.25">
      <c r="A44" s="225">
        <v>2</v>
      </c>
      <c r="B44" s="226" t="s">
        <v>744</v>
      </c>
      <c r="C44" s="239">
        <v>2.2000000000000002</v>
      </c>
      <c r="D44" s="822">
        <f t="shared" si="0"/>
        <v>2.2000000000000002</v>
      </c>
      <c r="E44" s="823"/>
      <c r="F44" s="823"/>
      <c r="G44" s="238"/>
      <c r="H44" s="228" t="s">
        <v>243</v>
      </c>
      <c r="I44" s="229" t="s">
        <v>240</v>
      </c>
      <c r="J44" s="229" t="s">
        <v>240</v>
      </c>
      <c r="L44" s="219"/>
    </row>
    <row r="45" spans="1:13" s="218" customFormat="1" ht="15.6" x14ac:dyDescent="0.25">
      <c r="A45" s="225">
        <v>1</v>
      </c>
      <c r="B45" s="226" t="s">
        <v>678</v>
      </c>
      <c r="C45" s="239">
        <v>0.47</v>
      </c>
      <c r="D45" s="822">
        <f t="shared" si="0"/>
        <v>0.47</v>
      </c>
      <c r="E45" s="823"/>
      <c r="F45" s="823"/>
      <c r="G45" s="238"/>
      <c r="H45" s="228" t="s">
        <v>243</v>
      </c>
      <c r="I45" s="229" t="s">
        <v>240</v>
      </c>
      <c r="J45" s="229" t="s">
        <v>240</v>
      </c>
      <c r="L45" s="219"/>
    </row>
    <row r="46" spans="1:13" s="218" customFormat="1" ht="15.6" x14ac:dyDescent="0.25">
      <c r="A46" s="214">
        <v>1</v>
      </c>
      <c r="B46" s="233" t="s">
        <v>745</v>
      </c>
      <c r="C46" s="243">
        <f>'Design Regulator'!E27</f>
        <v>2.2000000000000002</v>
      </c>
      <c r="D46" s="813" t="str">
        <f>"Inductor, "&amp;Lf*1000000&amp;"µH, "&amp;Rdcr*1000&amp;"mΩ, &gt;"&amp;ROUNDUP(Ilimit_DC*1.1,0)&amp;"A"</f>
        <v>Inductor, 2.2µH, 3.5mΩ, &gt;28A</v>
      </c>
      <c r="E46" s="814"/>
      <c r="F46" s="814"/>
      <c r="G46" s="815"/>
      <c r="H46" s="237" t="s">
        <v>249</v>
      </c>
      <c r="I46" s="237" t="s">
        <v>249</v>
      </c>
      <c r="J46" s="237" t="s">
        <v>248</v>
      </c>
      <c r="L46" s="219"/>
    </row>
    <row r="47" spans="1:13" s="218" customFormat="1" ht="15.6" x14ac:dyDescent="0.25">
      <c r="A47" s="225">
        <v>2</v>
      </c>
      <c r="B47" s="226" t="s">
        <v>507</v>
      </c>
      <c r="C47" s="242" t="s">
        <v>241</v>
      </c>
      <c r="D47" s="807">
        <f>'Design Regulator'!E82</f>
        <v>12</v>
      </c>
      <c r="E47" s="808"/>
      <c r="F47" s="808"/>
      <c r="G47" s="809"/>
      <c r="H47" s="229" t="s">
        <v>240</v>
      </c>
      <c r="I47" s="229" t="str">
        <f>'Design Regulator'!E80</f>
        <v>'852, '824</v>
      </c>
      <c r="J47" s="229" t="s">
        <v>249</v>
      </c>
      <c r="L47" s="219"/>
    </row>
    <row r="48" spans="1:13" s="218" customFormat="1" ht="15.6" x14ac:dyDescent="0.25">
      <c r="A48" s="220">
        <v>1</v>
      </c>
      <c r="B48" s="221" t="s">
        <v>941</v>
      </c>
      <c r="C48" s="222">
        <f>'Design Regulator'!D71</f>
        <v>12.4</v>
      </c>
      <c r="D48" s="804">
        <f t="shared" ref="D48:D55" si="1">C48</f>
        <v>12.4</v>
      </c>
      <c r="E48" s="805"/>
      <c r="F48" s="805"/>
      <c r="G48" s="806"/>
      <c r="H48" s="223" t="s">
        <v>243</v>
      </c>
      <c r="I48" s="224" t="s">
        <v>240</v>
      </c>
      <c r="J48" s="224" t="s">
        <v>240</v>
      </c>
      <c r="L48" s="219"/>
    </row>
    <row r="49" spans="1:12" s="218" customFormat="1" ht="15.6" x14ac:dyDescent="0.25">
      <c r="A49" s="220">
        <v>1</v>
      </c>
      <c r="B49" s="221" t="s">
        <v>746</v>
      </c>
      <c r="C49" s="426">
        <f>Rs*1000</f>
        <v>2</v>
      </c>
      <c r="D49" s="810">
        <f t="shared" si="1"/>
        <v>2</v>
      </c>
      <c r="E49" s="811"/>
      <c r="F49" s="811"/>
      <c r="G49" s="812"/>
      <c r="H49" s="223" t="s">
        <v>677</v>
      </c>
      <c r="I49" s="224" t="s">
        <v>240</v>
      </c>
      <c r="J49" s="224" t="s">
        <v>240</v>
      </c>
      <c r="L49" s="219"/>
    </row>
    <row r="50" spans="1:12" s="218" customFormat="1" ht="15.6" x14ac:dyDescent="0.25">
      <c r="A50" s="220">
        <v>1</v>
      </c>
      <c r="B50" s="221" t="s">
        <v>447</v>
      </c>
      <c r="C50" s="222">
        <f>'Design Regulator'!E12</f>
        <v>73.2</v>
      </c>
      <c r="D50" s="804">
        <f t="shared" si="1"/>
        <v>73.2</v>
      </c>
      <c r="E50" s="805"/>
      <c r="F50" s="805"/>
      <c r="G50" s="806"/>
      <c r="H50" s="223" t="s">
        <v>243</v>
      </c>
      <c r="I50" s="224" t="s">
        <v>240</v>
      </c>
      <c r="J50" s="224" t="s">
        <v>240</v>
      </c>
      <c r="L50" s="219"/>
    </row>
    <row r="51" spans="1:12" s="218" customFormat="1" ht="15.6" x14ac:dyDescent="0.25">
      <c r="A51" s="220">
        <v>1</v>
      </c>
      <c r="B51" s="221" t="s">
        <v>251</v>
      </c>
      <c r="C51" s="222">
        <f>'Design Regulator'!E65</f>
        <v>78.7</v>
      </c>
      <c r="D51" s="804">
        <f t="shared" ref="D51" si="2">C51</f>
        <v>78.7</v>
      </c>
      <c r="E51" s="805"/>
      <c r="F51" s="805"/>
      <c r="G51" s="806"/>
      <c r="H51" s="223" t="s">
        <v>243</v>
      </c>
      <c r="I51" s="224" t="s">
        <v>240</v>
      </c>
      <c r="J51" s="224" t="s">
        <v>240</v>
      </c>
      <c r="L51" s="219"/>
    </row>
    <row r="52" spans="1:12" s="218" customFormat="1" ht="15.6" x14ac:dyDescent="0.25">
      <c r="A52" s="220">
        <v>1</v>
      </c>
      <c r="B52" s="221" t="s">
        <v>252</v>
      </c>
      <c r="C52" s="222">
        <f>'Design Regulator'!E66</f>
        <v>177</v>
      </c>
      <c r="D52" s="804">
        <f t="shared" ref="D52" si="3">C52</f>
        <v>177</v>
      </c>
      <c r="E52" s="805"/>
      <c r="F52" s="805"/>
      <c r="G52" s="806"/>
      <c r="H52" s="223" t="s">
        <v>243</v>
      </c>
      <c r="I52" s="224" t="s">
        <v>240</v>
      </c>
      <c r="J52" s="224" t="s">
        <v>240</v>
      </c>
      <c r="L52" s="219"/>
    </row>
    <row r="53" spans="1:12" s="218" customFormat="1" ht="15.6" x14ac:dyDescent="0.25">
      <c r="A53" s="225">
        <v>1</v>
      </c>
      <c r="B53" s="226" t="s">
        <v>942</v>
      </c>
      <c r="C53" s="227">
        <v>100</v>
      </c>
      <c r="D53" s="801">
        <f t="shared" si="1"/>
        <v>100</v>
      </c>
      <c r="E53" s="802"/>
      <c r="F53" s="802"/>
      <c r="G53" s="803"/>
      <c r="H53" s="228" t="s">
        <v>243</v>
      </c>
      <c r="I53" s="229" t="s">
        <v>240</v>
      </c>
      <c r="J53" s="229" t="s">
        <v>240</v>
      </c>
      <c r="L53" s="219"/>
    </row>
    <row r="54" spans="1:12" s="424" customFormat="1" ht="15.6" x14ac:dyDescent="0.25">
      <c r="A54" s="225">
        <v>1</v>
      </c>
      <c r="B54" s="226" t="s">
        <v>756</v>
      </c>
      <c r="C54" s="242">
        <v>100</v>
      </c>
      <c r="D54" s="828">
        <f t="shared" si="1"/>
        <v>100</v>
      </c>
      <c r="E54" s="829"/>
      <c r="F54" s="829"/>
      <c r="G54" s="830"/>
      <c r="H54" s="228" t="s">
        <v>243</v>
      </c>
      <c r="I54" s="229" t="s">
        <v>240</v>
      </c>
      <c r="J54" s="229" t="s">
        <v>240</v>
      </c>
      <c r="L54" s="425"/>
    </row>
    <row r="55" spans="1:12" s="218" customFormat="1" ht="15.6" x14ac:dyDescent="0.25">
      <c r="A55" s="225">
        <v>1</v>
      </c>
      <c r="B55" s="226" t="s">
        <v>250</v>
      </c>
      <c r="C55" s="242">
        <v>2.2000000000000002</v>
      </c>
      <c r="D55" s="828">
        <f t="shared" si="1"/>
        <v>2.2000000000000002</v>
      </c>
      <c r="E55" s="829"/>
      <c r="F55" s="829"/>
      <c r="G55" s="830"/>
      <c r="H55" s="228" t="s">
        <v>243</v>
      </c>
      <c r="I55" s="229" t="s">
        <v>240</v>
      </c>
      <c r="J55" s="229" t="s">
        <v>240</v>
      </c>
      <c r="L55" s="219"/>
    </row>
    <row r="56" spans="1:12" s="218" customFormat="1" ht="14.25" customHeight="1" x14ac:dyDescent="0.25">
      <c r="A56" s="831">
        <v>1</v>
      </c>
      <c r="B56" s="843" t="s">
        <v>253</v>
      </c>
      <c r="C56" s="841" t="str">
        <f>'Variable Management'!P29</f>
        <v>LM5148</v>
      </c>
      <c r="D56" s="835" t="str">
        <f>CHOOSE(VARIANT, "IC, LM5148, Synchronous Buck PWM Controller, 3.5V–80V Input", "IC, LM5148-Q1, Synchronous Buck PWM Controller, 3.5V–80V Input", "IC, LM25148, Synchronous Buck PWM Controller, 3.5V–42V Input",  "IC, LM25148-Q1, Synchronous Buck PWM Controller, 3.5V–42V Input")</f>
        <v>IC, LM5148, Synchronous Buck PWM Controller, 3.5V–80V Input</v>
      </c>
      <c r="E56" s="836"/>
      <c r="F56" s="836"/>
      <c r="G56" s="837"/>
      <c r="H56" s="845" t="s">
        <v>757</v>
      </c>
      <c r="I56" s="841" t="str">
        <f>CHOOSE(VARIANT, "LM5148RGYR", "LM5148QRGYRQ1", "LM25148RGYR", "LM25148QRGYRQ1")</f>
        <v>LM5148RGYR</v>
      </c>
      <c r="J56" s="833" t="s">
        <v>242</v>
      </c>
      <c r="L56" s="219"/>
    </row>
    <row r="57" spans="1:12" x14ac:dyDescent="0.25">
      <c r="A57" s="832"/>
      <c r="B57" s="844"/>
      <c r="C57" s="842"/>
      <c r="D57" s="838"/>
      <c r="E57" s="839"/>
      <c r="F57" s="839"/>
      <c r="G57" s="840"/>
      <c r="H57" s="846"/>
      <c r="I57" s="842"/>
      <c r="J57" s="834"/>
    </row>
    <row r="59" spans="1:12" x14ac:dyDescent="0.25">
      <c r="A59" s="251" t="s">
        <v>261</v>
      </c>
    </row>
    <row r="60" spans="1:12" ht="17.100000000000001" customHeight="1" x14ac:dyDescent="0.25">
      <c r="A60" s="211" t="s">
        <v>448</v>
      </c>
    </row>
    <row r="61" spans="1:12" ht="17.100000000000001" customHeight="1" x14ac:dyDescent="0.25">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55:G55"/>
    <mergeCell ref="D54:G54"/>
    <mergeCell ref="D48:G48"/>
    <mergeCell ref="A56:A57"/>
    <mergeCell ref="J56:J57"/>
    <mergeCell ref="D56:G57"/>
    <mergeCell ref="C56:C57"/>
    <mergeCell ref="B56:B57"/>
    <mergeCell ref="H56:H57"/>
    <mergeCell ref="I56:I57"/>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109375" defaultRowHeight="13.2" x14ac:dyDescent="0.25"/>
  <cols>
    <col min="1" max="13" width="9.109375" style="120"/>
    <col min="14" max="14" width="11.6640625" style="120" customWidth="1"/>
    <col min="15" max="16" width="9.109375" style="120"/>
    <col min="17" max="17" width="15.6640625" style="120" customWidth="1"/>
    <col min="18" max="16384" width="9.109375" style="120"/>
  </cols>
  <sheetData>
    <row r="1" spans="1:23" s="112" customFormat="1" ht="47.25" customHeight="1" x14ac:dyDescent="0.3">
      <c r="A1" s="847" t="s">
        <v>915</v>
      </c>
      <c r="B1" s="848"/>
      <c r="C1" s="848"/>
      <c r="D1" s="848"/>
      <c r="E1" s="848"/>
      <c r="F1" s="848"/>
      <c r="G1" s="848"/>
      <c r="H1" s="848"/>
      <c r="I1" s="848"/>
      <c r="J1" s="848"/>
      <c r="K1" s="848"/>
      <c r="L1" s="848"/>
      <c r="M1" s="848"/>
      <c r="N1" s="848"/>
      <c r="O1" s="848"/>
      <c r="P1" s="848"/>
      <c r="Q1" s="848"/>
    </row>
    <row r="6" spans="1:23" ht="20.399999999999999" x14ac:dyDescent="0.35">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99060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137160</xdr:colOff>
                <xdr:row>69</xdr:row>
                <xdr:rowOff>99060</xdr:rowOff>
              </from>
              <to>
                <xdr:col>24</xdr:col>
                <xdr:colOff>137160</xdr:colOff>
                <xdr:row>96</xdr:row>
                <xdr:rowOff>68580</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99060</xdr:colOff>
                <xdr:row>40</xdr:row>
                <xdr:rowOff>60960</xdr:rowOff>
              </from>
              <to>
                <xdr:col>24</xdr:col>
                <xdr:colOff>106680</xdr:colOff>
                <xdr:row>67</xdr:row>
                <xdr:rowOff>22860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335280</xdr:colOff>
                <xdr:row>40</xdr:row>
                <xdr:rowOff>60960</xdr:rowOff>
              </from>
              <to>
                <xdr:col>12</xdr:col>
                <xdr:colOff>441960</xdr:colOff>
                <xdr:row>67</xdr:row>
                <xdr:rowOff>60960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60960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403860</xdr:colOff>
                <xdr:row>9</xdr:row>
                <xdr:rowOff>76200</xdr:rowOff>
              </from>
              <to>
                <xdr:col>12</xdr:col>
                <xdr:colOff>441960</xdr:colOff>
                <xdr:row>36</xdr:row>
                <xdr:rowOff>30480</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3.2" x14ac:dyDescent="0.25"/>
  <cols>
    <col min="1" max="1" width="34.109375" customWidth="1"/>
    <col min="2" max="2" width="12" customWidth="1"/>
    <col min="3" max="3" width="12.109375" style="2" customWidth="1"/>
    <col min="4" max="4" width="16.6640625" customWidth="1"/>
    <col min="5" max="5" width="11.5546875" customWidth="1"/>
    <col min="6" max="6" width="12.44140625" bestFit="1" customWidth="1"/>
    <col min="7" max="7" width="17.44140625" customWidth="1"/>
    <col min="8" max="8" width="34.6640625" customWidth="1"/>
    <col min="9" max="9" width="11.6640625" customWidth="1"/>
    <col min="10" max="10" width="12.44140625" bestFit="1" customWidth="1"/>
    <col min="11" max="11" width="15.109375" customWidth="1"/>
    <col min="12" max="12" width="13.33203125" customWidth="1"/>
    <col min="14" max="14" width="8.6640625" customWidth="1"/>
    <col min="15" max="15" width="11.109375" customWidth="1"/>
    <col min="16" max="16" width="12.6640625" customWidth="1"/>
    <col min="23" max="23" width="13.33203125" customWidth="1"/>
    <col min="25" max="25" width="12.44140625" customWidth="1"/>
  </cols>
  <sheetData>
    <row r="1" spans="1:27" ht="30.75" customHeight="1" x14ac:dyDescent="0.5">
      <c r="A1" s="850" t="s">
        <v>380</v>
      </c>
      <c r="B1" s="850"/>
      <c r="C1" s="850"/>
      <c r="D1" s="850"/>
      <c r="E1" s="850"/>
      <c r="F1" s="850"/>
      <c r="G1" s="850"/>
      <c r="H1" s="850"/>
      <c r="I1" s="850"/>
    </row>
    <row r="2" spans="1:27" ht="12" customHeight="1" x14ac:dyDescent="0.25">
      <c r="A2" s="49"/>
      <c r="B2" s="49" t="s">
        <v>188</v>
      </c>
      <c r="C2" s="50"/>
      <c r="E2" s="49"/>
      <c r="F2" s="49"/>
      <c r="G2" s="49"/>
      <c r="H2" s="49"/>
      <c r="I2" s="49"/>
    </row>
    <row r="3" spans="1:27" ht="11.25" customHeight="1" x14ac:dyDescent="0.25">
      <c r="A3" s="49"/>
      <c r="B3" s="49" t="s">
        <v>220</v>
      </c>
      <c r="C3" s="51"/>
      <c r="E3" s="49"/>
      <c r="F3" s="49"/>
      <c r="G3" s="49"/>
      <c r="H3" s="49"/>
      <c r="I3" s="49"/>
    </row>
    <row r="4" spans="1:27" ht="11.25" customHeight="1" x14ac:dyDescent="0.25">
      <c r="A4" s="49"/>
      <c r="B4" s="49" t="s">
        <v>189</v>
      </c>
      <c r="C4" s="52"/>
      <c r="E4" s="49"/>
      <c r="F4" s="49"/>
      <c r="G4" s="49"/>
      <c r="H4" s="49"/>
      <c r="I4" s="49"/>
    </row>
    <row r="5" spans="1:27" x14ac:dyDescent="0.25">
      <c r="A5" s="2" t="s">
        <v>47</v>
      </c>
      <c r="B5" s="2" t="s">
        <v>7</v>
      </c>
      <c r="C5" s="2" t="s">
        <v>8</v>
      </c>
      <c r="E5" s="849" t="s">
        <v>12</v>
      </c>
      <c r="F5" s="849"/>
      <c r="G5" s="849"/>
      <c r="H5" s="849"/>
      <c r="I5" s="2" t="s">
        <v>401</v>
      </c>
    </row>
    <row r="6" spans="1:27" ht="16.2" thickBot="1" x14ac:dyDescent="0.35">
      <c r="A6" s="509" t="s">
        <v>147</v>
      </c>
      <c r="B6" s="2"/>
      <c r="D6" s="2"/>
      <c r="E6" s="49"/>
      <c r="F6" s="49"/>
      <c r="G6" s="49"/>
      <c r="H6" s="49"/>
      <c r="I6" s="2"/>
    </row>
    <row r="7" spans="1:27" x14ac:dyDescent="0.25">
      <c r="A7" s="208" t="s">
        <v>278</v>
      </c>
      <c r="B7" s="12">
        <f>'Design Regulator'!E6</f>
        <v>40</v>
      </c>
      <c r="C7" s="63" t="s">
        <v>0</v>
      </c>
      <c r="D7" s="116" t="s">
        <v>279</v>
      </c>
      <c r="E7" s="63"/>
      <c r="F7" s="63"/>
      <c r="G7" s="63"/>
      <c r="H7" s="63"/>
      <c r="I7" s="64">
        <v>1</v>
      </c>
    </row>
    <row r="8" spans="1:27" x14ac:dyDescent="0.25">
      <c r="A8" s="209" t="s">
        <v>594</v>
      </c>
      <c r="B8" s="29">
        <f>'Design Regulator'!E7</f>
        <v>50</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x14ac:dyDescent="0.25">
      <c r="A9" s="209" t="s">
        <v>277</v>
      </c>
      <c r="B9" s="29">
        <f>'Design Regulator'!E8</f>
        <v>60</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25">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x14ac:dyDescent="0.25">
      <c r="A11" s="56" t="s">
        <v>4</v>
      </c>
      <c r="B11" s="29">
        <f>'Design Regulator'!E9</f>
        <v>12</v>
      </c>
      <c r="C11" t="s">
        <v>0</v>
      </c>
      <c r="D11" s="113" t="s">
        <v>598</v>
      </c>
      <c r="I11" s="57"/>
      <c r="T11" s="285" t="s">
        <v>687</v>
      </c>
      <c r="U11" s="115">
        <v>4</v>
      </c>
      <c r="V11" s="113"/>
    </row>
    <row r="12" spans="1:27" x14ac:dyDescent="0.25">
      <c r="A12" s="56" t="s">
        <v>5</v>
      </c>
      <c r="B12" s="29">
        <f>'Design Regulator'!E10</f>
        <v>5</v>
      </c>
      <c r="C12" t="s">
        <v>1</v>
      </c>
      <c r="D12" s="113" t="s">
        <v>599</v>
      </c>
      <c r="I12" s="57">
        <v>1</v>
      </c>
      <c r="T12" s="519" t="s">
        <v>597</v>
      </c>
      <c r="U12" s="520">
        <v>1</v>
      </c>
      <c r="V12" s="113"/>
    </row>
    <row r="13" spans="1:27" x14ac:dyDescent="0.25">
      <c r="A13" s="209"/>
      <c r="C13"/>
      <c r="D13" s="113"/>
      <c r="I13" s="57">
        <v>1</v>
      </c>
      <c r="K13" s="285" t="s">
        <v>646</v>
      </c>
      <c r="L13" s="115">
        <v>1</v>
      </c>
      <c r="N13" s="285" t="s">
        <v>644</v>
      </c>
      <c r="O13" s="115">
        <v>1</v>
      </c>
      <c r="T13" s="561" t="s">
        <v>696</v>
      </c>
      <c r="U13" s="559">
        <f>IF(U12=1, 1, 2)</f>
        <v>1</v>
      </c>
      <c r="V13" s="113"/>
      <c r="W13" s="285" t="s">
        <v>704</v>
      </c>
      <c r="X13" s="115">
        <v>1</v>
      </c>
    </row>
    <row r="14" spans="1:27" x14ac:dyDescent="0.25">
      <c r="A14" s="209" t="s">
        <v>313</v>
      </c>
      <c r="B14" s="504">
        <f>Vout/Iout</f>
        <v>2.4</v>
      </c>
      <c r="C14" s="210" t="s">
        <v>116</v>
      </c>
      <c r="D14" s="113" t="s">
        <v>595</v>
      </c>
      <c r="I14" s="57"/>
      <c r="K14" s="285" t="s">
        <v>645</v>
      </c>
      <c r="L14" s="115">
        <v>2</v>
      </c>
      <c r="N14" s="285" t="s">
        <v>645</v>
      </c>
      <c r="O14" s="115">
        <v>2</v>
      </c>
      <c r="T14" s="287" t="s">
        <v>695</v>
      </c>
      <c r="U14" s="562">
        <f>IF(U12=1, 2, 1)</f>
        <v>2</v>
      </c>
      <c r="W14" s="285" t="s">
        <v>705</v>
      </c>
      <c r="X14" s="115">
        <v>2</v>
      </c>
    </row>
    <row r="15" spans="1:27" x14ac:dyDescent="0.25">
      <c r="A15" s="209"/>
      <c r="B15" s="504"/>
      <c r="C15" s="210"/>
      <c r="D15" s="113"/>
      <c r="I15" s="57"/>
      <c r="K15" s="285" t="s">
        <v>644</v>
      </c>
      <c r="L15" s="115">
        <v>3</v>
      </c>
      <c r="N15" s="285" t="s">
        <v>646</v>
      </c>
      <c r="O15" s="115">
        <v>3</v>
      </c>
      <c r="T15" s="287" t="s">
        <v>694</v>
      </c>
      <c r="U15" s="290">
        <f>SCH_MODE</f>
        <v>1</v>
      </c>
      <c r="W15" s="519" t="s">
        <v>706</v>
      </c>
      <c r="X15" s="520">
        <v>1</v>
      </c>
    </row>
    <row r="16" spans="1:27" x14ac:dyDescent="0.25">
      <c r="A16" s="209" t="s">
        <v>284</v>
      </c>
      <c r="B16" s="284">
        <f>Vout*Iout</f>
        <v>60</v>
      </c>
      <c r="C16" t="s">
        <v>116</v>
      </c>
      <c r="D16" s="113" t="s">
        <v>298</v>
      </c>
      <c r="I16" s="57"/>
      <c r="K16" s="285" t="s">
        <v>826</v>
      </c>
      <c r="L16" s="115">
        <v>4</v>
      </c>
      <c r="N16" s="519" t="s">
        <v>926</v>
      </c>
      <c r="O16" s="520">
        <f>IF(Vout2=3.3, 1, IF(Vout2=5, 2, 3))</f>
        <v>3</v>
      </c>
    </row>
    <row r="17" spans="1:27" x14ac:dyDescent="0.25">
      <c r="A17" s="209"/>
      <c r="C17"/>
      <c r="D17" s="113"/>
      <c r="I17" s="57"/>
      <c r="K17" s="519" t="s">
        <v>751</v>
      </c>
      <c r="L17" s="520">
        <f>IF(Vout=3.3, 3, IF(Vout=5, 2,  IF(Vout=12,4,1)))</f>
        <v>4</v>
      </c>
    </row>
    <row r="18" spans="1:27" x14ac:dyDescent="0.25">
      <c r="A18" s="209" t="s">
        <v>127</v>
      </c>
      <c r="B18" s="395">
        <v>0.9</v>
      </c>
      <c r="C18"/>
      <c r="D18" s="113" t="s">
        <v>414</v>
      </c>
      <c r="I18" s="57"/>
      <c r="Y18" s="2"/>
    </row>
    <row r="19" spans="1:27" x14ac:dyDescent="0.25">
      <c r="A19" s="209" t="s">
        <v>288</v>
      </c>
      <c r="B19" s="301">
        <f>Pout/Efficiency</f>
        <v>66.666666666666671</v>
      </c>
      <c r="C19" t="s">
        <v>116</v>
      </c>
      <c r="D19" s="113" t="s">
        <v>596</v>
      </c>
      <c r="I19" s="57"/>
      <c r="W19" s="285"/>
      <c r="Y19" s="2"/>
      <c r="Z19" s="44" t="s">
        <v>762</v>
      </c>
      <c r="AA19" s="115">
        <v>1</v>
      </c>
    </row>
    <row r="20" spans="1:27" x14ac:dyDescent="0.25">
      <c r="A20" s="209"/>
      <c r="D20" s="113"/>
      <c r="I20" s="57"/>
      <c r="W20" s="285"/>
      <c r="Z20" s="44" t="s">
        <v>761</v>
      </c>
      <c r="AA20" s="115">
        <v>2</v>
      </c>
    </row>
    <row r="21" spans="1:27" x14ac:dyDescent="0.25">
      <c r="A21" s="209" t="s">
        <v>285</v>
      </c>
      <c r="B21" s="296">
        <f>Pin/VIN_min</f>
        <v>1.6666666666666667</v>
      </c>
      <c r="C21" t="s">
        <v>1</v>
      </c>
      <c r="D21" s="113"/>
      <c r="I21" s="57"/>
      <c r="L21">
        <f>Vout</f>
        <v>12</v>
      </c>
      <c r="W21" s="519"/>
      <c r="X21" s="350"/>
      <c r="Z21" s="519" t="s">
        <v>763</v>
      </c>
      <c r="AA21" s="520">
        <v>2</v>
      </c>
    </row>
    <row r="22" spans="1:27" x14ac:dyDescent="0.25">
      <c r="A22" s="209" t="s">
        <v>286</v>
      </c>
      <c r="B22" s="296">
        <f>Pin/VIN_nom</f>
        <v>1.3333333333333335</v>
      </c>
      <c r="C22" t="s">
        <v>1</v>
      </c>
      <c r="D22" s="113" t="s">
        <v>299</v>
      </c>
      <c r="H22" t="b">
        <f>AND(OSC=1, OR(Fsw/1000&gt;2530, Fsw/1000&lt;1800))</f>
        <v>0</v>
      </c>
      <c r="I22" s="57"/>
    </row>
    <row r="23" spans="1:27" x14ac:dyDescent="0.25">
      <c r="A23" s="209" t="s">
        <v>287</v>
      </c>
      <c r="B23" s="296">
        <f>Pin/VIN_max</f>
        <v>1.1111111111111112</v>
      </c>
      <c r="C23" t="s">
        <v>1</v>
      </c>
      <c r="D23" s="113"/>
      <c r="H23" t="b">
        <f>AND(OSC=2, OR(Fsw/1000&gt;500, Fsw/1000&lt;300))</f>
        <v>0</v>
      </c>
      <c r="I23" s="57"/>
    </row>
    <row r="24" spans="1:27" x14ac:dyDescent="0.25">
      <c r="A24" s="209"/>
      <c r="C24"/>
      <c r="D24" s="113"/>
      <c r="H24" t="b">
        <f>OR(H22,H23)</f>
        <v>0</v>
      </c>
      <c r="I24" s="57"/>
    </row>
    <row r="25" spans="1:27" x14ac:dyDescent="0.25">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25">
      <c r="A26" s="58" t="s">
        <v>6</v>
      </c>
      <c r="B26" s="252">
        <f>'Design Regulator'!E11*1000</f>
        <v>300000</v>
      </c>
      <c r="C26" s="113" t="s">
        <v>9</v>
      </c>
      <c r="D26" s="113" t="s">
        <v>603</v>
      </c>
      <c r="I26" s="57"/>
      <c r="K26" s="285" t="s">
        <v>820</v>
      </c>
      <c r="L26" s="115">
        <v>2</v>
      </c>
      <c r="P26" s="285" t="s">
        <v>931</v>
      </c>
      <c r="Q26" s="290">
        <v>2</v>
      </c>
      <c r="W26" s="285" t="s">
        <v>782</v>
      </c>
      <c r="X26">
        <v>2</v>
      </c>
      <c r="Z26" s="285" t="s">
        <v>870</v>
      </c>
      <c r="AA26" s="115">
        <v>2</v>
      </c>
    </row>
    <row r="27" spans="1:27" ht="13.8" x14ac:dyDescent="0.3">
      <c r="A27" s="113" t="s">
        <v>831</v>
      </c>
      <c r="B27" s="48">
        <f>((1000000000/Fsw)-53)/45+0.1</f>
        <v>72.996296296296293</v>
      </c>
      <c r="C27" s="45" t="s">
        <v>237</v>
      </c>
      <c r="D27" s="113"/>
      <c r="I27" s="57"/>
      <c r="K27" s="285" t="s">
        <v>821</v>
      </c>
      <c r="L27" s="115">
        <v>3</v>
      </c>
      <c r="O27" s="285"/>
      <c r="P27" s="285" t="s">
        <v>932</v>
      </c>
      <c r="Q27" s="290">
        <v>3</v>
      </c>
      <c r="W27" s="285" t="s">
        <v>783</v>
      </c>
      <c r="X27">
        <v>3</v>
      </c>
      <c r="Z27" s="519" t="s">
        <v>871</v>
      </c>
      <c r="AA27" s="115">
        <v>1</v>
      </c>
    </row>
    <row r="28" spans="1:27" ht="13.8" x14ac:dyDescent="0.3">
      <c r="A28" s="113"/>
      <c r="B28" s="679"/>
      <c r="C28" s="45" t="s">
        <v>237</v>
      </c>
      <c r="D28" s="113"/>
      <c r="F28" s="113"/>
      <c r="I28" s="57">
        <v>1</v>
      </c>
      <c r="K28" s="285" t="s">
        <v>819</v>
      </c>
      <c r="L28" s="115">
        <v>4</v>
      </c>
      <c r="O28" s="285"/>
      <c r="P28" s="285" t="s">
        <v>933</v>
      </c>
      <c r="Q28" s="290">
        <v>4</v>
      </c>
      <c r="W28" s="519" t="s">
        <v>780</v>
      </c>
      <c r="X28">
        <v>1</v>
      </c>
    </row>
    <row r="29" spans="1:27" x14ac:dyDescent="0.25">
      <c r="A29" s="209" t="s">
        <v>720</v>
      </c>
      <c r="B29" s="512">
        <f>1/Fsw</f>
        <v>3.3333333333333333E-6</v>
      </c>
      <c r="C29" s="113" t="s">
        <v>530</v>
      </c>
      <c r="D29" s="113" t="s">
        <v>600</v>
      </c>
      <c r="I29" s="57"/>
      <c r="K29" s="285" t="s">
        <v>822</v>
      </c>
      <c r="L29" s="115">
        <v>5</v>
      </c>
      <c r="O29" s="520" t="s">
        <v>934</v>
      </c>
      <c r="P29" s="287" t="str">
        <f>CHOOSE(VARIANT, "LM5148", "LM5148-Q1", "LM25148", "LM25148-Q1")</f>
        <v>LM5148</v>
      </c>
      <c r="Q29" s="520">
        <v>1</v>
      </c>
    </row>
    <row r="30" spans="1:27" x14ac:dyDescent="0.25">
      <c r="A30" s="58" t="s">
        <v>41</v>
      </c>
      <c r="B30" s="59">
        <v>0.8</v>
      </c>
      <c r="C30" t="s">
        <v>0</v>
      </c>
      <c r="D30" s="113" t="s">
        <v>601</v>
      </c>
      <c r="I30" s="57"/>
      <c r="K30" s="285" t="s">
        <v>823</v>
      </c>
      <c r="L30" s="115">
        <v>6</v>
      </c>
      <c r="O30" s="520" t="s">
        <v>935</v>
      </c>
      <c r="P30" s="287">
        <f>CHOOSE(VARIANT, 80, 80, 42, 42)</f>
        <v>80</v>
      </c>
      <c r="Q30" t="s">
        <v>0</v>
      </c>
    </row>
    <row r="31" spans="1:27" ht="14.4" thickBot="1" x14ac:dyDescent="0.35">
      <c r="A31" s="626" t="s">
        <v>272</v>
      </c>
      <c r="B31" s="629">
        <f>'Standard Value Calculator'!S12/1000</f>
        <v>73.2</v>
      </c>
      <c r="C31" s="45" t="s">
        <v>237</v>
      </c>
      <c r="D31" s="627" t="s">
        <v>602</v>
      </c>
      <c r="E31" s="371"/>
      <c r="F31" s="628">
        <f>IF(OR((Fsw=440000),(Fsw=2200000)),"N/A",Rfadj/1000)</f>
        <v>7.3200000000000001E-2</v>
      </c>
      <c r="G31" s="371"/>
      <c r="H31" s="371"/>
      <c r="I31" s="546"/>
      <c r="K31" s="285" t="s">
        <v>824</v>
      </c>
      <c r="L31" s="115">
        <v>7</v>
      </c>
      <c r="O31" s="113" t="s">
        <v>936</v>
      </c>
      <c r="P31" s="285">
        <f>CHOOSE(VARIANT, 60, 60, 36, 36)</f>
        <v>60</v>
      </c>
      <c r="Q31" s="113" t="s">
        <v>0</v>
      </c>
    </row>
    <row r="32" spans="1:27" x14ac:dyDescent="0.25">
      <c r="K32" s="285" t="s">
        <v>825</v>
      </c>
      <c r="L32" s="115">
        <v>8</v>
      </c>
      <c r="O32" s="285"/>
      <c r="P32" s="115"/>
    </row>
    <row r="33" spans="1:16" ht="16.2" thickBot="1" x14ac:dyDescent="0.35">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25">
      <c r="A34" s="208" t="s">
        <v>14</v>
      </c>
      <c r="B34" s="280">
        <f>Vout/VIN_nom</f>
        <v>0.24</v>
      </c>
      <c r="C34" s="548"/>
      <c r="D34" s="283"/>
      <c r="E34" s="283"/>
      <c r="F34" s="116" t="s">
        <v>282</v>
      </c>
      <c r="G34" s="63"/>
      <c r="H34" s="63"/>
      <c r="I34" s="64"/>
      <c r="O34" s="285"/>
      <c r="P34" s="115"/>
    </row>
    <row r="35" spans="1:16" x14ac:dyDescent="0.25">
      <c r="A35" s="209" t="s">
        <v>15</v>
      </c>
      <c r="B35" s="281">
        <f>1-34:34</f>
        <v>0.76</v>
      </c>
      <c r="C35"/>
      <c r="F35" s="113" t="s">
        <v>283</v>
      </c>
      <c r="I35" s="57"/>
      <c r="O35" s="285"/>
      <c r="P35" s="115"/>
    </row>
    <row r="36" spans="1:16" x14ac:dyDescent="0.25">
      <c r="A36" s="113"/>
      <c r="C36"/>
      <c r="E36" s="113"/>
      <c r="I36" s="57"/>
    </row>
    <row r="37" spans="1:16" x14ac:dyDescent="0.25">
      <c r="A37" s="209" t="s">
        <v>650</v>
      </c>
      <c r="B37" s="291">
        <f>Vout/VIN_min</f>
        <v>0.3</v>
      </c>
      <c r="C37"/>
      <c r="D37" s="540"/>
      <c r="E37" s="113"/>
      <c r="I37" s="57"/>
    </row>
    <row r="38" spans="1:16" x14ac:dyDescent="0.25">
      <c r="A38" s="209" t="s">
        <v>651</v>
      </c>
      <c r="B38" s="291">
        <f>Vout/VIN_nom</f>
        <v>0.24</v>
      </c>
      <c r="C38"/>
      <c r="D38" s="540"/>
      <c r="I38" s="57"/>
    </row>
    <row r="39" spans="1:16" x14ac:dyDescent="0.25">
      <c r="A39" s="209" t="s">
        <v>652</v>
      </c>
      <c r="B39" s="291">
        <f>Vout/VIN_max</f>
        <v>0.2</v>
      </c>
      <c r="C39"/>
      <c r="D39" s="540"/>
      <c r="E39" s="113"/>
      <c r="I39" s="57"/>
    </row>
    <row r="40" spans="1:16" x14ac:dyDescent="0.25">
      <c r="A40" s="113"/>
      <c r="B40" s="540"/>
      <c r="C40" s="113"/>
      <c r="E40" s="113"/>
      <c r="I40" s="57"/>
    </row>
    <row r="41" spans="1:16" x14ac:dyDescent="0.25">
      <c r="A41" s="113" t="s">
        <v>292</v>
      </c>
      <c r="B41" s="282">
        <f>(VIN_nom-Vout)*D1_Vinnom/(Fsw*(Iout/Number_of_Phases)*0.3)</f>
        <v>2.0266666666666663E-5</v>
      </c>
      <c r="C41" t="s">
        <v>19</v>
      </c>
      <c r="D41" s="46"/>
      <c r="F41" s="113" t="s">
        <v>607</v>
      </c>
      <c r="I41" s="57"/>
    </row>
    <row r="42" spans="1:16" x14ac:dyDescent="0.25">
      <c r="A42" s="113" t="s">
        <v>604</v>
      </c>
      <c r="B42" s="282">
        <f>1000*Vout*Rs/22.72/Fsw</f>
        <v>3.5211267605633808E-6</v>
      </c>
      <c r="C42" t="s">
        <v>19</v>
      </c>
      <c r="D42" s="46"/>
      <c r="F42" s="113" t="s">
        <v>649</v>
      </c>
      <c r="I42" s="57"/>
    </row>
    <row r="43" spans="1:16" x14ac:dyDescent="0.25">
      <c r="A43" s="113"/>
      <c r="C43" s="113"/>
      <c r="E43" s="113"/>
      <c r="I43" s="57"/>
    </row>
    <row r="44" spans="1:16" x14ac:dyDescent="0.25">
      <c r="A44" s="209" t="s">
        <v>293</v>
      </c>
      <c r="B44" s="282">
        <f>B42</f>
        <v>3.5211267605633808E-6</v>
      </c>
      <c r="C44" t="s">
        <v>19</v>
      </c>
      <c r="D44" s="30"/>
      <c r="E44" s="113"/>
      <c r="F44" s="113" t="s">
        <v>889</v>
      </c>
      <c r="I44" s="57"/>
    </row>
    <row r="45" spans="1:16" x14ac:dyDescent="0.25">
      <c r="A45" s="209"/>
      <c r="C45"/>
      <c r="E45" s="113"/>
      <c r="I45" s="57"/>
    </row>
    <row r="46" spans="1:16" x14ac:dyDescent="0.25">
      <c r="A46" s="209" t="s">
        <v>624</v>
      </c>
      <c r="B46" s="72">
        <f>'Design Regulator'!E27/1000000</f>
        <v>2.2000000000000001E-6</v>
      </c>
      <c r="C46" t="s">
        <v>19</v>
      </c>
      <c r="D46" s="30"/>
      <c r="F46" s="113" t="s">
        <v>531</v>
      </c>
      <c r="I46" s="57"/>
    </row>
    <row r="47" spans="1:16" x14ac:dyDescent="0.25">
      <c r="A47" s="209" t="s">
        <v>11</v>
      </c>
      <c r="B47" s="29">
        <f>'Design Regulator'!E28/1000</f>
        <v>3.5000000000000001E-3</v>
      </c>
      <c r="C47" s="210" t="s">
        <v>116</v>
      </c>
      <c r="E47" s="210"/>
      <c r="F47" s="113" t="s">
        <v>532</v>
      </c>
      <c r="I47" s="57"/>
    </row>
    <row r="48" spans="1:16" x14ac:dyDescent="0.25">
      <c r="A48" s="209"/>
      <c r="B48" s="113"/>
      <c r="C48" s="113"/>
      <c r="D48" s="113"/>
      <c r="E48" s="113"/>
      <c r="I48" s="57"/>
    </row>
    <row r="49" spans="1:9" x14ac:dyDescent="0.25">
      <c r="A49" s="209" t="s">
        <v>16</v>
      </c>
      <c r="B49" s="291">
        <f>(Vout+Iout*(Rdcr+Rs))/(Vin+Iout*Rs)</f>
        <v>0.24050189962007598</v>
      </c>
      <c r="C49"/>
      <c r="I49" s="57"/>
    </row>
    <row r="50" spans="1:9" x14ac:dyDescent="0.25">
      <c r="A50" s="209" t="s">
        <v>17</v>
      </c>
      <c r="B50" s="291">
        <f>1-_Don2</f>
        <v>0.75949810037992405</v>
      </c>
      <c r="C50"/>
      <c r="I50" s="57"/>
    </row>
    <row r="51" spans="1:9" x14ac:dyDescent="0.25">
      <c r="A51" s="209"/>
      <c r="C51"/>
      <c r="I51" s="57"/>
    </row>
    <row r="52" spans="1:9" x14ac:dyDescent="0.25">
      <c r="A52" s="209" t="s">
        <v>653</v>
      </c>
      <c r="B52" s="291">
        <f>CHOOSE(MODE, (Vout+Iout*(Rdcr+Rs))/(VIN_min+Iout*Rs), (Vout+Iout/Number_of_Phases*(Rdcr+Rs))/(VIN_min+Iout/Number_of_Phases*Rs))</f>
        <v>0.30061234691327171</v>
      </c>
      <c r="C52"/>
      <c r="D52" s="540"/>
      <c r="F52" s="113" t="s">
        <v>608</v>
      </c>
      <c r="I52" s="57"/>
    </row>
    <row r="53" spans="1:9" ht="15.6" x14ac:dyDescent="0.35">
      <c r="A53" s="209" t="s">
        <v>654</v>
      </c>
      <c r="B53" s="291">
        <f>CHOOSE(MODE, (Vout+Iout*(Rdcr+Rs))/(VIN_nom+Iout*Rs), (Vout+Iout/Number_of_Phases*(Rdcr+Rs))/(VIN_nom+Iout/Number_of_Phases*Rs))</f>
        <v>0.24050189962007598</v>
      </c>
      <c r="C53"/>
      <c r="D53" s="540"/>
      <c r="F53" s="366" t="s">
        <v>415</v>
      </c>
      <c r="I53" s="57"/>
    </row>
    <row r="54" spans="1:9" x14ac:dyDescent="0.25">
      <c r="A54" s="209" t="s">
        <v>655</v>
      </c>
      <c r="B54" s="291">
        <f>CHOOSE(MODE, (Vout+Iout*(Rdcr+Rs))/(VIN_max+Iout*Rs), (Vout+Iout/Number_of_Phases*(Rdcr+Rs))/(VIN_max+Iout/Number_of_Phases*Rs))</f>
        <v>0.20042492917847027</v>
      </c>
      <c r="C54"/>
      <c r="D54" s="540"/>
      <c r="I54" s="57"/>
    </row>
    <row r="55" spans="1:9" x14ac:dyDescent="0.25">
      <c r="A55" s="209"/>
      <c r="C55"/>
      <c r="I55" s="57"/>
    </row>
    <row r="56" spans="1:9" x14ac:dyDescent="0.25">
      <c r="A56" s="209" t="s">
        <v>289</v>
      </c>
      <c r="B56" s="505">
        <f>(VIN_min-Vout)*D1_Vinmin_2/(Fsw*Lf)</f>
        <v>12.753251081169104</v>
      </c>
      <c r="C56" s="113" t="s">
        <v>1</v>
      </c>
      <c r="D56" s="547"/>
      <c r="E56" s="113"/>
      <c r="G56" s="30"/>
      <c r="I56" s="57"/>
    </row>
    <row r="57" spans="1:9" x14ac:dyDescent="0.25">
      <c r="A57" s="209" t="s">
        <v>290</v>
      </c>
      <c r="B57" s="505">
        <f>(VIN_nom-Vout)*D1_Vinnom_2/(Fsw*Lf)</f>
        <v>13.847079069034676</v>
      </c>
      <c r="C57" s="113" t="s">
        <v>1</v>
      </c>
      <c r="D57" s="547"/>
      <c r="E57" s="113"/>
      <c r="I57" s="57"/>
    </row>
    <row r="58" spans="1:9" x14ac:dyDescent="0.25">
      <c r="A58" s="209" t="s">
        <v>291</v>
      </c>
      <c r="B58" s="505">
        <f>(VIN_max-Vout)*D1_Vinmax_2/(Fsw*Lf)</f>
        <v>14.576358485706926</v>
      </c>
      <c r="C58" s="113" t="s">
        <v>1</v>
      </c>
      <c r="D58" s="547"/>
      <c r="E58" s="113"/>
      <c r="I58" s="57"/>
    </row>
    <row r="59" spans="1:9" x14ac:dyDescent="0.25">
      <c r="A59" s="209"/>
      <c r="B59" s="547"/>
      <c r="D59" s="466"/>
      <c r="E59" s="113"/>
      <c r="I59" s="57"/>
    </row>
    <row r="60" spans="1:9" x14ac:dyDescent="0.25">
      <c r="A60" s="209" t="s">
        <v>547</v>
      </c>
      <c r="B60" s="549">
        <f>SQRT((Iout/Number_of_Phases)^2+(Iripple_Vinmin^2)/12)</f>
        <v>6.2091693831202903</v>
      </c>
      <c r="C60" s="113" t="s">
        <v>1</v>
      </c>
      <c r="D60" s="4"/>
      <c r="E60" s="113"/>
      <c r="F60" s="348"/>
      <c r="I60" s="57"/>
    </row>
    <row r="61" spans="1:9" x14ac:dyDescent="0.25">
      <c r="A61" s="209" t="s">
        <v>548</v>
      </c>
      <c r="B61" s="549">
        <f>SQRT((Iout/Number_of_Phases)^2+(Iripple_Vinnom^2)/12)</f>
        <v>6.4014425375854298</v>
      </c>
      <c r="C61" s="113" t="s">
        <v>1</v>
      </c>
      <c r="D61" s="4"/>
      <c r="E61" s="113"/>
      <c r="F61" s="348"/>
      <c r="I61" s="57"/>
    </row>
    <row r="62" spans="1:9" x14ac:dyDescent="0.25">
      <c r="A62" s="209" t="s">
        <v>549</v>
      </c>
      <c r="B62" s="549">
        <f>SQRT((Iout/Number_of_Phases)^2+(Iripple_Vinmax^2)/12)</f>
        <v>6.5349714785391395</v>
      </c>
      <c r="C62" s="113" t="s">
        <v>1</v>
      </c>
      <c r="D62" s="4"/>
      <c r="E62" s="113"/>
      <c r="F62" s="348"/>
      <c r="I62" s="57"/>
    </row>
    <row r="63" spans="1:9" x14ac:dyDescent="0.25">
      <c r="A63" s="209" t="s">
        <v>550</v>
      </c>
      <c r="B63" s="550">
        <f>B61^2*Rs</f>
        <v>8.1956933124016376E-2</v>
      </c>
      <c r="C63" s="113" t="s">
        <v>116</v>
      </c>
      <c r="D63" s="382"/>
      <c r="E63" s="113"/>
      <c r="F63" s="382" t="s">
        <v>625</v>
      </c>
      <c r="I63" s="57"/>
    </row>
    <row r="64" spans="1:9" x14ac:dyDescent="0.25">
      <c r="A64" s="209"/>
      <c r="B64" s="113"/>
      <c r="C64" s="113"/>
      <c r="D64" s="113"/>
      <c r="I64" s="57"/>
    </row>
    <row r="65" spans="1:16" x14ac:dyDescent="0.25">
      <c r="A65" s="209" t="s">
        <v>297</v>
      </c>
      <c r="B65" s="292">
        <f>MAX(B56:B58)</f>
        <v>14.576358485706926</v>
      </c>
      <c r="C65" s="382" t="s">
        <v>1</v>
      </c>
      <c r="D65" s="466"/>
      <c r="E65" s="113"/>
      <c r="F65" s="113" t="s">
        <v>626</v>
      </c>
      <c r="I65" s="57"/>
    </row>
    <row r="66" spans="1:16" x14ac:dyDescent="0.25">
      <c r="A66" s="209"/>
      <c r="B66" s="113"/>
      <c r="C66" s="113"/>
      <c r="D66" s="113"/>
      <c r="F66" s="113"/>
      <c r="G66" s="285"/>
      <c r="I66" s="57"/>
    </row>
    <row r="67" spans="1:16" x14ac:dyDescent="0.25">
      <c r="B67" s="396">
        <f>B56/(Iout/Number_of_Phases)</f>
        <v>2.5506502162338207</v>
      </c>
      <c r="C67" s="551"/>
      <c r="D67" s="551"/>
      <c r="F67" s="4"/>
      <c r="G67" s="397"/>
      <c r="I67" s="57"/>
    </row>
    <row r="68" spans="1:16" x14ac:dyDescent="0.25">
      <c r="A68" s="209" t="s">
        <v>680</v>
      </c>
      <c r="B68" s="396">
        <f>B57/(Iout/Number_of_Phases)</f>
        <v>2.7694158138069351</v>
      </c>
      <c r="C68"/>
      <c r="D68" s="551"/>
      <c r="F68" s="4"/>
      <c r="G68" s="397"/>
      <c r="I68" s="57"/>
    </row>
    <row r="69" spans="1:16" x14ac:dyDescent="0.25">
      <c r="A69" s="209"/>
      <c r="B69" s="396">
        <f>B58/(Iout/Number_of_Phases)</f>
        <v>2.9152716971413852</v>
      </c>
      <c r="C69"/>
      <c r="D69" s="551"/>
      <c r="F69" s="4"/>
      <c r="G69" s="397"/>
      <c r="I69" s="57"/>
    </row>
    <row r="70" spans="1:16" x14ac:dyDescent="0.25">
      <c r="A70" s="209"/>
      <c r="C70"/>
      <c r="I70" s="57"/>
    </row>
    <row r="71" spans="1:16" x14ac:dyDescent="0.25">
      <c r="A71" s="113" t="s">
        <v>605</v>
      </c>
      <c r="B71" s="395">
        <v>100</v>
      </c>
      <c r="C71" s="113" t="s">
        <v>449</v>
      </c>
      <c r="D71" s="113"/>
      <c r="E71" s="113"/>
      <c r="I71" s="57"/>
    </row>
    <row r="72" spans="1:16" x14ac:dyDescent="0.25">
      <c r="A72" s="209" t="s">
        <v>213</v>
      </c>
      <c r="B72" s="377">
        <f>Rdcr*(1+0.0039*(B71-25))</f>
        <v>4.52375E-3</v>
      </c>
      <c r="C72" s="210" t="s">
        <v>116</v>
      </c>
      <c r="D72" s="300"/>
      <c r="E72" s="210"/>
      <c r="I72" s="57"/>
    </row>
    <row r="73" spans="1:16" ht="13.8" thickBot="1" x14ac:dyDescent="0.3">
      <c r="A73" s="303" t="s">
        <v>937</v>
      </c>
      <c r="B73" s="289">
        <f>'Design Regulator'!E30</f>
        <v>0.2</v>
      </c>
      <c r="C73" s="117" t="s">
        <v>116</v>
      </c>
      <c r="D73" s="61"/>
      <c r="E73" s="61"/>
      <c r="F73" s="61"/>
      <c r="G73" s="61"/>
      <c r="H73" s="61"/>
      <c r="I73" s="62"/>
    </row>
    <row r="74" spans="1:16" x14ac:dyDescent="0.25">
      <c r="A74" s="2"/>
      <c r="B74" s="1"/>
      <c r="C74" s="1"/>
    </row>
    <row r="75" spans="1:16" ht="16.2" thickBot="1" x14ac:dyDescent="0.35">
      <c r="A75" s="509" t="s">
        <v>377</v>
      </c>
      <c r="B75" s="1"/>
      <c r="C75" s="1"/>
    </row>
    <row r="76" spans="1:16" x14ac:dyDescent="0.25">
      <c r="A76" s="90"/>
      <c r="B76" s="63"/>
      <c r="C76" s="63"/>
      <c r="D76" s="63"/>
      <c r="E76" s="63"/>
      <c r="F76" s="63"/>
      <c r="G76" s="63"/>
      <c r="H76" s="63"/>
      <c r="I76" s="64"/>
    </row>
    <row r="77" spans="1:16" x14ac:dyDescent="0.25">
      <c r="A77" s="209" t="s">
        <v>296</v>
      </c>
      <c r="B77" s="29">
        <f>'Design Regulator'!E16</f>
        <v>25</v>
      </c>
      <c r="C77" t="s">
        <v>1</v>
      </c>
      <c r="E77" s="113"/>
      <c r="F77" s="113" t="s">
        <v>500</v>
      </c>
      <c r="I77" s="57"/>
      <c r="K77" s="113"/>
      <c r="N77" s="113"/>
    </row>
    <row r="78" spans="1:16" x14ac:dyDescent="0.25">
      <c r="A78" s="209"/>
      <c r="C78"/>
      <c r="I78" s="57"/>
      <c r="K78" s="113"/>
      <c r="L78" s="113"/>
    </row>
    <row r="79" spans="1:16" x14ac:dyDescent="0.25">
      <c r="A79" s="209" t="s">
        <v>301</v>
      </c>
      <c r="B79" s="296">
        <f>CHOOSE(MODE, Ilimit_DC+Iripple_Vinmin/2, Ilimit_DC/Number_of_Phases+Iripple_Vinmin/2)</f>
        <v>31.376625540584552</v>
      </c>
      <c r="C79" t="s">
        <v>1</v>
      </c>
      <c r="D79" s="4"/>
      <c r="E79" s="113"/>
      <c r="F79" s="113" t="s">
        <v>610</v>
      </c>
      <c r="I79" s="57"/>
      <c r="K79" s="4"/>
      <c r="L79" s="4"/>
      <c r="N79" s="300"/>
      <c r="P79" s="300"/>
    </row>
    <row r="80" spans="1:16" x14ac:dyDescent="0.25">
      <c r="A80" s="209" t="s">
        <v>303</v>
      </c>
      <c r="B80" s="296">
        <f>CHOOSE(MODE, Ilimit_DC+Iripple_Vinnom/2, Ilimit_DC/Number_of_Phases+Iripple_Vinnom/2)</f>
        <v>31.923539534517339</v>
      </c>
      <c r="C80" t="s">
        <v>1</v>
      </c>
      <c r="D80" s="4"/>
      <c r="E80" s="113"/>
      <c r="I80" s="57"/>
      <c r="K80" s="4"/>
      <c r="L80" s="4"/>
      <c r="N80" s="300"/>
      <c r="P80" s="300"/>
    </row>
    <row r="81" spans="1:16" x14ac:dyDescent="0.25">
      <c r="A81" s="209" t="s">
        <v>302</v>
      </c>
      <c r="B81" s="296">
        <f>CHOOSE(MODE, Ilimit_DC+Iripple_Vinmax/2, Ilimit_DC/Number_of_Phases+Iripple_Vinmax/2)</f>
        <v>32.28817924285346</v>
      </c>
      <c r="C81" t="s">
        <v>1</v>
      </c>
      <c r="D81" s="4"/>
      <c r="E81" s="113"/>
      <c r="I81" s="57"/>
      <c r="K81" s="4"/>
      <c r="L81" s="4"/>
      <c r="N81" s="300"/>
      <c r="P81" s="300"/>
    </row>
    <row r="82" spans="1:16" x14ac:dyDescent="0.25">
      <c r="A82" s="209"/>
      <c r="B82" s="4"/>
      <c r="C82" s="113"/>
      <c r="D82" s="113"/>
      <c r="I82" s="57"/>
    </row>
    <row r="83" spans="1:16" x14ac:dyDescent="0.25">
      <c r="I83" s="57"/>
    </row>
    <row r="84" spans="1:16" x14ac:dyDescent="0.25">
      <c r="A84" s="209" t="s">
        <v>612</v>
      </c>
      <c r="B84" s="467">
        <v>5.1999999999999998E-2</v>
      </c>
      <c r="C84" s="113" t="s">
        <v>0</v>
      </c>
      <c r="E84" s="113"/>
      <c r="I84" s="57"/>
    </row>
    <row r="85" spans="1:16" x14ac:dyDescent="0.25">
      <c r="A85" s="209" t="s">
        <v>611</v>
      </c>
      <c r="B85" s="467">
        <v>0.06</v>
      </c>
      <c r="C85" s="113" t="s">
        <v>0</v>
      </c>
      <c r="E85" s="113"/>
      <c r="F85" s="2"/>
      <c r="I85" s="57"/>
    </row>
    <row r="86" spans="1:16" x14ac:dyDescent="0.25">
      <c r="A86" s="209" t="s">
        <v>613</v>
      </c>
      <c r="B86" s="467">
        <v>6.8000000000000005E-2</v>
      </c>
      <c r="C86" s="113" t="s">
        <v>0</v>
      </c>
      <c r="E86" s="113"/>
      <c r="I86" s="57"/>
    </row>
    <row r="87" spans="1:16" x14ac:dyDescent="0.25">
      <c r="A87" s="209"/>
      <c r="B87" s="348"/>
      <c r="C87" s="113"/>
      <c r="E87" s="113"/>
      <c r="I87" s="57"/>
    </row>
    <row r="88" spans="1:16" x14ac:dyDescent="0.25">
      <c r="A88" s="209" t="s">
        <v>533</v>
      </c>
      <c r="B88" s="297">
        <f>Buck_CS_threshold/B79</f>
        <v>1.9122515237463037E-3</v>
      </c>
      <c r="C88" s="210" t="s">
        <v>116</v>
      </c>
      <c r="D88" s="300"/>
      <c r="E88" s="210"/>
      <c r="I88" s="57"/>
    </row>
    <row r="89" spans="1:16" x14ac:dyDescent="0.25">
      <c r="A89" s="209" t="s">
        <v>534</v>
      </c>
      <c r="B89" s="297">
        <f>Buck_CS_threshold/B80</f>
        <v>1.8794908357553828E-3</v>
      </c>
      <c r="C89" s="210" t="s">
        <v>116</v>
      </c>
      <c r="D89" s="300"/>
      <c r="E89" s="210"/>
      <c r="I89" s="57"/>
    </row>
    <row r="90" spans="1:16" x14ac:dyDescent="0.25">
      <c r="A90" s="209" t="s">
        <v>535</v>
      </c>
      <c r="B90" s="297">
        <f>Buck_CS_threshold/B81</f>
        <v>1.8582652043868397E-3</v>
      </c>
      <c r="C90" s="210" t="s">
        <v>116</v>
      </c>
      <c r="D90" s="300"/>
      <c r="E90" s="210"/>
      <c r="I90" s="57"/>
    </row>
    <row r="91" spans="1:16" x14ac:dyDescent="0.25">
      <c r="A91" s="209"/>
      <c r="B91" s="30"/>
      <c r="C91" s="210"/>
      <c r="E91" s="210"/>
      <c r="I91" s="57"/>
    </row>
    <row r="92" spans="1:16" x14ac:dyDescent="0.25">
      <c r="A92" s="209" t="s">
        <v>300</v>
      </c>
      <c r="B92" s="298">
        <f>B89</f>
        <v>1.8794908357553828E-3</v>
      </c>
      <c r="C92" s="210" t="s">
        <v>116</v>
      </c>
      <c r="D92" s="300"/>
      <c r="E92" s="210"/>
      <c r="F92" s="113" t="s">
        <v>614</v>
      </c>
      <c r="I92" s="57"/>
    </row>
    <row r="93" spans="1:16" x14ac:dyDescent="0.25">
      <c r="A93" s="209" t="s">
        <v>164</v>
      </c>
      <c r="B93" s="503">
        <f>'Design Regulator'!E18/1000</f>
        <v>2E-3</v>
      </c>
      <c r="C93" s="210" t="s">
        <v>116</v>
      </c>
      <c r="D93" s="348"/>
      <c r="E93" s="210"/>
      <c r="F93" s="113" t="s">
        <v>304</v>
      </c>
      <c r="I93" s="57"/>
      <c r="K93" s="113"/>
      <c r="L93" s="113"/>
    </row>
    <row r="94" spans="1:16" x14ac:dyDescent="0.25">
      <c r="A94" s="209"/>
      <c r="B94" s="398"/>
      <c r="C94" s="210"/>
      <c r="E94" s="210"/>
      <c r="I94" s="57"/>
      <c r="K94" s="113"/>
      <c r="L94" s="113"/>
    </row>
    <row r="95" spans="1:16" x14ac:dyDescent="0.25">
      <c r="A95" s="209" t="s">
        <v>615</v>
      </c>
      <c r="B95" s="296">
        <f>Buck_CS_threshold/Rs</f>
        <v>30</v>
      </c>
      <c r="C95" s="113" t="s">
        <v>1</v>
      </c>
      <c r="D95" s="4"/>
      <c r="E95" s="113"/>
      <c r="F95" s="113" t="s">
        <v>616</v>
      </c>
      <c r="I95" s="57"/>
    </row>
    <row r="96" spans="1:16" x14ac:dyDescent="0.25">
      <c r="A96" s="209"/>
      <c r="E96" s="2"/>
      <c r="I96" s="57"/>
    </row>
    <row r="97" spans="1:12" ht="15.6" x14ac:dyDescent="0.35">
      <c r="A97" s="209" t="s">
        <v>416</v>
      </c>
      <c r="B97" s="301">
        <f>Number_of_Phases*(Buck_CS_threshold/Rs-Iripple_Vinmin/2)</f>
        <v>23.623374459415448</v>
      </c>
      <c r="C97" t="s">
        <v>1</v>
      </c>
      <c r="D97" s="48"/>
      <c r="F97" s="113" t="s">
        <v>418</v>
      </c>
      <c r="I97" s="57"/>
    </row>
    <row r="98" spans="1:12" x14ac:dyDescent="0.25">
      <c r="A98" s="209" t="s">
        <v>446</v>
      </c>
      <c r="B98" s="301">
        <f>Number_of_Phases*(Buck_CS_threshold/Rs-Iripple_Vinnom/2)</f>
        <v>23.076460465482661</v>
      </c>
      <c r="C98" t="s">
        <v>1</v>
      </c>
      <c r="D98" s="48"/>
      <c r="I98" s="57"/>
    </row>
    <row r="99" spans="1:12" x14ac:dyDescent="0.25">
      <c r="A99" s="209" t="s">
        <v>417</v>
      </c>
      <c r="B99" s="301">
        <f>Number_of_Phases*(Buck_CS_threshold/Rs-Iripple_Vinmax/2)</f>
        <v>22.711820757146537</v>
      </c>
      <c r="C99" t="s">
        <v>1</v>
      </c>
      <c r="D99" s="48"/>
      <c r="I99" s="57"/>
    </row>
    <row r="100" spans="1:12" x14ac:dyDescent="0.25">
      <c r="A100" s="209"/>
      <c r="B100" s="48"/>
      <c r="C100"/>
      <c r="D100" s="48"/>
      <c r="I100" s="57"/>
    </row>
    <row r="101" spans="1:12" x14ac:dyDescent="0.25">
      <c r="A101" s="209" t="s">
        <v>620</v>
      </c>
      <c r="B101" s="504">
        <f>SQRT((Iout_OCP_Vinmin/Number_of_Phases)^2+(Iripple_Vinmin^2)/12)</f>
        <v>23.908525786380903</v>
      </c>
      <c r="C101" t="s">
        <v>1</v>
      </c>
      <c r="D101" s="348"/>
      <c r="I101" s="57"/>
    </row>
    <row r="102" spans="1:12" x14ac:dyDescent="0.25">
      <c r="A102" s="209" t="s">
        <v>621</v>
      </c>
      <c r="B102" s="504">
        <f>SQRT((Iout_OCP_Vinnom/Number_of_Phases)^2+(Iripple_Vinnom^2)/12)</f>
        <v>23.420108756728531</v>
      </c>
      <c r="C102" t="s">
        <v>1</v>
      </c>
      <c r="D102" s="348"/>
      <c r="I102" s="57"/>
    </row>
    <row r="103" spans="1:12" x14ac:dyDescent="0.25">
      <c r="A103" s="209" t="s">
        <v>622</v>
      </c>
      <c r="B103" s="504">
        <f>SQRT((Iout_OCP_Vinmax/Number_of_Phases)^2+(Iripple_Vinmax^2)/12)</f>
        <v>23.098325790629769</v>
      </c>
      <c r="C103" t="s">
        <v>1</v>
      </c>
      <c r="D103" s="348"/>
      <c r="I103" s="57"/>
    </row>
    <row r="104" spans="1:12" x14ac:dyDescent="0.25">
      <c r="A104" s="209"/>
      <c r="B104" s="48"/>
      <c r="C104"/>
      <c r="D104" s="48"/>
      <c r="I104" s="57"/>
    </row>
    <row r="105" spans="1:12" x14ac:dyDescent="0.25">
      <c r="A105" s="209" t="s">
        <v>617</v>
      </c>
      <c r="B105" s="504">
        <f>B101^2*Rs</f>
        <v>1.143235210556081</v>
      </c>
      <c r="C105" s="113" t="s">
        <v>116</v>
      </c>
      <c r="D105" s="348"/>
      <c r="E105" s="113"/>
      <c r="F105" s="113" t="s">
        <v>623</v>
      </c>
      <c r="I105" s="57"/>
    </row>
    <row r="106" spans="1:12" x14ac:dyDescent="0.25">
      <c r="A106" s="209" t="s">
        <v>618</v>
      </c>
      <c r="B106" s="504">
        <f>B102^2*Rs</f>
        <v>1.0970029883539849</v>
      </c>
      <c r="C106" t="s">
        <v>116</v>
      </c>
      <c r="D106" s="348"/>
      <c r="I106" s="57"/>
    </row>
    <row r="107" spans="1:12" x14ac:dyDescent="0.25">
      <c r="A107" s="209" t="s">
        <v>619</v>
      </c>
      <c r="B107" s="504">
        <f>B103^2*Rs</f>
        <v>1.0670653086601447</v>
      </c>
      <c r="C107" t="s">
        <v>116</v>
      </c>
      <c r="D107" s="348"/>
      <c r="I107" s="57"/>
    </row>
    <row r="108" spans="1:12" ht="13.8" thickBot="1" x14ac:dyDescent="0.3">
      <c r="A108" s="60"/>
      <c r="B108" s="61"/>
      <c r="C108" s="61"/>
      <c r="D108" s="61"/>
      <c r="E108" s="117"/>
      <c r="F108" s="61"/>
      <c r="G108" s="61"/>
      <c r="H108" s="61"/>
      <c r="I108" s="62"/>
    </row>
    <row r="110" spans="1:12" ht="16.2" thickBot="1" x14ac:dyDescent="0.35">
      <c r="A110" s="518" t="s">
        <v>139</v>
      </c>
      <c r="D110" s="2"/>
    </row>
    <row r="111" spans="1:12" x14ac:dyDescent="0.25">
      <c r="A111" s="208" t="s">
        <v>307</v>
      </c>
      <c r="B111" s="553">
        <f>Iripple_Vinmin/SQRT(12)</f>
        <v>3.6815464723779341</v>
      </c>
      <c r="C111" s="302" t="s">
        <v>1</v>
      </c>
      <c r="D111" s="618"/>
      <c r="E111" s="302"/>
      <c r="F111" s="116" t="s">
        <v>306</v>
      </c>
      <c r="G111" s="63"/>
      <c r="H111" s="63"/>
      <c r="I111" s="64"/>
      <c r="L111" s="4"/>
    </row>
    <row r="112" spans="1:12" x14ac:dyDescent="0.25">
      <c r="A112" s="209" t="s">
        <v>308</v>
      </c>
      <c r="B112" s="504">
        <f>Iripple_Vinnom/SQRT(12)</f>
        <v>3.9973074139986013</v>
      </c>
      <c r="C112" s="113" t="s">
        <v>1</v>
      </c>
      <c r="D112" s="348"/>
      <c r="E112" s="113"/>
      <c r="F112" s="113"/>
      <c r="I112" s="57"/>
      <c r="L112" s="4"/>
    </row>
    <row r="113" spans="1:12" x14ac:dyDescent="0.25">
      <c r="A113" s="209" t="s">
        <v>309</v>
      </c>
      <c r="B113" s="504">
        <f>Iripple_Vinmax/SQRT(12)</f>
        <v>4.2078322477636902</v>
      </c>
      <c r="C113" s="113" t="s">
        <v>1</v>
      </c>
      <c r="D113" s="348"/>
      <c r="E113" s="113"/>
      <c r="F113" s="113"/>
      <c r="I113" s="57"/>
      <c r="L113" s="4"/>
    </row>
    <row r="114" spans="1:12" x14ac:dyDescent="0.25">
      <c r="A114" s="209" t="s">
        <v>538</v>
      </c>
      <c r="B114" s="504">
        <f>MAX(B111:B113)</f>
        <v>4.2078322477636902</v>
      </c>
      <c r="C114" s="113" t="s">
        <v>1</v>
      </c>
      <c r="D114" s="348"/>
      <c r="E114" s="113"/>
      <c r="F114" s="113"/>
      <c r="I114" s="57"/>
      <c r="L114" s="4"/>
    </row>
    <row r="115" spans="1:12" x14ac:dyDescent="0.25">
      <c r="A115" s="209"/>
      <c r="B115" s="48"/>
      <c r="C115" s="113"/>
      <c r="F115" s="113"/>
      <c r="I115" s="57"/>
      <c r="L115" s="4"/>
    </row>
    <row r="116" spans="1:12" x14ac:dyDescent="0.25">
      <c r="A116" s="209" t="s">
        <v>21</v>
      </c>
      <c r="B116" s="400">
        <f>'Design Regulator'!E33/1000</f>
        <v>0.05</v>
      </c>
      <c r="C116" t="s">
        <v>0</v>
      </c>
      <c r="F116" s="113" t="s">
        <v>419</v>
      </c>
      <c r="I116" s="57"/>
    </row>
    <row r="117" spans="1:12" x14ac:dyDescent="0.25">
      <c r="A117" s="209"/>
      <c r="B117" s="113"/>
      <c r="C117"/>
      <c r="F117" s="113"/>
      <c r="I117" s="57"/>
    </row>
    <row r="118" spans="1:12" x14ac:dyDescent="0.25">
      <c r="A118" s="209" t="s">
        <v>402</v>
      </c>
      <c r="B118" s="399">
        <f>Vo1_ripple*1000</f>
        <v>50</v>
      </c>
      <c r="C118" s="113" t="s">
        <v>281</v>
      </c>
      <c r="D118" s="299"/>
      <c r="E118" s="113"/>
      <c r="F118" s="113" t="s">
        <v>420</v>
      </c>
      <c r="I118" s="57"/>
      <c r="L118" s="4"/>
    </row>
    <row r="119" spans="1:12" x14ac:dyDescent="0.25">
      <c r="A119" s="56"/>
      <c r="B119" s="113"/>
      <c r="F119" s="113"/>
      <c r="I119" s="57"/>
    </row>
    <row r="120" spans="1:12" x14ac:dyDescent="0.25">
      <c r="A120" s="66" t="s">
        <v>22</v>
      </c>
      <c r="B120" s="409">
        <f>Iripple_Vinnom/(Fsw*8*Vo1_ripple)</f>
        <v>1.1539232557528896E-4</v>
      </c>
      <c r="C120" t="s">
        <v>24</v>
      </c>
      <c r="D120" s="507"/>
      <c r="F120" s="113" t="s">
        <v>709</v>
      </c>
      <c r="H120">
        <f>Vo2_ripple</f>
        <v>0</v>
      </c>
      <c r="I120" s="57">
        <v>1</v>
      </c>
      <c r="K120" s="1"/>
    </row>
    <row r="121" spans="1:12" x14ac:dyDescent="0.25">
      <c r="A121" s="209" t="s">
        <v>544</v>
      </c>
      <c r="B121" s="464">
        <f>IF(Cout_min*1000000&lt;2, 2.2,Cout_min*1000000)</f>
        <v>115.39232557528896</v>
      </c>
      <c r="C121" s="42" t="s">
        <v>23</v>
      </c>
      <c r="D121" s="619"/>
      <c r="E121" s="42"/>
      <c r="I121" s="57"/>
      <c r="K121" s="1"/>
    </row>
    <row r="122" spans="1:12" x14ac:dyDescent="0.25">
      <c r="A122" s="209" t="s">
        <v>25</v>
      </c>
      <c r="B122" s="410">
        <f>'Design Regulator'!E35/1000000</f>
        <v>2.0000000000000001E-4</v>
      </c>
      <c r="C122" t="s">
        <v>24</v>
      </c>
      <c r="D122" s="620"/>
      <c r="F122" s="113" t="s">
        <v>708</v>
      </c>
      <c r="I122" s="57">
        <v>1</v>
      </c>
    </row>
    <row r="123" spans="1:12" x14ac:dyDescent="0.25">
      <c r="A123" s="66" t="s">
        <v>48</v>
      </c>
      <c r="B123" s="465">
        <f>SQRT((Vo1_ripple/Iripple_Vinnom)^2-(1/(Fsw*Cout*8))^2)</f>
        <v>2.9492546733841021E-3</v>
      </c>
      <c r="C123" s="210" t="s">
        <v>116</v>
      </c>
      <c r="D123" s="621"/>
      <c r="E123" s="210"/>
      <c r="F123" s="113" t="s">
        <v>234</v>
      </c>
      <c r="I123" s="57">
        <v>1</v>
      </c>
    </row>
    <row r="124" spans="1:12" x14ac:dyDescent="0.25">
      <c r="A124" s="2"/>
      <c r="B124" s="507"/>
      <c r="C124" s="210"/>
      <c r="D124" s="507"/>
      <c r="E124" s="210"/>
      <c r="F124" s="113"/>
      <c r="I124" s="57"/>
    </row>
    <row r="125" spans="1:12" ht="13.8" x14ac:dyDescent="0.3">
      <c r="A125" s="462" t="s">
        <v>498</v>
      </c>
      <c r="B125" s="463">
        <f>IF(OR(CoutEsrMax&gt;0.3, CoutEsrMax&lt;0, (ISERROR(CoutEsrMax))), "N/A", CoutEsrMax*1000)</f>
        <v>2.9492546733841021</v>
      </c>
      <c r="C125" s="45" t="s">
        <v>305</v>
      </c>
      <c r="D125" s="622"/>
      <c r="E125" s="45"/>
      <c r="F125" s="113"/>
      <c r="I125" s="57"/>
    </row>
    <row r="126" spans="1:12" x14ac:dyDescent="0.25">
      <c r="A126" s="209" t="s">
        <v>137</v>
      </c>
      <c r="B126" s="400">
        <f>'Design Regulator'!E37/1000</f>
        <v>1E-3</v>
      </c>
      <c r="C126" s="210" t="s">
        <v>116</v>
      </c>
      <c r="D126" s="113"/>
      <c r="E126" s="210"/>
      <c r="F126" s="113" t="s">
        <v>235</v>
      </c>
      <c r="I126" s="57">
        <v>1</v>
      </c>
      <c r="K126" t="b">
        <f>ISERROR(CoutEsrMax)</f>
        <v>0</v>
      </c>
      <c r="L126" t="b">
        <f>ISERROR(B125)</f>
        <v>0</v>
      </c>
    </row>
    <row r="127" spans="1:12" ht="13.8" thickBot="1" x14ac:dyDescent="0.3">
      <c r="A127" s="368" t="s">
        <v>191</v>
      </c>
      <c r="B127" s="401">
        <f>Iripple_Vinnom*SQRT(Cout_ESR^2+(1/(8*Fsw*Cout))^2)</f>
        <v>3.1999271848726356E-2</v>
      </c>
      <c r="C127" s="104" t="s">
        <v>39</v>
      </c>
      <c r="D127" s="623"/>
      <c r="E127" s="104"/>
      <c r="F127" s="61"/>
      <c r="G127" s="61"/>
      <c r="H127" s="61"/>
      <c r="I127" s="62"/>
      <c r="L127" t="b">
        <f>OR(CoutEsrMax&gt;0.3,CoutEsrMax&lt;0)</f>
        <v>0</v>
      </c>
    </row>
    <row r="128" spans="1:12" x14ac:dyDescent="0.25">
      <c r="K128" t="b">
        <f>OR(TRUE, FALSE, TRUE)</f>
        <v>1</v>
      </c>
    </row>
    <row r="129" spans="1:16" ht="16.2" thickBot="1" x14ac:dyDescent="0.35">
      <c r="A129" s="518" t="s">
        <v>140</v>
      </c>
    </row>
    <row r="130" spans="1:16" ht="15.6" x14ac:dyDescent="0.3">
      <c r="A130" s="94"/>
      <c r="B130" s="95"/>
      <c r="C130" s="304"/>
      <c r="D130" s="95"/>
      <c r="E130" s="95"/>
      <c r="F130" s="95"/>
      <c r="G130" s="95"/>
      <c r="H130" s="95"/>
      <c r="I130" s="96"/>
      <c r="K130" s="2" t="s">
        <v>729</v>
      </c>
    </row>
    <row r="131" spans="1:16" x14ac:dyDescent="0.25">
      <c r="A131" s="209" t="s">
        <v>536</v>
      </c>
      <c r="B131" s="111">
        <f>SQRT(D1_Vinmin_2*(Iout^2*(1-D1_Vinmin_2)+Iripple_Vinmin^2/12))</f>
        <v>3.0545947425895128</v>
      </c>
      <c r="C131" s="92" t="s">
        <v>1</v>
      </c>
      <c r="D131" s="508">
        <f>D1_Vinmax</f>
        <v>0.2</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x14ac:dyDescent="0.25">
      <c r="A132" s="209" t="s">
        <v>537</v>
      </c>
      <c r="B132" s="111">
        <f>SQRT(D1_Vinnom_2*(Iout^2*(1-D1_Vinnom_2)+Iripple_Vinnom^2/12))</f>
        <v>2.8998913701480449</v>
      </c>
      <c r="C132" s="92" t="s">
        <v>1</v>
      </c>
      <c r="D132" s="508">
        <f>D1_Vinmin</f>
        <v>0.3</v>
      </c>
      <c r="E132" s="92"/>
      <c r="G132" s="348"/>
      <c r="I132" s="98"/>
      <c r="K132" s="296" t="e">
        <f>SQRT(Iout^2*D1_Vinnom*(1-D1_Vinnom)+Iout2^2*D2_Vinnom*(1-D2_Vinnom)-2*Iout*Iout2*D1_Vinnom*D2_Vinnom)</f>
        <v>#NAME?</v>
      </c>
      <c r="L132" s="92" t="s">
        <v>1</v>
      </c>
    </row>
    <row r="133" spans="1:16" x14ac:dyDescent="0.25">
      <c r="A133" s="209" t="s">
        <v>728</v>
      </c>
      <c r="B133" s="111">
        <f>SQRT(D1_Vinmax_2*(Iout^2*(1-D1_Vinmax_2)+Iripple_Vinmax^2/12))</f>
        <v>2.7486475950658193</v>
      </c>
      <c r="C133" s="92" t="s">
        <v>1</v>
      </c>
      <c r="D133" s="508"/>
      <c r="E133" s="92"/>
      <c r="G133" s="348"/>
      <c r="I133" s="98"/>
      <c r="K133" s="296" t="e">
        <f>SQRT(Iout^2*D1_Vinmax*(1-D1_Vinmax)+Iout2^2*D2_Vinmax*(1-D2_Vinmax)-2*Iout*Iout2*D1_Vinmax*D2_Vinmax)</f>
        <v>#NAME?</v>
      </c>
      <c r="L133" s="92" t="s">
        <v>1</v>
      </c>
    </row>
    <row r="134" spans="1:16" x14ac:dyDescent="0.25">
      <c r="A134" s="113" t="s">
        <v>733</v>
      </c>
      <c r="B134" s="296">
        <f>Iout*SQRT((D1_Vinmin-F136/Number_of_Phases)*((F136+1)/Number_of_Phases-D1_Vinmin))</f>
        <v>2.2912878474779199</v>
      </c>
      <c r="C134" t="s">
        <v>1</v>
      </c>
      <c r="I134" s="98"/>
      <c r="K134" s="596" t="e">
        <f>MAX(K131:K133)</f>
        <v>#NAME?</v>
      </c>
      <c r="L134" s="42" t="s">
        <v>1</v>
      </c>
    </row>
    <row r="135" spans="1:16" x14ac:dyDescent="0.25">
      <c r="A135" s="209" t="s">
        <v>542</v>
      </c>
      <c r="B135" s="111">
        <f>MAX(B131:B133)</f>
        <v>3.0545947425895128</v>
      </c>
      <c r="C135" s="42" t="s">
        <v>1</v>
      </c>
      <c r="D135" s="2"/>
      <c r="F135">
        <f>Number_of_Phases*D1_Vinnom</f>
        <v>0.24</v>
      </c>
      <c r="G135" t="s">
        <v>731</v>
      </c>
      <c r="I135" s="98"/>
      <c r="K135" s="596"/>
      <c r="L135" s="42"/>
      <c r="P135" s="4"/>
    </row>
    <row r="136" spans="1:16" x14ac:dyDescent="0.25">
      <c r="D136" s="2"/>
      <c r="F136">
        <f>FLOOR(Number_of_Phases*D1_Vinnom,1)</f>
        <v>0</v>
      </c>
      <c r="G136" t="s">
        <v>732</v>
      </c>
      <c r="I136" s="98"/>
      <c r="K136" s="596"/>
      <c r="L136" s="42"/>
      <c r="P136" s="4"/>
    </row>
    <row r="137" spans="1:16" x14ac:dyDescent="0.25">
      <c r="A137" s="113" t="s">
        <v>735</v>
      </c>
      <c r="B137">
        <f>Iout/2/Number_of_Phases</f>
        <v>2.5</v>
      </c>
      <c r="C137" s="113" t="s">
        <v>1</v>
      </c>
      <c r="I137" s="98"/>
      <c r="K137" s="596"/>
      <c r="L137" s="42"/>
      <c r="P137" s="4"/>
    </row>
    <row r="138" spans="1:16" x14ac:dyDescent="0.25">
      <c r="A138" s="113" t="s">
        <v>734</v>
      </c>
      <c r="B138" s="598">
        <f>IF(D1_Vinmin&lt;0.5, B135, B137)</f>
        <v>3.0545947425895128</v>
      </c>
      <c r="C138" s="42" t="s">
        <v>1</v>
      </c>
      <c r="D138" s="2" t="s">
        <v>565</v>
      </c>
      <c r="I138" s="98"/>
      <c r="K138" s="596"/>
      <c r="L138" s="42"/>
      <c r="P138" s="4"/>
    </row>
    <row r="139" spans="1:16" x14ac:dyDescent="0.25">
      <c r="A139" s="113"/>
      <c r="B139" s="597"/>
      <c r="C139" s="42"/>
      <c r="D139" s="2"/>
      <c r="I139" s="98"/>
      <c r="K139" s="596"/>
      <c r="L139" s="42"/>
      <c r="P139" s="4"/>
    </row>
    <row r="140" spans="1:16" x14ac:dyDescent="0.25">
      <c r="A140" s="97" t="s">
        <v>217</v>
      </c>
      <c r="B140" s="305">
        <f>'Design Regulator'!E42/1000</f>
        <v>0.4</v>
      </c>
      <c r="C140" t="s">
        <v>39</v>
      </c>
      <c r="F140" s="113" t="s">
        <v>543</v>
      </c>
      <c r="I140" s="98"/>
    </row>
    <row r="141" spans="1:16" x14ac:dyDescent="0.25">
      <c r="C141"/>
      <c r="F141" s="113"/>
      <c r="I141" s="98"/>
    </row>
    <row r="142" spans="1:16" x14ac:dyDescent="0.25">
      <c r="A142" s="462" t="s">
        <v>909</v>
      </c>
      <c r="B142" s="515">
        <f>Iout/Number_of_Phases*D1_Vinmin*(1-D1_Vinmin)/(Vinripple1*Fsw)</f>
        <v>8.7499999999999992E-6</v>
      </c>
      <c r="C142" s="42" t="s">
        <v>24</v>
      </c>
      <c r="G142" s="348"/>
      <c r="I142" s="98"/>
    </row>
    <row r="143" spans="1:16" x14ac:dyDescent="0.25">
      <c r="A143" s="462" t="s">
        <v>911</v>
      </c>
      <c r="B143" s="515">
        <f>Iout/Number_of_Phases*D1_Vinnom*(1-D1_Vinnom)/(Vinripple1*Fsw)</f>
        <v>7.5999999999999992E-6</v>
      </c>
      <c r="C143" s="42" t="s">
        <v>24</v>
      </c>
      <c r="G143" s="348"/>
      <c r="I143" s="98"/>
    </row>
    <row r="144" spans="1:16" x14ac:dyDescent="0.25">
      <c r="A144" s="462" t="s">
        <v>552</v>
      </c>
      <c r="B144" s="515">
        <f>Iout/Number_of_Phases*D1_Vinmax*(1-D1_Vinmax)/(Vinripple1*Fsw)</f>
        <v>6.6666666666666666E-6</v>
      </c>
      <c r="C144" s="92" t="s">
        <v>24</v>
      </c>
      <c r="F144" s="113" t="s">
        <v>560</v>
      </c>
      <c r="I144" s="98"/>
      <c r="K144" s="8"/>
    </row>
    <row r="145" spans="1:11" x14ac:dyDescent="0.25">
      <c r="F145" s="113"/>
      <c r="I145" s="98"/>
      <c r="K145" s="8"/>
    </row>
    <row r="146" spans="1:11" x14ac:dyDescent="0.25">
      <c r="A146" s="462" t="s">
        <v>556</v>
      </c>
      <c r="B146" s="516">
        <f>Iout*0.5*(1-0.5)/(Vinripple1*Fsw)</f>
        <v>1.0416666666666666E-5</v>
      </c>
      <c r="C146" s="42" t="s">
        <v>24</v>
      </c>
      <c r="F146" s="113" t="s">
        <v>553</v>
      </c>
      <c r="G146" s="30"/>
      <c r="I146" s="98"/>
      <c r="K146" s="8"/>
    </row>
    <row r="147" spans="1:11" x14ac:dyDescent="0.25">
      <c r="A147" s="462" t="s">
        <v>216</v>
      </c>
      <c r="B147" s="30">
        <f>IF(VIN_min&gt;2*Vout, B142,B146)</f>
        <v>8.7499999999999992E-6</v>
      </c>
      <c r="C147" s="42" t="s">
        <v>24</v>
      </c>
      <c r="D147">
        <f>(VIN_min+VIN_max)/2</f>
        <v>50</v>
      </c>
      <c r="G147" s="30"/>
      <c r="I147" s="98"/>
      <c r="K147" s="8"/>
    </row>
    <row r="148" spans="1:11" x14ac:dyDescent="0.25">
      <c r="A148" s="462" t="s">
        <v>497</v>
      </c>
      <c r="B148" s="594">
        <f>IF(Cinmin*1000000&lt;2.2, 2.2,Cinmin*1000000)</f>
        <v>8.75</v>
      </c>
      <c r="C148" s="42" t="s">
        <v>23</v>
      </c>
      <c r="D148">
        <f>2*Vout</f>
        <v>24</v>
      </c>
      <c r="F148" s="113" t="s">
        <v>565</v>
      </c>
      <c r="I148" s="98"/>
    </row>
    <row r="149" spans="1:11" x14ac:dyDescent="0.25">
      <c r="A149" s="462"/>
      <c r="B149" s="42"/>
      <c r="C149" s="42"/>
      <c r="F149" s="113"/>
      <c r="I149" s="98"/>
    </row>
    <row r="150" spans="1:11" x14ac:dyDescent="0.25">
      <c r="A150" s="99" t="s">
        <v>57</v>
      </c>
      <c r="B150" s="411">
        <f>'Design Regulator'!E44/1000000</f>
        <v>3.0000000000000001E-5</v>
      </c>
      <c r="C150" s="92" t="s">
        <v>24</v>
      </c>
      <c r="F150" t="s">
        <v>146</v>
      </c>
      <c r="I150" s="98"/>
    </row>
    <row r="151" spans="1:11" x14ac:dyDescent="0.25">
      <c r="A151" s="462" t="s">
        <v>943</v>
      </c>
      <c r="B151" s="297">
        <f>-(Iout/Number_of_Phases*D1_Vinmin*(1-D1_Vinmin)/(Cin*Fsw)-Vinripple1)/(Iout/Number_of_Phases+Iripple_Vinmin/2)</f>
        <v>2.4904865886864302E-2</v>
      </c>
      <c r="C151" s="210" t="s">
        <v>116</v>
      </c>
      <c r="I151" s="98"/>
    </row>
    <row r="152" spans="1:11" x14ac:dyDescent="0.25">
      <c r="A152" s="462" t="s">
        <v>554</v>
      </c>
      <c r="B152" s="297">
        <f>-(Iout/Number_of_Phases*D1_Vinmax*(1-D1_Vinmax)/(Cin*Fsw)-Vinripple1)/(Iout/Number_of_Phases+Iripple_Vinmax/2)</f>
        <v>2.5317917729109182E-2</v>
      </c>
      <c r="C152" s="210" t="s">
        <v>116</v>
      </c>
      <c r="I152" s="98"/>
    </row>
    <row r="153" spans="1:11" x14ac:dyDescent="0.25">
      <c r="A153" s="462" t="s">
        <v>555</v>
      </c>
      <c r="B153" s="297">
        <f>-(Iout/Number_of_Phases*0.5*(1-0.5)/(Cin*Fsw)-Vinripple1)/(Iout/Number_of_Phases+Iripple_Vinmax/2)</f>
        <v>2.1248966665502349E-2</v>
      </c>
      <c r="C153" s="210" t="s">
        <v>116</v>
      </c>
      <c r="F153" s="113" t="s">
        <v>561</v>
      </c>
      <c r="I153" s="98"/>
    </row>
    <row r="154" spans="1:11" x14ac:dyDescent="0.25">
      <c r="A154" s="462" t="s">
        <v>218</v>
      </c>
      <c r="B154" s="297">
        <f>IF(VIN_min&gt;2*Vout, B151,B153)</f>
        <v>2.4904865886864302E-2</v>
      </c>
      <c r="C154" s="210" t="s">
        <v>116</v>
      </c>
      <c r="I154" s="98"/>
    </row>
    <row r="155" spans="1:11" ht="13.8" x14ac:dyDescent="0.3">
      <c r="A155" s="462" t="s">
        <v>499</v>
      </c>
      <c r="B155" s="506">
        <f>IF(OR(CinEsrMax&gt;0.3, CinEsrMax&lt;0), "N/A",CinEsrMax*1000)</f>
        <v>24.904865886864304</v>
      </c>
      <c r="C155" s="45" t="s">
        <v>305</v>
      </c>
      <c r="F155" t="s">
        <v>565</v>
      </c>
      <c r="I155" s="98"/>
    </row>
    <row r="156" spans="1:11" x14ac:dyDescent="0.25">
      <c r="A156" s="99" t="s">
        <v>86</v>
      </c>
      <c r="B156" s="93">
        <f>'Design Regulator'!E46/1000</f>
        <v>1E-3</v>
      </c>
      <c r="C156" s="210" t="s">
        <v>116</v>
      </c>
      <c r="F156" s="113" t="s">
        <v>236</v>
      </c>
      <c r="I156" s="98"/>
    </row>
    <row r="157" spans="1:11" x14ac:dyDescent="0.25">
      <c r="F157" s="113"/>
      <c r="I157" s="98"/>
      <c r="K157" s="300"/>
    </row>
    <row r="158" spans="1:11" x14ac:dyDescent="0.25">
      <c r="A158" s="462" t="s">
        <v>910</v>
      </c>
      <c r="B158" s="380">
        <f>Iout/Number_of_Phases*D1_Vinmin_2*(1-D1_Vinmin_2)/(Cin*Fsw)+(Iout/Number_of_Phases +Iripple_Vinmin/2)*RCinEsr</f>
        <v>0.12817916098312149</v>
      </c>
      <c r="C158" s="92" t="s">
        <v>39</v>
      </c>
      <c r="F158" s="113"/>
      <c r="I158" s="98"/>
      <c r="K158" s="300"/>
    </row>
    <row r="159" spans="1:11" x14ac:dyDescent="0.25">
      <c r="A159" s="462" t="s">
        <v>912</v>
      </c>
      <c r="B159" s="380">
        <f>Iout/Number_of_Phases*D1_Vinnom_2*(1-D1_Vinnom_2)/(Cin*Fsw)+(Iout/Number_of_Phases +Iripple_Vinnom/2)*RCinEsr</f>
        <v>0.11340172614519005</v>
      </c>
      <c r="C159" s="92" t="s">
        <v>39</v>
      </c>
      <c r="I159" s="98"/>
    </row>
    <row r="160" spans="1:11" x14ac:dyDescent="0.25">
      <c r="A160" s="462" t="s">
        <v>557</v>
      </c>
      <c r="B160" s="380">
        <f>Iout/Number_of_Phases*D1_Vinmax_2*(1-D1_Vinmax_2)/(Cin*Fsw)+(Iout/Number_of_Phases +Iripple_Vinmax/2)*RCinEsr</f>
        <v>0.10131861087745092</v>
      </c>
      <c r="C160" s="92" t="s">
        <v>39</v>
      </c>
      <c r="I160" s="98"/>
    </row>
    <row r="161" spans="1:9" x14ac:dyDescent="0.25">
      <c r="A161" s="462" t="s">
        <v>558</v>
      </c>
      <c r="B161" s="380">
        <f>Iout/Number_of_Phases*0.5*(1-0.5)/(Cin*Fsw)+(Iout/Number_of_Phases +Iripple_Vinmax/2)*RCinEsr</f>
        <v>0.15117706813174236</v>
      </c>
      <c r="C161" s="92" t="s">
        <v>39</v>
      </c>
      <c r="F161" s="113" t="s">
        <v>559</v>
      </c>
      <c r="I161" s="98"/>
    </row>
    <row r="162" spans="1:9" x14ac:dyDescent="0.25">
      <c r="A162" s="462" t="s">
        <v>219</v>
      </c>
      <c r="B162" s="380">
        <f>IF(D1_Vinmin&lt;0.5, B158,B161)</f>
        <v>0.12817916098312149</v>
      </c>
      <c r="C162" s="92" t="s">
        <v>39</v>
      </c>
      <c r="F162" s="113" t="s">
        <v>564</v>
      </c>
      <c r="I162" s="98"/>
    </row>
    <row r="163" spans="1:9" x14ac:dyDescent="0.25">
      <c r="A163" s="99"/>
      <c r="B163" s="517"/>
      <c r="C163" s="92"/>
      <c r="I163" s="98"/>
    </row>
    <row r="164" spans="1:9" ht="13.8" thickBot="1" x14ac:dyDescent="0.3">
      <c r="A164" s="100"/>
      <c r="B164" s="381">
        <f>Iout*D1_Vinmin_2*(1-D1_Vinmin_2)/(Cin*Fsw)</f>
        <v>0.11680253544253692</v>
      </c>
      <c r="C164" s="306" t="s">
        <v>39</v>
      </c>
      <c r="D164" s="101"/>
      <c r="E164" s="102"/>
      <c r="F164" s="102"/>
      <c r="G164" s="102"/>
      <c r="H164" s="102"/>
      <c r="I164" s="103"/>
    </row>
    <row r="166" spans="1:9" ht="16.2" thickBot="1" x14ac:dyDescent="0.35">
      <c r="A166" s="509" t="s">
        <v>563</v>
      </c>
    </row>
    <row r="167" spans="1:9" x14ac:dyDescent="0.25">
      <c r="A167" s="89" t="s">
        <v>148</v>
      </c>
      <c r="B167" s="12">
        <f>'Design Regulator'!E51/1000</f>
        <v>0</v>
      </c>
      <c r="C167" s="63" t="s">
        <v>133</v>
      </c>
      <c r="D167" s="116" t="s">
        <v>422</v>
      </c>
      <c r="E167" s="63"/>
      <c r="F167" s="63"/>
      <c r="G167" s="63"/>
      <c r="H167" s="63"/>
      <c r="I167" s="64"/>
    </row>
    <row r="168" spans="1:9" x14ac:dyDescent="0.25">
      <c r="A168" s="56" t="s">
        <v>149</v>
      </c>
      <c r="B168" s="68" t="e">
        <f>Cout*Vout/Tss</f>
        <v>#DIV/0!</v>
      </c>
      <c r="C168" t="s">
        <v>1</v>
      </c>
      <c r="D168" s="113" t="s">
        <v>421</v>
      </c>
      <c r="I168" s="57"/>
    </row>
    <row r="169" spans="1:9" x14ac:dyDescent="0.25">
      <c r="A169" s="56" t="s">
        <v>150</v>
      </c>
      <c r="B169" s="412">
        <f>0.000022*Tss/1.2</f>
        <v>0</v>
      </c>
      <c r="C169" t="s">
        <v>24</v>
      </c>
      <c r="I169" s="57"/>
    </row>
    <row r="170" spans="1:9" ht="13.8" thickBot="1" x14ac:dyDescent="0.3">
      <c r="A170" s="60" t="s">
        <v>161</v>
      </c>
      <c r="B170" s="413">
        <f>'Standard Value Calculator'!B4</f>
        <v>0</v>
      </c>
      <c r="C170" s="61" t="s">
        <v>24</v>
      </c>
      <c r="D170" s="61"/>
      <c r="E170" s="61"/>
      <c r="F170" s="61"/>
      <c r="G170" s="61"/>
      <c r="H170" s="61"/>
      <c r="I170" s="62"/>
    </row>
    <row r="172" spans="1:9" ht="16.2" thickBot="1" x14ac:dyDescent="0.35">
      <c r="A172" s="509" t="s">
        <v>628</v>
      </c>
    </row>
    <row r="173" spans="1:9" ht="12.75" customHeight="1" x14ac:dyDescent="0.25">
      <c r="A173" s="208" t="s">
        <v>629</v>
      </c>
      <c r="B173" s="555">
        <f>'Design Regulator'!E54/1000</f>
        <v>0.02</v>
      </c>
      <c r="C173" s="63" t="s">
        <v>133</v>
      </c>
      <c r="D173" s="116" t="s">
        <v>633</v>
      </c>
      <c r="E173" s="63"/>
      <c r="F173" s="63"/>
      <c r="G173" s="63"/>
      <c r="H173" s="63"/>
      <c r="I173" s="64"/>
    </row>
    <row r="174" spans="1:9" ht="12.75" customHeight="1" x14ac:dyDescent="0.25">
      <c r="A174" s="209" t="s">
        <v>630</v>
      </c>
      <c r="B174" s="412">
        <f>0.00002*Tres/1.2</f>
        <v>3.3333333333333335E-7</v>
      </c>
      <c r="C174" t="s">
        <v>24</v>
      </c>
      <c r="I174" s="57"/>
    </row>
    <row r="175" spans="1:9" ht="12.75" customHeight="1" x14ac:dyDescent="0.3">
      <c r="A175" s="209" t="s">
        <v>631</v>
      </c>
      <c r="B175" s="556">
        <f>'Standard Value Calculator'!G4</f>
        <v>3.3000000000000002E-7</v>
      </c>
      <c r="C175" t="s">
        <v>24</v>
      </c>
      <c r="F175" s="45"/>
      <c r="G175" s="44"/>
      <c r="H175" s="44"/>
      <c r="I175" s="57"/>
    </row>
    <row r="176" spans="1:9" ht="12.75" customHeight="1" x14ac:dyDescent="0.25">
      <c r="B176" s="44"/>
      <c r="C176"/>
      <c r="I176" s="57"/>
    </row>
    <row r="177" spans="1:9" ht="12.75" customHeight="1" x14ac:dyDescent="0.35">
      <c r="A177" s="209" t="s">
        <v>632</v>
      </c>
      <c r="B177" s="44">
        <v>100</v>
      </c>
      <c r="C177" s="45" t="s">
        <v>237</v>
      </c>
      <c r="I177" s="57"/>
    </row>
    <row r="178" spans="1:9" ht="12.75" customHeight="1" x14ac:dyDescent="0.35">
      <c r="A178" s="209" t="s">
        <v>637</v>
      </c>
      <c r="B178" s="44"/>
      <c r="C178" s="210" t="s">
        <v>116</v>
      </c>
      <c r="E178" s="113" t="s">
        <v>638</v>
      </c>
      <c r="I178" s="57"/>
    </row>
    <row r="179" spans="1:9" ht="12.75" customHeight="1" x14ac:dyDescent="0.25">
      <c r="A179" s="538" t="s">
        <v>635</v>
      </c>
      <c r="B179" s="44"/>
      <c r="C179" s="210" t="s">
        <v>116</v>
      </c>
      <c r="D179" s="366"/>
      <c r="E179" s="113" t="s">
        <v>636</v>
      </c>
      <c r="I179" s="57"/>
    </row>
    <row r="180" spans="1:9" ht="12.75" customHeight="1" x14ac:dyDescent="0.25">
      <c r="A180" s="538" t="s">
        <v>634</v>
      </c>
      <c r="B180" s="44"/>
      <c r="C180" s="210" t="s">
        <v>116</v>
      </c>
      <c r="D180" s="366"/>
      <c r="E180" s="113" t="s">
        <v>593</v>
      </c>
      <c r="I180" s="57"/>
    </row>
    <row r="181" spans="1:9" ht="12.75" customHeight="1" x14ac:dyDescent="0.25">
      <c r="A181" s="696"/>
      <c r="B181" s="44"/>
      <c r="C181" s="210"/>
      <c r="D181" s="366"/>
      <c r="E181" s="113"/>
      <c r="I181" s="57"/>
    </row>
    <row r="182" spans="1:9" ht="12.75" customHeight="1" x14ac:dyDescent="0.25">
      <c r="A182" s="696" t="s">
        <v>859</v>
      </c>
      <c r="B182" s="697">
        <v>1.0000000000000001E-5</v>
      </c>
      <c r="C182" s="210" t="s">
        <v>1</v>
      </c>
      <c r="D182" s="366"/>
      <c r="E182" s="113" t="s">
        <v>860</v>
      </c>
      <c r="I182" s="57"/>
    </row>
    <row r="183" spans="1:9" x14ac:dyDescent="0.25">
      <c r="A183" s="696" t="s">
        <v>861</v>
      </c>
      <c r="B183" s="698">
        <f>'Design Regulator'!E53</f>
        <v>22</v>
      </c>
      <c r="C183" s="210"/>
      <c r="D183" s="366"/>
      <c r="E183" s="113"/>
      <c r="I183" s="57"/>
    </row>
    <row r="184" spans="1:9" ht="12.75" customHeight="1" x14ac:dyDescent="0.25">
      <c r="A184" s="696" t="s">
        <v>862</v>
      </c>
      <c r="B184" s="698">
        <f>'Design Regulator'!E53-'Design Regulator'!E54</f>
        <v>2</v>
      </c>
      <c r="C184" s="210"/>
      <c r="D184" s="366"/>
      <c r="E184" s="113"/>
      <c r="I184" s="57"/>
    </row>
    <row r="185" spans="1:9" ht="12.75" customHeight="1" x14ac:dyDescent="0.25">
      <c r="A185" s="696"/>
      <c r="B185" s="44"/>
      <c r="C185" s="210"/>
      <c r="D185" s="366"/>
      <c r="E185" s="113"/>
      <c r="I185" s="57"/>
    </row>
    <row r="186" spans="1:9" ht="12.75" customHeight="1" x14ac:dyDescent="0.25">
      <c r="A186" s="696" t="s">
        <v>863</v>
      </c>
      <c r="B186" s="596">
        <f>B184/B182</f>
        <v>199999.99999999997</v>
      </c>
      <c r="C186" s="210" t="s">
        <v>116</v>
      </c>
      <c r="D186" s="366"/>
      <c r="E186" s="113"/>
      <c r="I186" s="57"/>
    </row>
    <row r="187" spans="1:9" ht="12.75" customHeight="1" x14ac:dyDescent="0.25">
      <c r="A187" s="696" t="s">
        <v>864</v>
      </c>
      <c r="B187" s="44">
        <f>B186/(B183-1)</f>
        <v>9523.8095238095229</v>
      </c>
      <c r="C187" s="210" t="s">
        <v>116</v>
      </c>
      <c r="D187" s="366"/>
      <c r="E187" s="113"/>
      <c r="I187" s="57"/>
    </row>
    <row r="188" spans="1:9" ht="12.75" customHeight="1" x14ac:dyDescent="0.3">
      <c r="A188" s="696" t="s">
        <v>865</v>
      </c>
      <c r="B188" s="44">
        <f>'Standard Value Calculator'!S40</f>
        <v>200</v>
      </c>
      <c r="C188" s="45" t="s">
        <v>237</v>
      </c>
      <c r="D188" s="366"/>
      <c r="E188" s="113"/>
      <c r="I188" s="57"/>
    </row>
    <row r="189" spans="1:9" ht="12.75" customHeight="1" x14ac:dyDescent="0.3">
      <c r="A189" s="696" t="s">
        <v>866</v>
      </c>
      <c r="B189" s="44">
        <f>'Standard Value Calculator'!S41</f>
        <v>9.5299999999999994</v>
      </c>
      <c r="C189" s="45" t="s">
        <v>237</v>
      </c>
      <c r="D189" s="366"/>
      <c r="E189" s="113"/>
      <c r="I189" s="57"/>
    </row>
    <row r="190" spans="1:9" ht="12.75" customHeight="1" x14ac:dyDescent="0.25">
      <c r="A190" s="209"/>
      <c r="B190" s="44"/>
      <c r="C190" s="210"/>
      <c r="I190" s="57"/>
    </row>
    <row r="191" spans="1:9" ht="12.75" customHeight="1" x14ac:dyDescent="0.25">
      <c r="A191" s="209" t="s">
        <v>529</v>
      </c>
      <c r="B191" s="379">
        <f>'Design Regulator'!E57*1000</f>
        <v>41200</v>
      </c>
      <c r="C191" s="113" t="s">
        <v>9</v>
      </c>
      <c r="I191" s="57"/>
    </row>
    <row r="192" spans="1:9" ht="12.75" customHeight="1" x14ac:dyDescent="0.25">
      <c r="A192" s="209" t="s">
        <v>311</v>
      </c>
      <c r="B192" s="378">
        <f>10*10^-6/Fdither/0.12</f>
        <v>2.0226537216828479E-9</v>
      </c>
      <c r="C192" s="113" t="s">
        <v>24</v>
      </c>
      <c r="I192" s="57"/>
    </row>
    <row r="193" spans="1:9" ht="12.75" customHeight="1" x14ac:dyDescent="0.25">
      <c r="A193" s="209" t="s">
        <v>312</v>
      </c>
      <c r="B193" s="378">
        <f>'Standard Value Calculator'!S21</f>
        <v>2.1999999999999998E-9</v>
      </c>
      <c r="C193" s="113" t="s">
        <v>24</v>
      </c>
      <c r="I193" s="57"/>
    </row>
    <row r="194" spans="1:9" ht="12.75" customHeight="1" thickBot="1" x14ac:dyDescent="0.3">
      <c r="A194" s="60"/>
      <c r="B194" s="70"/>
      <c r="C194" s="286"/>
      <c r="D194" s="61"/>
      <c r="E194" s="61"/>
      <c r="F194" s="61"/>
      <c r="G194" s="61"/>
      <c r="H194" s="61"/>
      <c r="I194" s="62"/>
    </row>
    <row r="195" spans="1:9" x14ac:dyDescent="0.25">
      <c r="B195" s="44"/>
      <c r="C195" s="287"/>
    </row>
    <row r="196" spans="1:9" ht="16.2" thickBot="1" x14ac:dyDescent="0.35">
      <c r="A196" s="509" t="s">
        <v>562</v>
      </c>
    </row>
    <row r="197" spans="1:9" x14ac:dyDescent="0.25">
      <c r="A197" s="361" t="s">
        <v>38</v>
      </c>
      <c r="B197" s="362">
        <v>3.1415926500000002</v>
      </c>
      <c r="C197" s="363"/>
      <c r="D197" s="364" t="s">
        <v>364</v>
      </c>
      <c r="E197" s="63"/>
      <c r="F197" s="63"/>
      <c r="G197" s="63"/>
      <c r="H197" s="63"/>
      <c r="I197" s="64"/>
    </row>
    <row r="198" spans="1:9" x14ac:dyDescent="0.25">
      <c r="A198" s="113" t="s">
        <v>374</v>
      </c>
      <c r="B198" s="113">
        <v>10</v>
      </c>
      <c r="C198" s="46"/>
      <c r="D198" s="210"/>
      <c r="I198" s="57"/>
    </row>
    <row r="199" spans="1:9" x14ac:dyDescent="0.25">
      <c r="A199" s="113" t="s">
        <v>353</v>
      </c>
      <c r="B199">
        <f>Rs*CSAmp_gain</f>
        <v>0.02</v>
      </c>
      <c r="C199" s="210" t="s">
        <v>116</v>
      </c>
      <c r="E199" s="210"/>
      <c r="F199" s="113" t="s">
        <v>369</v>
      </c>
      <c r="I199" s="57"/>
    </row>
    <row r="200" spans="1:9" x14ac:dyDescent="0.25">
      <c r="A200" s="113" t="s">
        <v>334</v>
      </c>
      <c r="B200" s="557">
        <f>IF(COMP_TYPE=1,0.00003,0.0012)</f>
        <v>1.1999999999999999E-3</v>
      </c>
      <c r="C200" s="113" t="s">
        <v>66</v>
      </c>
      <c r="F200" s="113" t="s">
        <v>354</v>
      </c>
      <c r="I200" s="57"/>
    </row>
    <row r="201" spans="1:9" x14ac:dyDescent="0.25">
      <c r="A201" s="113"/>
      <c r="B201" s="113"/>
      <c r="C201" s="113"/>
      <c r="F201" s="113"/>
      <c r="I201" s="57"/>
    </row>
    <row r="202" spans="1:9" x14ac:dyDescent="0.25">
      <c r="A202" s="113" t="s">
        <v>438</v>
      </c>
      <c r="B202" s="539">
        <f>B206/Ri*1000</f>
        <v>3409090.9090909087</v>
      </c>
      <c r="C202" s="477" t="s">
        <v>355</v>
      </c>
      <c r="D202" s="539"/>
      <c r="E202" s="477"/>
      <c r="F202" s="477" t="s">
        <v>375</v>
      </c>
      <c r="H202" s="4"/>
      <c r="I202" s="57"/>
    </row>
    <row r="203" spans="1:9" x14ac:dyDescent="0.25">
      <c r="A203" s="113" t="s">
        <v>356</v>
      </c>
      <c r="B203" s="539">
        <f>(Vin-Vout)/Lf</f>
        <v>17272727.272727273</v>
      </c>
      <c r="C203" s="477" t="s">
        <v>355</v>
      </c>
      <c r="D203" s="539"/>
      <c r="E203" s="477"/>
      <c r="F203" s="477" t="s">
        <v>357</v>
      </c>
      <c r="H203" s="4"/>
      <c r="I203" s="57"/>
    </row>
    <row r="204" spans="1:9" x14ac:dyDescent="0.25">
      <c r="A204" s="113" t="s">
        <v>373</v>
      </c>
      <c r="B204" s="539">
        <f>Vout/Lf</f>
        <v>5454545.4545454541</v>
      </c>
      <c r="C204" s="477" t="s">
        <v>355</v>
      </c>
      <c r="D204" s="539"/>
      <c r="E204" s="477"/>
      <c r="F204" s="477" t="s">
        <v>372</v>
      </c>
      <c r="H204" s="4"/>
      <c r="I204" s="57"/>
    </row>
    <row r="205" spans="1:9" x14ac:dyDescent="0.25">
      <c r="A205" s="113"/>
      <c r="B205" s="365"/>
      <c r="C205" s="350"/>
      <c r="F205" s="350"/>
      <c r="I205" s="57"/>
    </row>
    <row r="206" spans="1:9" x14ac:dyDescent="0.25">
      <c r="A206" s="113" t="s">
        <v>376</v>
      </c>
      <c r="B206" s="373">
        <f>Fsw*0.001*(5/22)</f>
        <v>68.181818181818173</v>
      </c>
      <c r="C206" s="374" t="s">
        <v>412</v>
      </c>
      <c r="D206" s="373"/>
      <c r="E206" s="374"/>
      <c r="F206" s="374" t="s">
        <v>384</v>
      </c>
      <c r="I206" s="57"/>
    </row>
    <row r="207" spans="1:9" x14ac:dyDescent="0.25">
      <c r="A207" s="113" t="s">
        <v>382</v>
      </c>
      <c r="B207" s="373">
        <f>Sn*Ri/1000</f>
        <v>345.4545454545455</v>
      </c>
      <c r="C207" s="374" t="s">
        <v>412</v>
      </c>
      <c r="D207" s="373"/>
      <c r="E207" s="374"/>
      <c r="F207" s="374" t="s">
        <v>385</v>
      </c>
      <c r="I207" s="57"/>
    </row>
    <row r="208" spans="1:9" x14ac:dyDescent="0.25">
      <c r="A208" s="113" t="s">
        <v>383</v>
      </c>
      <c r="B208" s="373">
        <f>Sf*Ri/1000</f>
        <v>109.09090909090909</v>
      </c>
      <c r="C208" s="374" t="s">
        <v>412</v>
      </c>
      <c r="D208" s="373"/>
      <c r="E208" s="374"/>
      <c r="F208" s="374" t="s">
        <v>385</v>
      </c>
      <c r="I208" s="57"/>
    </row>
    <row r="209" spans="1:9" x14ac:dyDescent="0.25">
      <c r="A209" s="113"/>
      <c r="B209" s="373"/>
      <c r="C209" s="374"/>
      <c r="D209" s="374"/>
      <c r="I209" s="57"/>
    </row>
    <row r="210" spans="1:9" x14ac:dyDescent="0.25">
      <c r="A210" s="113" t="s">
        <v>410</v>
      </c>
      <c r="B210" s="348">
        <f>1+Se_ext/Sn</f>
        <v>1.1973684210526316</v>
      </c>
      <c r="C210"/>
      <c r="D210" s="348"/>
      <c r="F210" s="113" t="s">
        <v>760</v>
      </c>
      <c r="I210" s="57"/>
    </row>
    <row r="211" spans="1:9" x14ac:dyDescent="0.25">
      <c r="A211" s="113" t="s">
        <v>411</v>
      </c>
      <c r="B211" s="367">
        <f>mc_buck*(1-D1_Vinnom_2)</f>
        <v>0.90939904124438276</v>
      </c>
      <c r="C211" s="350"/>
      <c r="D211" s="367"/>
      <c r="F211" s="350" t="s">
        <v>641</v>
      </c>
      <c r="I211" s="57"/>
    </row>
    <row r="212" spans="1:9" x14ac:dyDescent="0.25">
      <c r="A212" s="2"/>
      <c r="B212" s="382"/>
      <c r="C212" s="350"/>
      <c r="D212" s="350"/>
      <c r="I212" s="57"/>
    </row>
    <row r="213" spans="1:9" x14ac:dyDescent="0.25">
      <c r="A213" s="2" t="s">
        <v>358</v>
      </c>
      <c r="B213" s="367">
        <f>1+Se_ext/Sn</f>
        <v>1.1973684210526316</v>
      </c>
      <c r="C213" s="350"/>
      <c r="D213" s="367"/>
      <c r="I213" s="57"/>
    </row>
    <row r="214" spans="1:9" x14ac:dyDescent="0.25">
      <c r="A214" s="2" t="s">
        <v>333</v>
      </c>
      <c r="B214" s="408">
        <f>mc_buck*(1-D1_Vinnom_2)</f>
        <v>0.90939904124438276</v>
      </c>
      <c r="C214" s="350"/>
      <c r="D214" s="408"/>
      <c r="I214" s="57"/>
    </row>
    <row r="215" spans="1:9" x14ac:dyDescent="0.25">
      <c r="A215" s="113" t="s">
        <v>27</v>
      </c>
      <c r="B215" s="348">
        <f>1/Pi/(k-0.5)</f>
        <v>0.77750520758426467</v>
      </c>
      <c r="C215"/>
      <c r="D215" s="348"/>
      <c r="F215" s="113" t="s">
        <v>367</v>
      </c>
      <c r="H215" s="113" t="s">
        <v>378</v>
      </c>
      <c r="I215" s="57"/>
    </row>
    <row r="216" spans="1:9" x14ac:dyDescent="0.25">
      <c r="A216" s="113"/>
      <c r="B216" s="348"/>
      <c r="C216"/>
      <c r="D216" s="113"/>
      <c r="F216" s="113"/>
      <c r="I216" s="57"/>
    </row>
    <row r="217" spans="1:9" x14ac:dyDescent="0.25">
      <c r="A217" s="350" t="s">
        <v>413</v>
      </c>
      <c r="B217" s="348"/>
      <c r="C217"/>
      <c r="D217" s="113"/>
      <c r="I217" s="57"/>
    </row>
    <row r="218" spans="1:9" ht="14.4" x14ac:dyDescent="0.3">
      <c r="A218" s="113" t="s">
        <v>359</v>
      </c>
      <c r="B218" s="671">
        <v>6</v>
      </c>
      <c r="C218" s="113" t="s">
        <v>178</v>
      </c>
      <c r="F218" s="113" t="s">
        <v>443</v>
      </c>
      <c r="I218" s="57"/>
    </row>
    <row r="219" spans="1:9" ht="14.4" x14ac:dyDescent="0.3">
      <c r="A219" s="113" t="s">
        <v>360</v>
      </c>
      <c r="B219" s="672">
        <f>gm/(2*Pi*GBW*1000000)</f>
        <v>3.1830988654751269E-11</v>
      </c>
      <c r="C219" s="113" t="s">
        <v>24</v>
      </c>
      <c r="F219" s="113" t="s">
        <v>442</v>
      </c>
      <c r="I219" s="57"/>
    </row>
    <row r="220" spans="1:9" ht="14.4" x14ac:dyDescent="0.3">
      <c r="A220" s="113" t="s">
        <v>361</v>
      </c>
      <c r="B220" s="673">
        <v>64000000</v>
      </c>
      <c r="C220" s="210" t="s">
        <v>116</v>
      </c>
      <c r="F220" s="113" t="s">
        <v>441</v>
      </c>
      <c r="I220" s="57"/>
    </row>
    <row r="221" spans="1:9" x14ac:dyDescent="0.25">
      <c r="A221" s="2" t="s">
        <v>362</v>
      </c>
      <c r="B221" s="299">
        <f>gm*RoEA</f>
        <v>76800</v>
      </c>
      <c r="C221" s="113" t="s">
        <v>28</v>
      </c>
      <c r="F221" s="113" t="s">
        <v>440</v>
      </c>
      <c r="I221" s="57"/>
    </row>
    <row r="222" spans="1:9" x14ac:dyDescent="0.25">
      <c r="A222" s="2" t="s">
        <v>363</v>
      </c>
      <c r="B222" s="4">
        <f>IF(VOUT_setting=1,Vref/Vout,SQRT((1+(Fcross*zterm1)^2)/((1+Afbr-pterm4*(Fcross)^2)^2+(Fcross*pterm3)^2)))</f>
        <v>6.749667855362608E-2</v>
      </c>
      <c r="C222" s="113" t="s">
        <v>28</v>
      </c>
      <c r="D222" s="4"/>
      <c r="E222" s="113"/>
      <c r="F222" s="113" t="s">
        <v>439</v>
      </c>
      <c r="I222" s="57"/>
    </row>
    <row r="223" spans="1:9" x14ac:dyDescent="0.25">
      <c r="A223" s="2" t="s">
        <v>318</v>
      </c>
      <c r="B223" s="382">
        <f>1/Ri</f>
        <v>50</v>
      </c>
      <c r="C223" s="113"/>
      <c r="D223" s="382"/>
      <c r="E223" s="113"/>
      <c r="F223" s="113" t="s">
        <v>368</v>
      </c>
      <c r="I223" s="57"/>
    </row>
    <row r="224" spans="1:9" x14ac:dyDescent="0.25">
      <c r="A224" s="2" t="s">
        <v>404</v>
      </c>
      <c r="B224" s="4">
        <f>(Ro/Number_of_Phases)/Ri/((1+Ro/Number_of_Phases*(k-0.5)/(Fsw*Lf)))</f>
        <v>48.217484261811641</v>
      </c>
      <c r="C224" s="4"/>
      <c r="D224" s="4"/>
      <c r="I224" s="57"/>
    </row>
    <row r="225" spans="1:9" x14ac:dyDescent="0.25">
      <c r="A225" s="2" t="s">
        <v>323</v>
      </c>
      <c r="B225" s="4">
        <f>(Ro*Number_of_Phases)/Ri/((1+Ro*Number_of_Phases*(k-0.5)/(Fsw*Lf)))</f>
        <v>48.217484261811641</v>
      </c>
      <c r="C225" s="4"/>
      <c r="D225" s="4"/>
      <c r="F225" s="350" t="s">
        <v>697</v>
      </c>
      <c r="I225" s="57"/>
    </row>
    <row r="226" spans="1:9" x14ac:dyDescent="0.25">
      <c r="A226" s="2"/>
      <c r="B226" s="4"/>
      <c r="C226"/>
      <c r="D226" s="350"/>
      <c r="I226" s="57"/>
    </row>
    <row r="227" spans="1:9" x14ac:dyDescent="0.25">
      <c r="A227" s="113" t="s">
        <v>698</v>
      </c>
      <c r="B227" s="4">
        <f>2*Pi*Ri/gm</f>
        <v>104.71975500000002</v>
      </c>
      <c r="C227"/>
      <c r="F227" s="113" t="s">
        <v>444</v>
      </c>
      <c r="I227" s="57"/>
    </row>
    <row r="228" spans="1:9" x14ac:dyDescent="0.25">
      <c r="A228" s="350" t="s">
        <v>405</v>
      </c>
      <c r="B228" s="4"/>
      <c r="C228"/>
      <c r="F228" s="113"/>
      <c r="I228" s="57"/>
    </row>
    <row r="229" spans="1:9" x14ac:dyDescent="0.25">
      <c r="A229" s="350"/>
      <c r="B229" s="4"/>
      <c r="C229"/>
      <c r="F229" s="113"/>
      <c r="I229" s="57"/>
    </row>
    <row r="230" spans="1:9" x14ac:dyDescent="0.25">
      <c r="A230" s="209" t="s">
        <v>42</v>
      </c>
      <c r="B230" s="382">
        <f>Rout</f>
        <v>2.4</v>
      </c>
      <c r="C230" s="210" t="s">
        <v>116</v>
      </c>
      <c r="D230" s="348"/>
      <c r="E230" s="210"/>
      <c r="F230" s="113" t="s">
        <v>263</v>
      </c>
      <c r="I230" s="57"/>
    </row>
    <row r="231" spans="1:9" x14ac:dyDescent="0.25">
      <c r="A231" s="113"/>
      <c r="B231" s="113"/>
      <c r="C231" s="210"/>
      <c r="D231" s="113"/>
      <c r="I231" s="57"/>
    </row>
    <row r="232" spans="1:9" x14ac:dyDescent="0.25">
      <c r="A232" s="113" t="s">
        <v>399</v>
      </c>
      <c r="B232" s="372">
        <f>1/(2*Pi*Ro*Cout)+(k-0.5)/(2*Pi*Fsw*Lf*Cout/Number_of_Phases)</f>
        <v>825.19311049896191</v>
      </c>
      <c r="C232" t="s">
        <v>9</v>
      </c>
      <c r="D232" s="359"/>
      <c r="F232" s="113" t="s">
        <v>398</v>
      </c>
      <c r="I232" s="57"/>
    </row>
    <row r="233" spans="1:9" x14ac:dyDescent="0.25">
      <c r="A233" s="113" t="s">
        <v>431</v>
      </c>
      <c r="B233" s="359">
        <f>Fload_u</f>
        <v>825.19311049896191</v>
      </c>
      <c r="C233" s="113" t="s">
        <v>9</v>
      </c>
      <c r="D233" s="359"/>
      <c r="E233" s="113"/>
      <c r="F233" s="365"/>
      <c r="I233" s="57"/>
    </row>
    <row r="234" spans="1:9" x14ac:dyDescent="0.25">
      <c r="A234" s="113"/>
      <c r="B234" s="358">
        <f>Cbw</f>
        <v>3.1830988654751269E-11</v>
      </c>
      <c r="C234"/>
      <c r="D234" s="113"/>
      <c r="E234" s="46"/>
      <c r="I234" s="57"/>
    </row>
    <row r="235" spans="1:9" x14ac:dyDescent="0.25">
      <c r="A235" s="113" t="s">
        <v>370</v>
      </c>
      <c r="B235" s="422">
        <f>1/(2*Pi*(RoEA+Rcea1_u)*Cc1ea_u)</f>
        <v>0.75342856523137813</v>
      </c>
      <c r="C235" t="s">
        <v>9</v>
      </c>
      <c r="D235" s="624"/>
      <c r="F235" s="113" t="s">
        <v>397</v>
      </c>
      <c r="I235" s="57"/>
    </row>
    <row r="236" spans="1:9" x14ac:dyDescent="0.25">
      <c r="A236" s="113" t="s">
        <v>371</v>
      </c>
      <c r="B236" s="372">
        <f>1/(2*Pi*Rcea1_u*(Cc2ea_u+Cbw))</f>
        <v>146133.79932357057</v>
      </c>
      <c r="C236" t="s">
        <v>9</v>
      </c>
      <c r="D236" s="359"/>
      <c r="F236" s="113" t="s">
        <v>379</v>
      </c>
      <c r="I236" s="57"/>
    </row>
    <row r="237" spans="1:9" x14ac:dyDescent="0.25">
      <c r="A237" s="209" t="s">
        <v>26</v>
      </c>
      <c r="B237" s="372">
        <f>1/(2*Pi*Cout*Cout_ESR)</f>
        <v>795774.71636878187</v>
      </c>
      <c r="C237" t="s">
        <v>9</v>
      </c>
      <c r="D237" s="359"/>
      <c r="F237" s="113" t="s">
        <v>396</v>
      </c>
      <c r="I237" s="57"/>
    </row>
    <row r="238" spans="1:9" x14ac:dyDescent="0.25">
      <c r="A238" s="113" t="s">
        <v>403</v>
      </c>
      <c r="B238" s="372">
        <f>Fsw/2</f>
        <v>150000</v>
      </c>
      <c r="C238" t="s">
        <v>9</v>
      </c>
      <c r="D238" s="359"/>
      <c r="F238" s="113" t="s">
        <v>681</v>
      </c>
      <c r="I238" s="57"/>
    </row>
    <row r="239" spans="1:9" x14ac:dyDescent="0.25">
      <c r="A239" s="113"/>
      <c r="B239" s="359"/>
      <c r="C239"/>
      <c r="D239" s="675" t="s">
        <v>829</v>
      </c>
      <c r="E239" s="46"/>
      <c r="I239" s="57"/>
    </row>
    <row r="240" spans="1:9" x14ac:dyDescent="0.25">
      <c r="A240" s="209" t="s">
        <v>395</v>
      </c>
      <c r="B240" s="305">
        <f>CHOOSE(COMP_TYPE,Fcross_Ch2,'Design Regulator'!E63*1000)</f>
        <v>40000</v>
      </c>
      <c r="C240" s="358" t="s">
        <v>9</v>
      </c>
      <c r="D240" s="676">
        <f>Fsw/50</f>
        <v>6000</v>
      </c>
      <c r="E240" s="358"/>
      <c r="I240" s="57"/>
    </row>
    <row r="241" spans="1:12" x14ac:dyDescent="0.25">
      <c r="A241" s="66" t="s">
        <v>33</v>
      </c>
      <c r="B241" s="359">
        <f>Fcross*Cout/Number_of_Phases*2*Pi*Ri/(gm*Afb)</f>
        <v>12411.84096687664</v>
      </c>
      <c r="C241" s="210" t="s">
        <v>116</v>
      </c>
      <c r="D241" s="359"/>
      <c r="E241" s="210"/>
      <c r="F241" s="113" t="s">
        <v>365</v>
      </c>
      <c r="I241" s="57"/>
      <c r="K241" s="299">
        <f>Fcross/Fp_dominant/(gm*Afb*Am)</f>
        <v>12411.840966876642</v>
      </c>
      <c r="L241" s="210"/>
    </row>
    <row r="242" spans="1:12" x14ac:dyDescent="0.25">
      <c r="A242" s="66" t="s">
        <v>656</v>
      </c>
      <c r="B242" s="358">
        <f>10/(Rcea1*Fcross*2*Pi)</f>
        <v>3.2057078337228865E-9</v>
      </c>
      <c r="C242" t="s">
        <v>24</v>
      </c>
      <c r="D242" s="358"/>
      <c r="F242" s="113" t="s">
        <v>642</v>
      </c>
      <c r="I242" s="57"/>
    </row>
    <row r="243" spans="1:12" x14ac:dyDescent="0.25">
      <c r="A243" s="66" t="s">
        <v>657</v>
      </c>
      <c r="B243" s="358">
        <f>MAX(1/(Rcea1*2*Pi*Fesr)-Cbw, 1/(Rcea1*2*Pi*(Fsw/2))-Cbw)</f>
        <v>5.3654553577859046E-11</v>
      </c>
      <c r="C243" t="s">
        <v>24</v>
      </c>
      <c r="D243" s="358"/>
      <c r="F243" s="113" t="s">
        <v>366</v>
      </c>
      <c r="I243" s="57"/>
    </row>
    <row r="244" spans="1:12" x14ac:dyDescent="0.25">
      <c r="A244" s="65"/>
      <c r="B244" s="1"/>
      <c r="C244" s="210"/>
      <c r="I244" s="57"/>
    </row>
    <row r="245" spans="1:12" x14ac:dyDescent="0.25">
      <c r="A245" s="674" t="str">
        <f>CHOOSE(COMP_TYPE,"Internal Compensation","External Compensation")</f>
        <v>External Compensation</v>
      </c>
      <c r="B245" s="1"/>
      <c r="C245" s="210"/>
      <c r="I245" s="57"/>
    </row>
    <row r="246" spans="1:12" x14ac:dyDescent="0.25">
      <c r="A246" s="66" t="s">
        <v>314</v>
      </c>
      <c r="D246" s="676" t="s">
        <v>828</v>
      </c>
      <c r="I246" s="57"/>
    </row>
    <row r="247" spans="1:12" x14ac:dyDescent="0.25">
      <c r="A247" s="56" t="s">
        <v>34</v>
      </c>
      <c r="B247" s="69">
        <f>CHOOSE(COMP_TYPE,D247,'Design Regulator'!D71*1000)</f>
        <v>12400</v>
      </c>
      <c r="C247" s="210" t="s">
        <v>116</v>
      </c>
      <c r="D247" s="677">
        <v>400000</v>
      </c>
      <c r="G247">
        <f>1/(Rcea1*2*Pi*(Fsw/2))-Cbw</f>
        <v>5.3654553577859046E-11</v>
      </c>
      <c r="I247" s="57"/>
    </row>
    <row r="248" spans="1:12" x14ac:dyDescent="0.25">
      <c r="A248" s="56" t="s">
        <v>35</v>
      </c>
      <c r="B248" s="69">
        <f>CHOOSE(COMP_TYPE,Cc3ea_u,'Design Regulator'!D72*0.000000001)</f>
        <v>3.3000000000000006E-9</v>
      </c>
      <c r="C248" t="s">
        <v>24</v>
      </c>
      <c r="D248" s="678">
        <f>50*0.000000000001</f>
        <v>5.0000000000000002E-11</v>
      </c>
      <c r="I248" s="57"/>
    </row>
    <row r="249" spans="1:12" x14ac:dyDescent="0.25">
      <c r="A249" s="56" t="s">
        <v>36</v>
      </c>
      <c r="B249" s="69">
        <f>CHOOSE(COMP_TYPE,Cc4ea_u,'Design Regulator'!D73*0.000000000001)</f>
        <v>5.6E-11</v>
      </c>
      <c r="C249" t="s">
        <v>24</v>
      </c>
      <c r="D249" s="678">
        <f>0.000000000001</f>
        <v>9.9999999999999998E-13</v>
      </c>
      <c r="I249" s="57"/>
    </row>
    <row r="250" spans="1:12" x14ac:dyDescent="0.25">
      <c r="A250" s="56"/>
      <c r="B250" s="48"/>
      <c r="C250"/>
      <c r="I250" s="57"/>
    </row>
    <row r="251" spans="1:12" x14ac:dyDescent="0.25">
      <c r="A251" s="66" t="s">
        <v>381</v>
      </c>
      <c r="C251"/>
      <c r="F251">
        <f>Cout</f>
        <v>2.0000000000000001E-4</v>
      </c>
      <c r="G251">
        <f>Cout_ESR</f>
        <v>1E-3</v>
      </c>
      <c r="I251" s="57"/>
    </row>
    <row r="252" spans="1:12" x14ac:dyDescent="0.25">
      <c r="A252" s="66" t="s">
        <v>37</v>
      </c>
      <c r="B252" s="360">
        <f>1/(2*Pi*Rcea1_u*Cc1ea_u)</f>
        <v>3889.4169910497644</v>
      </c>
      <c r="C252" t="s">
        <v>9</v>
      </c>
      <c r="D252" s="359"/>
      <c r="F252" s="113" t="s">
        <v>436</v>
      </c>
      <c r="I252" s="57"/>
    </row>
    <row r="253" spans="1:12" x14ac:dyDescent="0.25">
      <c r="A253" s="66" t="s">
        <v>707</v>
      </c>
      <c r="B253" s="360">
        <f>1/(2*Pi*Rcea1_u*(Cc1ea_u*(Cc2ea_u+Cbw)/(Cc1ea_u+Cc2ea_u+Cbw)))</f>
        <v>150023.21631462031</v>
      </c>
      <c r="C253" t="s">
        <v>9</v>
      </c>
      <c r="D253" s="359"/>
      <c r="F253" t="s">
        <v>132</v>
      </c>
      <c r="I253" s="57"/>
    </row>
    <row r="254" spans="1:12" x14ac:dyDescent="0.25">
      <c r="C254"/>
      <c r="D254" s="676" t="s">
        <v>828</v>
      </c>
      <c r="I254" s="57"/>
    </row>
    <row r="255" spans="1:12" x14ac:dyDescent="0.25">
      <c r="A255" s="56" t="s">
        <v>29</v>
      </c>
      <c r="B255" s="305">
        <f>IF(VOUT_setting=1,'Design Regulator'!E65*1000,2500000)</f>
        <v>2500000</v>
      </c>
      <c r="C255" s="210" t="s">
        <v>116</v>
      </c>
      <c r="E255" s="210"/>
      <c r="F255" s="113" t="s">
        <v>389</v>
      </c>
      <c r="I255" s="57"/>
    </row>
    <row r="256" spans="1:12" x14ac:dyDescent="0.25">
      <c r="A256" s="66" t="s">
        <v>40</v>
      </c>
      <c r="B256" s="349">
        <f>IF(Vout=Vref,100000000,Vref*B255/((Vout-Vref)))</f>
        <v>178571.42857142858</v>
      </c>
      <c r="C256" s="210" t="s">
        <v>116</v>
      </c>
      <c r="D256" s="625"/>
      <c r="E256" s="210"/>
      <c r="F256" s="113" t="s">
        <v>388</v>
      </c>
      <c r="I256" s="57"/>
    </row>
    <row r="257" spans="1:9" x14ac:dyDescent="0.25">
      <c r="A257" s="56" t="s">
        <v>136</v>
      </c>
      <c r="B257" s="68">
        <f>IF(Vout=Vref,"N/A",CHOOSE(VOUT_setting,'Standard Value Calculator'!S11,471000,792000,177000))</f>
        <v>177000</v>
      </c>
      <c r="C257" s="210" t="s">
        <v>116</v>
      </c>
      <c r="E257" s="210"/>
      <c r="F257" s="113" t="s">
        <v>387</v>
      </c>
      <c r="I257" s="57"/>
    </row>
    <row r="258" spans="1:9" x14ac:dyDescent="0.25">
      <c r="B258" s="685"/>
      <c r="C258" s="210"/>
      <c r="E258" s="210"/>
      <c r="F258" s="113"/>
      <c r="I258" s="57"/>
    </row>
    <row r="259" spans="1:9" x14ac:dyDescent="0.25">
      <c r="A259" t="s">
        <v>840</v>
      </c>
      <c r="B259" s="305">
        <v>20000</v>
      </c>
      <c r="C259" s="210" t="s">
        <v>116</v>
      </c>
      <c r="E259" s="210"/>
      <c r="F259" s="113"/>
      <c r="I259" s="57"/>
    </row>
    <row r="260" spans="1:9" x14ac:dyDescent="0.25">
      <c r="A260" t="s">
        <v>841</v>
      </c>
      <c r="B260" s="69">
        <v>3.67E-13</v>
      </c>
      <c r="C260" t="s">
        <v>24</v>
      </c>
      <c r="E260" s="210"/>
      <c r="F260" s="113"/>
      <c r="I260" s="57"/>
    </row>
    <row r="261" spans="1:9" x14ac:dyDescent="0.25">
      <c r="A261" t="s">
        <v>842</v>
      </c>
      <c r="B261" s="69">
        <v>2.1999999999999999E-12</v>
      </c>
      <c r="C261" t="s">
        <v>24</v>
      </c>
      <c r="E261" s="210"/>
      <c r="F261" s="113"/>
      <c r="I261" s="57"/>
    </row>
    <row r="262" spans="1:9" x14ac:dyDescent="0.25">
      <c r="B262" s="685"/>
      <c r="C262" s="210"/>
      <c r="E262" s="210"/>
      <c r="F262" s="113"/>
      <c r="I262" s="57"/>
    </row>
    <row r="263" spans="1:9" x14ac:dyDescent="0.25">
      <c r="A263" s="113" t="s">
        <v>836</v>
      </c>
      <c r="B263" s="687">
        <f>1/(2*Pi*Rff*Cff)</f>
        <v>21683234.778440922</v>
      </c>
      <c r="C263" s="113" t="s">
        <v>9</v>
      </c>
      <c r="E263" s="210"/>
      <c r="F263" s="113"/>
      <c r="I263" s="57"/>
    </row>
    <row r="264" spans="1:9" x14ac:dyDescent="0.25">
      <c r="A264" s="113" t="s">
        <v>837</v>
      </c>
      <c r="B264" s="687">
        <f>1/(2*Pi*Rfb1_*Cfb)</f>
        <v>28937.262413410252</v>
      </c>
      <c r="C264" s="113" t="s">
        <v>9</v>
      </c>
      <c r="E264" s="210"/>
      <c r="F264" s="113"/>
      <c r="I264" s="57"/>
    </row>
    <row r="265" spans="1:9" x14ac:dyDescent="0.25">
      <c r="A265" s="113" t="s">
        <v>838</v>
      </c>
      <c r="B265" s="687">
        <f>1/(2*Pi*Rfb2_u*Cfb)</f>
        <v>408718.39566963637</v>
      </c>
      <c r="C265" s="113" t="s">
        <v>9</v>
      </c>
      <c r="E265" s="210"/>
      <c r="F265" s="113"/>
      <c r="I265" s="57"/>
    </row>
    <row r="266" spans="1:9" x14ac:dyDescent="0.25">
      <c r="A266" s="113" t="s">
        <v>839</v>
      </c>
      <c r="B266" s="687">
        <f>1/(2*Pi*Rff*Cfb)</f>
        <v>3617157.8016762817</v>
      </c>
      <c r="C266" s="113" t="s">
        <v>9</v>
      </c>
      <c r="E266" s="210"/>
      <c r="F266" s="113"/>
      <c r="I266" s="57"/>
    </row>
    <row r="267" spans="1:9" x14ac:dyDescent="0.25">
      <c r="A267" s="113" t="s">
        <v>848</v>
      </c>
      <c r="B267" s="687">
        <f>1/(2*Pi*Cff*Rfb1_)</f>
        <v>173465.8782275274</v>
      </c>
      <c r="C267" s="113" t="s">
        <v>9</v>
      </c>
      <c r="E267" s="210"/>
      <c r="F267" s="113"/>
      <c r="I267" s="57"/>
    </row>
    <row r="268" spans="1:9" x14ac:dyDescent="0.25">
      <c r="A268" t="s">
        <v>843</v>
      </c>
      <c r="B268" s="685">
        <f>2*Pi*Cfb*(Rff+Rfb1_)/(Rff*Rfb1_)</f>
        <v>6.96679586064E-16</v>
      </c>
      <c r="C268" s="113" t="s">
        <v>9</v>
      </c>
      <c r="E268" s="210"/>
      <c r="F268" s="113"/>
      <c r="I268" s="57"/>
    </row>
    <row r="269" spans="1:9" x14ac:dyDescent="0.25">
      <c r="B269" s="685"/>
      <c r="C269" s="113"/>
      <c r="E269" s="210"/>
      <c r="F269" s="113"/>
      <c r="I269" s="57"/>
    </row>
    <row r="270" spans="1:9" x14ac:dyDescent="0.25">
      <c r="B270" s="685"/>
      <c r="C270" s="113"/>
      <c r="E270" s="210"/>
      <c r="F270" s="113"/>
      <c r="I270" s="57"/>
    </row>
    <row r="271" spans="1:9" ht="13.8" thickBot="1" x14ac:dyDescent="0.3">
      <c r="A271" s="371"/>
      <c r="B271" s="686"/>
      <c r="C271" s="71"/>
      <c r="D271" s="61"/>
      <c r="E271" s="71"/>
      <c r="F271" s="61"/>
      <c r="G271" s="61"/>
      <c r="H271" s="61"/>
      <c r="I271" s="62"/>
    </row>
    <row r="272" spans="1:9" x14ac:dyDescent="0.25">
      <c r="A272" s="1"/>
      <c r="B272" s="46"/>
      <c r="C272" s="46"/>
      <c r="E272" s="46"/>
    </row>
    <row r="273" spans="1:9" x14ac:dyDescent="0.25">
      <c r="A273" s="66" t="s">
        <v>169</v>
      </c>
      <c r="B273" s="1"/>
      <c r="C273"/>
    </row>
    <row r="274" spans="1:9" x14ac:dyDescent="0.25">
      <c r="A274" s="66" t="s">
        <v>170</v>
      </c>
      <c r="B274" s="2">
        <v>0</v>
      </c>
      <c r="C274" s="210" t="s">
        <v>116</v>
      </c>
      <c r="D274" s="113" t="s">
        <v>262</v>
      </c>
    </row>
    <row r="275" spans="1:9" x14ac:dyDescent="0.25">
      <c r="A275" s="66" t="s">
        <v>173</v>
      </c>
      <c r="B275" s="369" t="e">
        <f>0.00000002*Fsw*0.6*4/Iripple1</f>
        <v>#NAME?</v>
      </c>
      <c r="C275" s="46"/>
      <c r="E275" s="46"/>
    </row>
    <row r="276" spans="1:9" x14ac:dyDescent="0.25">
      <c r="A276" s="66" t="s">
        <v>172</v>
      </c>
      <c r="B276" s="369" t="e">
        <f>_Don2*RdsonTop+Doff2*RdsonBot</f>
        <v>#NAME?</v>
      </c>
      <c r="C276" s="46"/>
      <c r="E276" s="46"/>
    </row>
    <row r="277" spans="1:9" x14ac:dyDescent="0.25">
      <c r="A277" s="66" t="s">
        <v>171</v>
      </c>
      <c r="B277" s="369" t="e">
        <f>B278*Vin^2*Fsw/2/(((Iripple1/SQRT(3))^2))</f>
        <v>#NAME?</v>
      </c>
      <c r="C277" s="46"/>
      <c r="E277" s="46"/>
    </row>
    <row r="278" spans="1:9" x14ac:dyDescent="0.25">
      <c r="A278" s="66" t="s">
        <v>174</v>
      </c>
      <c r="B278" s="370">
        <v>5.0000000000000001E-9</v>
      </c>
      <c r="C278" s="46"/>
      <c r="E278" s="46"/>
    </row>
    <row r="279" spans="1:9" x14ac:dyDescent="0.25">
      <c r="A279" s="2"/>
      <c r="B279" s="370"/>
      <c r="C279" s="46"/>
      <c r="E279" s="46"/>
    </row>
    <row r="280" spans="1:9" ht="16.2" thickBot="1" x14ac:dyDescent="0.35">
      <c r="A280" s="509" t="s">
        <v>764</v>
      </c>
    </row>
    <row r="281" spans="1:9" x14ac:dyDescent="0.25">
      <c r="A281" s="361"/>
      <c r="B281" s="362"/>
      <c r="C281" s="363"/>
      <c r="D281" s="364"/>
      <c r="E281" s="63"/>
      <c r="F281" s="63"/>
      <c r="G281" s="63"/>
      <c r="H281" s="63"/>
      <c r="I281" s="64"/>
    </row>
    <row r="282" spans="1:9" x14ac:dyDescent="0.25">
      <c r="A282" s="113" t="s">
        <v>771</v>
      </c>
      <c r="B282" s="397">
        <f>20*LOG10(Vinripple2*1000000)</f>
        <v>102.15634849028891</v>
      </c>
      <c r="C282" s="1" t="s">
        <v>770</v>
      </c>
      <c r="E282" s="46"/>
      <c r="I282" s="57"/>
    </row>
    <row r="283" spans="1:9" x14ac:dyDescent="0.25">
      <c r="A283" s="113" t="s">
        <v>772</v>
      </c>
      <c r="B283" s="359" t="e">
        <f>CHOOSE(OSC,35,50)</f>
        <v>#VALUE!</v>
      </c>
      <c r="C283" s="1" t="s">
        <v>770</v>
      </c>
      <c r="D283" s="113" t="s">
        <v>850</v>
      </c>
      <c r="E283" s="46"/>
      <c r="I283" s="57"/>
    </row>
    <row r="284" spans="1:9" x14ac:dyDescent="0.25">
      <c r="A284" s="113" t="s">
        <v>773</v>
      </c>
      <c r="B284" s="397" t="e">
        <f>VinRipple_dBuV-B283+3</f>
        <v>#VALUE!</v>
      </c>
      <c r="C284" s="1" t="s">
        <v>770</v>
      </c>
      <c r="D284" s="113" t="s">
        <v>851</v>
      </c>
      <c r="E284" s="46"/>
      <c r="I284" s="57"/>
    </row>
    <row r="285" spans="1:9" x14ac:dyDescent="0.25">
      <c r="A285" s="113" t="s">
        <v>774</v>
      </c>
      <c r="B285" s="647" t="e">
        <f>Fsw/(POWER(10,Attn_req/40))</f>
        <v>#VALUE!</v>
      </c>
      <c r="C285" s="46" t="s">
        <v>9</v>
      </c>
      <c r="D285" s="113" t="s">
        <v>852</v>
      </c>
      <c r="E285" s="46"/>
      <c r="I285" s="57"/>
    </row>
    <row r="286" spans="1:9" x14ac:dyDescent="0.25">
      <c r="A286" s="113"/>
      <c r="B286" s="370"/>
      <c r="C286" s="46"/>
      <c r="E286" s="46"/>
      <c r="I286" s="57"/>
    </row>
    <row r="287" spans="1:9" x14ac:dyDescent="0.25">
      <c r="A287" s="113" t="s">
        <v>775</v>
      </c>
      <c r="B287" s="358">
        <f>'Design Regulator'!E49</f>
        <v>0.68</v>
      </c>
      <c r="C287" s="370" t="s">
        <v>10</v>
      </c>
      <c r="D287" s="113" t="s">
        <v>853</v>
      </c>
      <c r="E287" s="46"/>
      <c r="I287" s="57"/>
    </row>
    <row r="288" spans="1:9" x14ac:dyDescent="0.25">
      <c r="A288" s="113"/>
      <c r="B288" s="397"/>
      <c r="C288" s="46"/>
      <c r="E288" s="46"/>
      <c r="I288" s="57"/>
    </row>
    <row r="289" spans="1:9" x14ac:dyDescent="0.25">
      <c r="A289" s="113" t="s">
        <v>767</v>
      </c>
      <c r="B289" s="113" t="e">
        <f>CHOOSE(OSC,20,100)</f>
        <v>#VALUE!</v>
      </c>
      <c r="C289" s="46"/>
      <c r="E289" s="46"/>
      <c r="I289" s="57"/>
    </row>
    <row r="290" spans="1:9" x14ac:dyDescent="0.25">
      <c r="A290" s="113" t="s">
        <v>768</v>
      </c>
      <c r="B290" s="113">
        <v>3</v>
      </c>
      <c r="C290" s="46"/>
      <c r="E290" s="46"/>
      <c r="F290" s="113" t="s">
        <v>855</v>
      </c>
      <c r="I290" s="57"/>
    </row>
    <row r="291" spans="1:9" x14ac:dyDescent="0.25">
      <c r="A291" s="113"/>
      <c r="B291" s="397"/>
      <c r="C291" s="46"/>
      <c r="E291" s="46"/>
      <c r="I291" s="57"/>
    </row>
    <row r="292" spans="1:9" x14ac:dyDescent="0.25">
      <c r="A292" s="113" t="s">
        <v>806</v>
      </c>
      <c r="B292" s="397" t="e">
        <f>1000000/(LinfilterPssv*POWER(2*Pi*Fx_infilter,2))</f>
        <v>#VALUE!</v>
      </c>
      <c r="C292" s="46" t="s">
        <v>23</v>
      </c>
      <c r="D292">
        <f>'Design Input Filter'!G9*0.000001</f>
        <v>6.8E-8</v>
      </c>
      <c r="E292" s="46"/>
      <c r="I292" s="57"/>
    </row>
    <row r="293" spans="1:9" ht="14.4" x14ac:dyDescent="0.3">
      <c r="A293" s="113" t="s">
        <v>765</v>
      </c>
      <c r="B293" s="397" t="e">
        <f>1000000/(L_infilter*Gop_AEF*0.000001*POWER(2*Pi*Fx_infilter,2))</f>
        <v>#VALUE!</v>
      </c>
      <c r="C293" s="46" t="s">
        <v>23</v>
      </c>
      <c r="D293" s="660" t="e">
        <f>'Design Regulator'!#REF!*0.000001</f>
        <v>#REF!</v>
      </c>
      <c r="E293" s="46"/>
      <c r="I293" s="57"/>
    </row>
    <row r="294" spans="1:9" x14ac:dyDescent="0.25">
      <c r="A294" s="113"/>
      <c r="B294" s="397"/>
      <c r="C294" s="46"/>
      <c r="E294" s="46"/>
      <c r="I294" s="57"/>
    </row>
    <row r="295" spans="1:9" x14ac:dyDescent="0.25">
      <c r="A295" s="113" t="s">
        <v>769</v>
      </c>
      <c r="B295" s="397" t="e">
        <f>CHOOSE(OSC,0,Cinj_AEF/nAEF)</f>
        <v>#VALUE!</v>
      </c>
      <c r="C295" s="46" t="s">
        <v>23</v>
      </c>
      <c r="D295" t="e">
        <f>'Design Regulator'!#REF!*0.000001</f>
        <v>#REF!</v>
      </c>
      <c r="E295" s="46"/>
      <c r="I295" s="57"/>
    </row>
    <row r="296" spans="1:9" x14ac:dyDescent="0.25">
      <c r="A296" s="113" t="s">
        <v>766</v>
      </c>
      <c r="B296" s="397" t="e">
        <f>CHOOSE(OSC,SQRT(L_infilter*Gop_AEF/(Cinj_AEF)),1.09*SQRT(L_infilter*Gop_AEF/Cinj_AEF))</f>
        <v>#VALUE!</v>
      </c>
      <c r="C296" s="370" t="s">
        <v>138</v>
      </c>
      <c r="D296" t="e">
        <f>'Design Regulator'!#REF!</f>
        <v>#REF!</v>
      </c>
      <c r="E296" s="46"/>
      <c r="I296" s="57"/>
    </row>
    <row r="297" spans="1:9" x14ac:dyDescent="0.25">
      <c r="A297" s="113" t="s">
        <v>776</v>
      </c>
      <c r="B297" s="113" t="e">
        <f>CHOOSE(OSC,5,1)</f>
        <v>#VALUE!</v>
      </c>
      <c r="C297" s="370" t="s">
        <v>141</v>
      </c>
      <c r="D297" t="e">
        <f>B297*0.000000001</f>
        <v>#VALUE!</v>
      </c>
      <c r="E297" s="46"/>
      <c r="F297" s="113" t="s">
        <v>854</v>
      </c>
      <c r="I297" s="57"/>
    </row>
    <row r="298" spans="1:9" x14ac:dyDescent="0.25">
      <c r="A298" s="113" t="s">
        <v>777</v>
      </c>
      <c r="B298" s="113" t="e">
        <f>CHOOSE(OSC,200,1000)</f>
        <v>#VALUE!</v>
      </c>
      <c r="C298" s="370" t="s">
        <v>138</v>
      </c>
      <c r="E298" s="46"/>
      <c r="I298" s="57"/>
    </row>
    <row r="299" spans="1:9" x14ac:dyDescent="0.25">
      <c r="A299" s="113" t="s">
        <v>778</v>
      </c>
      <c r="B299" s="113" t="e">
        <f>Gop_AEF*B297</f>
        <v>#VALUE!</v>
      </c>
      <c r="C299" s="370" t="s">
        <v>141</v>
      </c>
      <c r="D299" t="e">
        <f>B299*0.000000001</f>
        <v>#VALUE!</v>
      </c>
      <c r="E299" s="46"/>
      <c r="I299" s="57"/>
    </row>
    <row r="300" spans="1:9" x14ac:dyDescent="0.25">
      <c r="A300" s="113"/>
      <c r="B300" s="113"/>
      <c r="C300" s="370"/>
      <c r="E300" s="46"/>
      <c r="I300" s="57"/>
    </row>
    <row r="301" spans="1:9" x14ac:dyDescent="0.25">
      <c r="A301" s="113" t="s">
        <v>908</v>
      </c>
      <c r="B301" s="113">
        <f>SQRT(L_infilter*0.000001/Cin)</f>
        <v>0.15055453054181619</v>
      </c>
      <c r="C301" s="370"/>
      <c r="D301" s="4">
        <f>'Standard Value Calculator'!S14</f>
        <v>0.15</v>
      </c>
      <c r="E301" s="46"/>
      <c r="I301" s="57"/>
    </row>
    <row r="302" spans="1:9" x14ac:dyDescent="0.25">
      <c r="A302" s="2"/>
      <c r="B302" s="113"/>
      <c r="C302" s="46"/>
      <c r="E302" s="46"/>
      <c r="I302" s="57"/>
    </row>
    <row r="303" spans="1:9" x14ac:dyDescent="0.25">
      <c r="A303" s="2" t="s">
        <v>785</v>
      </c>
      <c r="B303" s="113">
        <f>'Input Filter Calculations'!W97</f>
        <v>0</v>
      </c>
      <c r="C303" s="1" t="s">
        <v>770</v>
      </c>
      <c r="E303" s="46"/>
      <c r="I303" s="57"/>
    </row>
    <row r="304" spans="1:9" x14ac:dyDescent="0.25">
      <c r="A304" s="2" t="s">
        <v>802</v>
      </c>
      <c r="B304" s="113">
        <f>VinRipple_dBuV+B303</f>
        <v>102.15634849028891</v>
      </c>
      <c r="C304" s="1" t="s">
        <v>770</v>
      </c>
      <c r="E304" s="46"/>
      <c r="I304" s="57"/>
    </row>
    <row r="305" spans="1:9" ht="13.8" thickBot="1" x14ac:dyDescent="0.3">
      <c r="A305" s="371"/>
      <c r="B305" s="371"/>
      <c r="C305" s="71"/>
      <c r="D305" s="61"/>
      <c r="E305" s="71"/>
      <c r="F305" s="61"/>
      <c r="G305" s="61"/>
      <c r="H305" s="61"/>
      <c r="I305" s="62"/>
    </row>
    <row r="306" spans="1:9" x14ac:dyDescent="0.25">
      <c r="A306" s="1"/>
      <c r="B306" s="46"/>
      <c r="C306" s="46"/>
      <c r="E306" s="46"/>
    </row>
    <row r="307" spans="1:9" ht="16.2" thickBot="1" x14ac:dyDescent="0.35">
      <c r="A307" s="91" t="s">
        <v>190</v>
      </c>
    </row>
    <row r="308" spans="1:9" x14ac:dyDescent="0.25">
      <c r="A308" s="208" t="s">
        <v>586</v>
      </c>
      <c r="B308" s="63">
        <v>0</v>
      </c>
      <c r="C308" s="288"/>
      <c r="D308" s="63"/>
      <c r="E308" s="63"/>
      <c r="F308" s="63"/>
      <c r="G308" s="63"/>
      <c r="H308" s="63"/>
      <c r="I308" s="64"/>
    </row>
    <row r="309" spans="1:9" x14ac:dyDescent="0.25">
      <c r="A309" s="66" t="s">
        <v>55</v>
      </c>
      <c r="I309" s="57"/>
    </row>
    <row r="310" spans="1:9" x14ac:dyDescent="0.25">
      <c r="A310" s="56" t="s">
        <v>83</v>
      </c>
      <c r="B310" s="29">
        <f>'Design Regulator'!E13</f>
        <v>25</v>
      </c>
      <c r="C310" s="113" t="s">
        <v>223</v>
      </c>
      <c r="D310" t="s">
        <v>96</v>
      </c>
      <c r="I310" s="57"/>
    </row>
    <row r="311" spans="1:9" x14ac:dyDescent="0.25">
      <c r="A311" s="66" t="s">
        <v>58</v>
      </c>
      <c r="C311"/>
      <c r="I311" s="57"/>
    </row>
    <row r="312" spans="1:9" x14ac:dyDescent="0.25">
      <c r="A312" s="56" t="s">
        <v>82</v>
      </c>
      <c r="B312" s="59">
        <f>4000/1000000</f>
        <v>4.0000000000000001E-3</v>
      </c>
      <c r="C312" s="113" t="s">
        <v>271</v>
      </c>
      <c r="D312" s="113" t="s">
        <v>465</v>
      </c>
      <c r="I312" s="57"/>
    </row>
    <row r="313" spans="1:9" ht="15.6" x14ac:dyDescent="0.35">
      <c r="A313" s="209" t="s">
        <v>462</v>
      </c>
      <c r="B313" s="59">
        <v>20</v>
      </c>
      <c r="C313" s="113" t="s">
        <v>202</v>
      </c>
      <c r="D313" s="113" t="s">
        <v>463</v>
      </c>
      <c r="I313" s="57"/>
    </row>
    <row r="314" spans="1:9" x14ac:dyDescent="0.25">
      <c r="A314" s="56" t="s">
        <v>86</v>
      </c>
      <c r="B314" s="29">
        <f>RCinEsr</f>
        <v>1E-3</v>
      </c>
      <c r="C314" s="210" t="s">
        <v>116</v>
      </c>
      <c r="D314" s="113" t="s">
        <v>464</v>
      </c>
      <c r="I314" s="57"/>
    </row>
    <row r="315" spans="1:9" x14ac:dyDescent="0.25">
      <c r="A315" s="56"/>
      <c r="B315" s="29"/>
      <c r="C315" s="210"/>
      <c r="D315" s="113"/>
      <c r="I315" s="57"/>
    </row>
    <row r="316" spans="1:9" x14ac:dyDescent="0.25">
      <c r="A316" s="65" t="s">
        <v>666</v>
      </c>
      <c r="C316"/>
      <c r="I316" s="57"/>
    </row>
    <row r="317" spans="1:9" x14ac:dyDescent="0.25">
      <c r="A317" s="209" t="s">
        <v>640</v>
      </c>
      <c r="B317" s="59">
        <v>5</v>
      </c>
      <c r="C317" t="s">
        <v>0</v>
      </c>
      <c r="D317" s="350" t="s">
        <v>664</v>
      </c>
      <c r="I317" s="57"/>
    </row>
    <row r="318" spans="1:9" x14ac:dyDescent="0.25">
      <c r="A318" s="66" t="s">
        <v>112</v>
      </c>
      <c r="C318"/>
      <c r="I318" s="57"/>
    </row>
    <row r="319" spans="1:9" x14ac:dyDescent="0.25">
      <c r="A319" s="56" t="s">
        <v>61</v>
      </c>
      <c r="B319" s="59">
        <v>1</v>
      </c>
      <c r="C319" s="210" t="s">
        <v>116</v>
      </c>
      <c r="D319" s="113" t="s">
        <v>390</v>
      </c>
      <c r="I319" s="57"/>
    </row>
    <row r="320" spans="1:9" x14ac:dyDescent="0.25">
      <c r="A320" s="56" t="s">
        <v>126</v>
      </c>
      <c r="B320" s="59">
        <v>0.5</v>
      </c>
      <c r="C320" s="210" t="s">
        <v>116</v>
      </c>
      <c r="D320" s="113" t="s">
        <v>391</v>
      </c>
      <c r="I320" s="57"/>
    </row>
    <row r="321" spans="1:9" x14ac:dyDescent="0.25">
      <c r="A321" s="66" t="s">
        <v>113</v>
      </c>
      <c r="C321"/>
      <c r="I321" s="57"/>
    </row>
    <row r="322" spans="1:9" x14ac:dyDescent="0.25">
      <c r="A322" s="56" t="s">
        <v>60</v>
      </c>
      <c r="B322" s="105">
        <v>1</v>
      </c>
      <c r="C322" s="210" t="s">
        <v>116</v>
      </c>
      <c r="D322" s="113" t="s">
        <v>392</v>
      </c>
      <c r="I322" s="57"/>
    </row>
    <row r="323" spans="1:9" x14ac:dyDescent="0.25">
      <c r="A323" s="56" t="s">
        <v>125</v>
      </c>
      <c r="B323" s="59">
        <v>0.5</v>
      </c>
      <c r="C323" s="210" t="s">
        <v>116</v>
      </c>
      <c r="D323" s="113" t="s">
        <v>393</v>
      </c>
      <c r="I323" s="57"/>
    </row>
    <row r="324" spans="1:9" x14ac:dyDescent="0.25">
      <c r="A324" s="66" t="s">
        <v>62</v>
      </c>
      <c r="C324"/>
      <c r="I324" s="57"/>
    </row>
    <row r="325" spans="1:9" x14ac:dyDescent="0.25">
      <c r="A325" s="56" t="s">
        <v>62</v>
      </c>
      <c r="B325" s="67">
        <v>1.4E-8</v>
      </c>
      <c r="C325" t="s">
        <v>133</v>
      </c>
      <c r="D325" t="s">
        <v>98</v>
      </c>
      <c r="G325" s="350" t="s">
        <v>736</v>
      </c>
      <c r="I325" s="57"/>
    </row>
    <row r="326" spans="1:9" x14ac:dyDescent="0.25">
      <c r="A326" s="66" t="s">
        <v>52</v>
      </c>
      <c r="C326"/>
      <c r="I326" s="57"/>
    </row>
    <row r="327" spans="1:9" x14ac:dyDescent="0.25">
      <c r="A327" s="56" t="s">
        <v>128</v>
      </c>
      <c r="B327" s="59">
        <v>2.2000000000000001E-6</v>
      </c>
      <c r="C327" t="s">
        <v>1</v>
      </c>
      <c r="D327" s="113" t="s">
        <v>665</v>
      </c>
      <c r="I327" s="57"/>
    </row>
    <row r="328" spans="1:9" x14ac:dyDescent="0.25">
      <c r="A328" s="56"/>
      <c r="C328"/>
      <c r="I328" s="57"/>
    </row>
    <row r="329" spans="1:9" x14ac:dyDescent="0.25">
      <c r="A329" s="66" t="s">
        <v>663</v>
      </c>
      <c r="B329" s="2" t="s">
        <v>512</v>
      </c>
      <c r="C329"/>
      <c r="D329" s="2" t="s">
        <v>513</v>
      </c>
      <c r="I329" s="57"/>
    </row>
    <row r="330" spans="1:9" x14ac:dyDescent="0.25">
      <c r="A330" s="209" t="s">
        <v>514</v>
      </c>
      <c r="B330" s="29">
        <f>'Design Regulator'!E82/1000</f>
        <v>1.2E-2</v>
      </c>
      <c r="C330" s="210" t="s">
        <v>116</v>
      </c>
      <c r="D330" s="29">
        <f>'Design Regulator'!F82/1000</f>
        <v>4.0999999999999995E-3</v>
      </c>
      <c r="E330" s="210" t="s">
        <v>116</v>
      </c>
      <c r="F330" s="113" t="s">
        <v>668</v>
      </c>
      <c r="I330" s="57"/>
    </row>
    <row r="331" spans="1:9" x14ac:dyDescent="0.25">
      <c r="A331" s="56" t="s">
        <v>79</v>
      </c>
      <c r="B331" s="59">
        <f>4000/1000000</f>
        <v>4.0000000000000001E-3</v>
      </c>
      <c r="C331" s="113" t="s">
        <v>271</v>
      </c>
      <c r="D331" s="395">
        <v>4.0000000000000001E-3</v>
      </c>
      <c r="E331" s="113" t="s">
        <v>271</v>
      </c>
      <c r="F331" s="113" t="s">
        <v>394</v>
      </c>
      <c r="I331" s="57"/>
    </row>
    <row r="332" spans="1:9" x14ac:dyDescent="0.25">
      <c r="A332" s="209" t="s">
        <v>122</v>
      </c>
      <c r="B332" s="72">
        <f>'Design Regulator'!E83/1000000000</f>
        <v>8.0000000000000005E-9</v>
      </c>
      <c r="C332" t="s">
        <v>134</v>
      </c>
      <c r="D332" s="72">
        <f>'Design Regulator'!F83/1000000000</f>
        <v>2.4999999999999999E-8</v>
      </c>
      <c r="E332" t="s">
        <v>134</v>
      </c>
      <c r="F332" s="113" t="s">
        <v>667</v>
      </c>
      <c r="I332" s="57"/>
    </row>
    <row r="333" spans="1:9" x14ac:dyDescent="0.25">
      <c r="A333" s="209" t="s">
        <v>515</v>
      </c>
      <c r="B333" s="72">
        <f>'Design Regulator'!E84/1000000000</f>
        <v>2.8999999999999999E-9</v>
      </c>
      <c r="C333" t="s">
        <v>134</v>
      </c>
      <c r="D333" s="72">
        <f>'Design Regulator'!F84/1000000000</f>
        <v>8.9999999999999995E-9</v>
      </c>
      <c r="E333" t="s">
        <v>134</v>
      </c>
      <c r="F333" t="s">
        <v>121</v>
      </c>
      <c r="I333" s="57"/>
    </row>
    <row r="334" spans="1:9" x14ac:dyDescent="0.25">
      <c r="A334" s="209" t="s">
        <v>516</v>
      </c>
      <c r="B334" s="72">
        <f>'Design Regulator'!E85/1000000000</f>
        <v>3.1E-9</v>
      </c>
      <c r="C334" t="s">
        <v>134</v>
      </c>
      <c r="D334" s="72">
        <f>'Design Regulator'!F85/1000000000</f>
        <v>8.6999999999999985E-9</v>
      </c>
      <c r="E334" t="s">
        <v>134</v>
      </c>
      <c r="F334" t="s">
        <v>719</v>
      </c>
      <c r="I334" s="57"/>
    </row>
    <row r="335" spans="1:9" x14ac:dyDescent="0.25">
      <c r="A335" s="585" t="s">
        <v>715</v>
      </c>
      <c r="B335" s="72">
        <f>'Design Regulator'!E86/1000000000</f>
        <v>0</v>
      </c>
      <c r="C335" t="s">
        <v>134</v>
      </c>
      <c r="D335" s="72">
        <f>'Design Regulator'!F86/1000000000</f>
        <v>2.9999999999999997E-8</v>
      </c>
      <c r="E335" t="s">
        <v>134</v>
      </c>
      <c r="F335" s="113" t="s">
        <v>717</v>
      </c>
      <c r="I335" s="57"/>
    </row>
    <row r="336" spans="1:9" x14ac:dyDescent="0.25">
      <c r="A336" s="585" t="s">
        <v>716</v>
      </c>
      <c r="B336" s="72">
        <f>'Design Regulator'!E87/1000000000000</f>
        <v>1.16E-10</v>
      </c>
      <c r="C336" t="s">
        <v>24</v>
      </c>
      <c r="D336" s="72">
        <f>'Design Regulator'!F87/1000000000000</f>
        <v>3.6599999999999998E-10</v>
      </c>
      <c r="E336" t="s">
        <v>24</v>
      </c>
      <c r="F336" s="113" t="s">
        <v>718</v>
      </c>
      <c r="I336" s="57"/>
    </row>
    <row r="337" spans="1:9" x14ac:dyDescent="0.25">
      <c r="A337" s="209" t="s">
        <v>517</v>
      </c>
      <c r="B337" s="29">
        <f>'Design Regulator'!E88</f>
        <v>1.2</v>
      </c>
      <c r="C337" s="210" t="s">
        <v>116</v>
      </c>
      <c r="D337" s="29">
        <f>'Design Regulator'!F88</f>
        <v>1.2</v>
      </c>
      <c r="E337" s="210" t="s">
        <v>116</v>
      </c>
      <c r="F337" t="s">
        <v>100</v>
      </c>
      <c r="I337" s="57"/>
    </row>
    <row r="338" spans="1:9" x14ac:dyDescent="0.25">
      <c r="A338" s="209" t="s">
        <v>518</v>
      </c>
      <c r="B338" s="29">
        <f>'Design Regulator'!E89</f>
        <v>55</v>
      </c>
      <c r="C338" t="s">
        <v>66</v>
      </c>
      <c r="D338" s="29">
        <f>'Design Regulator'!F89</f>
        <v>178</v>
      </c>
      <c r="E338" t="s">
        <v>66</v>
      </c>
      <c r="F338" s="113" t="s">
        <v>670</v>
      </c>
      <c r="I338" s="57"/>
    </row>
    <row r="339" spans="1:9" x14ac:dyDescent="0.25">
      <c r="A339" s="209" t="s">
        <v>519</v>
      </c>
      <c r="B339" s="29">
        <f>'Design Regulator'!E90</f>
        <v>3.1</v>
      </c>
      <c r="C339" t="s">
        <v>0</v>
      </c>
      <c r="D339" s="29">
        <f>'Design Regulator'!F90</f>
        <v>3</v>
      </c>
      <c r="E339" t="s">
        <v>0</v>
      </c>
      <c r="F339" s="113" t="s">
        <v>671</v>
      </c>
      <c r="I339" s="57"/>
    </row>
    <row r="340" spans="1:9" x14ac:dyDescent="0.25">
      <c r="A340" s="209" t="s">
        <v>520</v>
      </c>
      <c r="B340" s="376">
        <f>Vth_Q1+(Iout/Number_of_Phases)/Gfs_Q1</f>
        <v>3.1909090909090909</v>
      </c>
      <c r="C340" t="s">
        <v>0</v>
      </c>
      <c r="D340" s="376">
        <f>Vth_Q2+(Iout/Number_of_Phases)/Gfs_Q2</f>
        <v>3.0280898876404496</v>
      </c>
      <c r="E340" t="s">
        <v>0</v>
      </c>
      <c r="F340" s="113" t="s">
        <v>672</v>
      </c>
      <c r="I340" s="57"/>
    </row>
    <row r="341" spans="1:9" x14ac:dyDescent="0.25">
      <c r="A341" s="56"/>
      <c r="C341"/>
      <c r="F341" s="113"/>
      <c r="I341" s="57"/>
    </row>
    <row r="342" spans="1:9" x14ac:dyDescent="0.25">
      <c r="A342" s="209" t="s">
        <v>522</v>
      </c>
      <c r="B342" s="29">
        <f>'Design Regulator'!E91</f>
        <v>0.7</v>
      </c>
      <c r="C342" t="s">
        <v>0</v>
      </c>
      <c r="D342" s="29">
        <f>'Design Regulator'!F91</f>
        <v>0.7</v>
      </c>
      <c r="E342" t="s">
        <v>0</v>
      </c>
      <c r="F342" s="113" t="s">
        <v>521</v>
      </c>
      <c r="I342" s="57"/>
    </row>
    <row r="343" spans="1:9" x14ac:dyDescent="0.25">
      <c r="A343" s="209" t="s">
        <v>482</v>
      </c>
      <c r="B343" s="72"/>
      <c r="C343" t="s">
        <v>134</v>
      </c>
      <c r="D343" s="72">
        <f>'Design Regulator'!F92/1000000000</f>
        <v>5.8999999999999999E-8</v>
      </c>
      <c r="E343" t="s">
        <v>134</v>
      </c>
      <c r="F343" t="s">
        <v>110</v>
      </c>
      <c r="I343" s="57"/>
    </row>
    <row r="344" spans="1:9" x14ac:dyDescent="0.25">
      <c r="A344" s="209" t="s">
        <v>483</v>
      </c>
      <c r="B344" s="72">
        <v>4.0000000000000001E-8</v>
      </c>
      <c r="C344" t="s">
        <v>133</v>
      </c>
      <c r="D344" s="72">
        <v>4.0000000000000001E-8</v>
      </c>
      <c r="E344" t="s">
        <v>133</v>
      </c>
      <c r="F344" t="s">
        <v>106</v>
      </c>
      <c r="I344" s="57"/>
    </row>
    <row r="345" spans="1:9" x14ac:dyDescent="0.25">
      <c r="A345" s="209" t="s">
        <v>579</v>
      </c>
      <c r="B345" s="29">
        <f>'Design Regulator'!E93</f>
        <v>42</v>
      </c>
      <c r="C345" s="113" t="s">
        <v>202</v>
      </c>
      <c r="D345" s="29">
        <f>'Design Regulator'!F93</f>
        <v>40.700000000000003</v>
      </c>
      <c r="E345" s="113" t="s">
        <v>202</v>
      </c>
      <c r="F345" s="113" t="s">
        <v>669</v>
      </c>
      <c r="I345" s="57"/>
    </row>
    <row r="346" spans="1:9" x14ac:dyDescent="0.25">
      <c r="A346" s="209"/>
      <c r="B346" s="29"/>
      <c r="C346" s="113"/>
      <c r="D346" s="29"/>
      <c r="E346" s="113"/>
      <c r="I346" s="57"/>
    </row>
    <row r="347" spans="1:9" x14ac:dyDescent="0.25">
      <c r="A347" s="209"/>
      <c r="B347" s="113"/>
      <c r="C347" s="113"/>
      <c r="D347" s="113"/>
      <c r="E347" s="113"/>
      <c r="I347" s="57"/>
    </row>
    <row r="348" spans="1:9" x14ac:dyDescent="0.25">
      <c r="A348" s="209"/>
      <c r="B348" s="29"/>
      <c r="C348" s="113"/>
      <c r="D348" s="29"/>
      <c r="E348" s="113"/>
      <c r="I348" s="57"/>
    </row>
    <row r="349" spans="1:9" x14ac:dyDescent="0.25">
      <c r="A349" s="66" t="s">
        <v>506</v>
      </c>
      <c r="B349" s="472"/>
      <c r="D349" s="472"/>
      <c r="I349" s="57"/>
    </row>
    <row r="350" spans="1:9" x14ac:dyDescent="0.25">
      <c r="A350" s="56" t="s">
        <v>192</v>
      </c>
      <c r="B350" s="29">
        <f>'Design Regulator'!F96</f>
        <v>0</v>
      </c>
      <c r="C350" t="s">
        <v>0</v>
      </c>
      <c r="D350" s="29" t="e">
        <f>'Design Regulator'!#REF!</f>
        <v>#REF!</v>
      </c>
      <c r="E350" t="s">
        <v>0</v>
      </c>
      <c r="F350" t="s">
        <v>195</v>
      </c>
      <c r="I350" s="57"/>
    </row>
    <row r="351" spans="1:9" x14ac:dyDescent="0.25">
      <c r="A351" s="56" t="s">
        <v>193</v>
      </c>
      <c r="B351" s="72">
        <f>'Design Regulator'!F97/1000000000</f>
        <v>0</v>
      </c>
      <c r="C351" t="s">
        <v>134</v>
      </c>
      <c r="D351" s="72" t="e">
        <f>'Design Regulator'!#REF!/1000000000</f>
        <v>#REF!</v>
      </c>
      <c r="E351" t="s">
        <v>134</v>
      </c>
      <c r="F351" t="s">
        <v>196</v>
      </c>
      <c r="I351" s="57"/>
    </row>
    <row r="352" spans="1:9" x14ac:dyDescent="0.25">
      <c r="A352" s="56" t="s">
        <v>194</v>
      </c>
      <c r="B352" s="29">
        <v>0</v>
      </c>
      <c r="C352" t="s">
        <v>1</v>
      </c>
      <c r="D352" s="29">
        <v>0</v>
      </c>
      <c r="E352" t="s">
        <v>1</v>
      </c>
      <c r="F352" t="s">
        <v>197</v>
      </c>
      <c r="I352" s="57"/>
    </row>
    <row r="353" spans="1:9" x14ac:dyDescent="0.25">
      <c r="A353" s="56"/>
      <c r="C353"/>
      <c r="I353" s="57"/>
    </row>
    <row r="354" spans="1:9" x14ac:dyDescent="0.25">
      <c r="A354" s="66" t="s">
        <v>117</v>
      </c>
      <c r="C354"/>
      <c r="I354" s="57"/>
    </row>
    <row r="355" spans="1:9" x14ac:dyDescent="0.25">
      <c r="A355" s="209" t="s">
        <v>457</v>
      </c>
      <c r="B355" s="395">
        <v>34.1</v>
      </c>
      <c r="C355" s="113" t="s">
        <v>202</v>
      </c>
      <c r="D355" s="113"/>
      <c r="E355" s="113"/>
      <c r="F355" t="s">
        <v>461</v>
      </c>
      <c r="I355" s="57"/>
    </row>
    <row r="356" spans="1:9" x14ac:dyDescent="0.25">
      <c r="A356" s="66" t="s">
        <v>77</v>
      </c>
      <c r="C356"/>
      <c r="I356" s="57"/>
    </row>
    <row r="357" spans="1:9" x14ac:dyDescent="0.25">
      <c r="A357" s="209" t="s">
        <v>59</v>
      </c>
      <c r="C357"/>
      <c r="I357" s="57"/>
    </row>
    <row r="358" spans="1:9" x14ac:dyDescent="0.25">
      <c r="A358" s="56" t="s">
        <v>88</v>
      </c>
      <c r="B358" s="69">
        <f>(Qgd_Q1+Qgs_Q1/2)*(RdsonDRT+Rgate1)/(VCC-Vsp_Q1)</f>
        <v>5.4115577889447241E-9</v>
      </c>
      <c r="C358" t="s">
        <v>133</v>
      </c>
      <c r="D358" s="30"/>
      <c r="I358" s="57"/>
    </row>
    <row r="359" spans="1:9" x14ac:dyDescent="0.25">
      <c r="A359" s="56" t="s">
        <v>89</v>
      </c>
      <c r="B359" s="69">
        <f>(Qgd_Q1+Qgs_Q1/2)*(RdsonDRT2+Rgate1)/(Vsp_Q1)</f>
        <v>2.3707977207977209E-9</v>
      </c>
      <c r="C359" t="s">
        <v>133</v>
      </c>
      <c r="D359" s="30"/>
      <c r="I359" s="57"/>
    </row>
    <row r="360" spans="1:9" x14ac:dyDescent="0.25">
      <c r="A360" s="56"/>
      <c r="C360"/>
      <c r="I360" s="57"/>
    </row>
    <row r="361" spans="1:9" x14ac:dyDescent="0.25">
      <c r="A361" s="66" t="s">
        <v>400</v>
      </c>
      <c r="B361" s="2" t="s">
        <v>7</v>
      </c>
      <c r="C361" s="2" t="s">
        <v>76</v>
      </c>
      <c r="I361" s="57"/>
    </row>
    <row r="362" spans="1:9" x14ac:dyDescent="0.25">
      <c r="A362" s="58" t="s">
        <v>115</v>
      </c>
      <c r="B362" s="3">
        <f>CHOOSE(Ext_VCC, (Qg_Q1+Qg_Q2)*Fsw*VCC, (Qg_Q1+Qg_Q2)*Fsw*Vin)</f>
        <v>4.9499999999999995E-2</v>
      </c>
      <c r="C362" s="3" t="s">
        <v>116</v>
      </c>
      <c r="I362" s="57"/>
    </row>
    <row r="363" spans="1:9" x14ac:dyDescent="0.25">
      <c r="A363" s="58" t="s">
        <v>119</v>
      </c>
      <c r="B363" s="584">
        <f>B362*ThetaJaCtrl</f>
        <v>1.6879499999999998</v>
      </c>
      <c r="C363" s="113" t="s">
        <v>223</v>
      </c>
      <c r="I363" s="57"/>
    </row>
    <row r="364" spans="1:9" x14ac:dyDescent="0.25">
      <c r="A364" s="209" t="s">
        <v>703</v>
      </c>
      <c r="B364" s="584">
        <f>B363 + Ta</f>
        <v>26.687950000000001</v>
      </c>
      <c r="C364" s="113" t="s">
        <v>223</v>
      </c>
      <c r="I364" s="57"/>
    </row>
    <row r="365" spans="1:9" x14ac:dyDescent="0.25">
      <c r="A365" s="585"/>
      <c r="B365" s="584"/>
      <c r="C365" s="113"/>
      <c r="I365" s="57"/>
    </row>
    <row r="366" spans="1:9" x14ac:dyDescent="0.25">
      <c r="A366" s="58" t="s">
        <v>207</v>
      </c>
      <c r="B366" s="42">
        <f>(Qg_Q1+Qg_Q2)*Fsw+Iq</f>
        <v>9.9021999999999999E-3</v>
      </c>
      <c r="C366" t="s">
        <v>1</v>
      </c>
      <c r="I366" s="57"/>
    </row>
    <row r="367" spans="1:9" x14ac:dyDescent="0.25">
      <c r="A367" s="58" t="s">
        <v>208</v>
      </c>
      <c r="B367">
        <f>Qrr_Q2*Fsw</f>
        <v>1.77E-2</v>
      </c>
      <c r="C367" t="s">
        <v>1</v>
      </c>
      <c r="I367" s="57"/>
    </row>
    <row r="368" spans="1:9" x14ac:dyDescent="0.25">
      <c r="A368" s="58" t="s">
        <v>209</v>
      </c>
      <c r="B368" t="e">
        <f>C368/Vin</f>
        <v>#NAME?</v>
      </c>
      <c r="C368" t="e">
        <f>Deadtime*Fsw*(Ipp/2)*(Vsd_Q1+Vsd_Q2)</f>
        <v>#NAME?</v>
      </c>
      <c r="I368" s="57"/>
    </row>
    <row r="369" spans="1:9" x14ac:dyDescent="0.25">
      <c r="A369" s="58" t="s">
        <v>211</v>
      </c>
      <c r="B369" t="e">
        <f>SUM(B366:B368)</f>
        <v>#NAME?</v>
      </c>
      <c r="C369" t="s">
        <v>1</v>
      </c>
      <c r="I369" s="57"/>
    </row>
    <row r="370" spans="1:9" x14ac:dyDescent="0.25">
      <c r="A370" s="56"/>
      <c r="I370" s="57"/>
    </row>
    <row r="371" spans="1:9" x14ac:dyDescent="0.25">
      <c r="A371" s="66" t="s">
        <v>427</v>
      </c>
      <c r="I371" s="57"/>
    </row>
    <row r="372" spans="1:9" x14ac:dyDescent="0.25">
      <c r="A372" s="56" t="s">
        <v>114</v>
      </c>
      <c r="I372" s="57"/>
    </row>
    <row r="373" spans="1:9" ht="13.8" thickBot="1" x14ac:dyDescent="0.3">
      <c r="A373" s="60" t="s">
        <v>115</v>
      </c>
      <c r="B373" s="61"/>
      <c r="C373" s="289"/>
      <c r="D373" s="61"/>
      <c r="E373" s="61"/>
      <c r="F373" s="61"/>
      <c r="G373" s="61"/>
      <c r="H373" s="61"/>
      <c r="I373" s="62"/>
    </row>
    <row r="374" spans="1:9" x14ac:dyDescent="0.25">
      <c r="A374" s="1"/>
      <c r="B374" s="1"/>
      <c r="C374" s="1"/>
    </row>
    <row r="375" spans="1:9" ht="21.75" customHeight="1" thickBot="1" x14ac:dyDescent="0.35">
      <c r="A375" s="88" t="s">
        <v>203</v>
      </c>
      <c r="D375" s="2"/>
    </row>
    <row r="376" spans="1:9" x14ac:dyDescent="0.25">
      <c r="A376" s="89" t="str">
        <f>"RC1 = "&amp;'Design Regulator'!D71&amp;"kΩ"</f>
        <v>RC1 = 12.4kΩ</v>
      </c>
      <c r="B376" s="63" t="str">
        <f>'Design Regulator'!D71&amp;"kΩ"</f>
        <v>12.4kΩ</v>
      </c>
      <c r="C376" s="288"/>
      <c r="D376" s="283" t="str">
        <f>'Design Regulator'!D74&amp;"kΩ"</f>
        <v>kΩ</v>
      </c>
      <c r="E376" s="63"/>
      <c r="F376" s="63"/>
      <c r="G376" s="63"/>
      <c r="H376" s="63"/>
      <c r="I376" s="64"/>
    </row>
    <row r="377" spans="1:9" x14ac:dyDescent="0.25">
      <c r="A377" s="56" t="str">
        <f>"RC2 = "&amp;'Design Regulator'!D74&amp;"kΩ"</f>
        <v>RC2 = kΩ</v>
      </c>
      <c r="B377" t="str">
        <f>'Design Regulator'!D74&amp;"kΩ"</f>
        <v>kΩ</v>
      </c>
      <c r="I377" s="57"/>
    </row>
    <row r="378" spans="1:9" x14ac:dyDescent="0.25">
      <c r="A378" s="56"/>
      <c r="I378" s="57"/>
    </row>
    <row r="379" spans="1:9" x14ac:dyDescent="0.25">
      <c r="A379" s="56" t="str">
        <f>"Lo = "&amp;'Design Regulator'!E27&amp;"µH"</f>
        <v>Lo = 2.2µH</v>
      </c>
      <c r="B379" t="str">
        <f>'Design Regulator'!E27&amp;"µH"</f>
        <v>2.2µH</v>
      </c>
      <c r="D379" t="str">
        <f>IF(MODE = 1, 'Design Regulator'!I27&amp;"µH", 'Design Regulator'!E27&amp;"µH")</f>
        <v>µH</v>
      </c>
      <c r="I379" s="57"/>
    </row>
    <row r="380" spans="1:9" x14ac:dyDescent="0.25">
      <c r="A380" s="56" t="str">
        <f>"Rdcr = "&amp;Rdcr*1000&amp;"mΩ"</f>
        <v>Rdcr = 3.5mΩ</v>
      </c>
      <c r="B380" t="str">
        <f>Rdcr*1000&amp;"mΩ"</f>
        <v>3.5mΩ</v>
      </c>
      <c r="D380" t="str">
        <f>IF(MODE=1, Rdcr2*1000&amp;"mΩ", Rdcr*1000&amp;"mΩ")</f>
        <v>0mΩ</v>
      </c>
      <c r="I380" s="57"/>
    </row>
    <row r="381" spans="1:9" x14ac:dyDescent="0.25">
      <c r="A381" s="56" t="str">
        <f>"Rs = "&amp;'Design Regulator'!E18&amp;"mΩ"</f>
        <v>Rs = 2mΩ</v>
      </c>
      <c r="B381" t="str">
        <f>'Design Regulator'!E18&amp;"mΩ"</f>
        <v>2mΩ</v>
      </c>
      <c r="D381" t="str">
        <f>IF(MODE = 1, 'Design Regulator'!I18&amp;"mΩ", 'Design Regulator'!E18&amp;"mΩ")</f>
        <v>mΩ</v>
      </c>
      <c r="I381" s="57"/>
    </row>
    <row r="382" spans="1:9" x14ac:dyDescent="0.25">
      <c r="A382" s="670"/>
      <c r="I382" s="57"/>
    </row>
    <row r="383" spans="1:9" x14ac:dyDescent="0.25">
      <c r="A383" s="585" t="s">
        <v>917</v>
      </c>
      <c r="B383" t="str">
        <f>IF(VIN_max&gt;42,"LM5148(-Q1)","LM25148(-Q1)")</f>
        <v>LM5148(-Q1)</v>
      </c>
      <c r="I383" s="57"/>
    </row>
    <row r="384" spans="1:9" x14ac:dyDescent="0.25">
      <c r="A384" s="56"/>
      <c r="I384" s="57"/>
    </row>
    <row r="385" spans="1:9" x14ac:dyDescent="0.25">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x14ac:dyDescent="0.25">
      <c r="A386" s="670" t="str">
        <f>"LAEF ="&amp;L_infilter&amp;" uF"</f>
        <v>LAEF =0.68 uF</v>
      </c>
      <c r="B386" s="113" t="str">
        <f>IF((INFILTER_TYPE=1),"",L_infilter&amp;"µH")</f>
        <v/>
      </c>
      <c r="C386" s="113"/>
      <c r="I386" s="57"/>
    </row>
    <row r="387" spans="1:9" x14ac:dyDescent="0.25">
      <c r="A387" s="670"/>
      <c r="B387" t="str">
        <f>IF((INFILTER_TYPE=1),"",CinjSel*1000000&amp;"µF")</f>
        <v/>
      </c>
      <c r="I387" s="57"/>
    </row>
    <row r="388" spans="1:9" x14ac:dyDescent="0.25">
      <c r="A388" s="670"/>
      <c r="B388" t="str">
        <f>IF((INFILTER_TYPE=1),"",IF(OSC=1,"DNP",CdampSel*1000000&amp;"µF"))</f>
        <v/>
      </c>
      <c r="I388" s="57"/>
    </row>
    <row r="389" spans="1:9" x14ac:dyDescent="0.25">
      <c r="A389" s="670"/>
      <c r="B389" t="str">
        <f>IF((INFILTER_TYPE=1),"",RdampSel&amp;"Ω")</f>
        <v/>
      </c>
      <c r="I389" s="57"/>
    </row>
    <row r="390" spans="1:9" x14ac:dyDescent="0.25">
      <c r="A390" s="670" t="e">
        <f>"Rcomp ="&amp;Rcomp_AEF&amp;"Ω"</f>
        <v>#VALUE!</v>
      </c>
      <c r="B390" t="str">
        <f>IF((INFILTER_TYPE=1),"",Rcomp_AEF&amp;"Ω")</f>
        <v/>
      </c>
      <c r="I390" s="57"/>
    </row>
    <row r="391" spans="1:9" x14ac:dyDescent="0.25">
      <c r="A391" s="670" t="e">
        <f>"Ccomp ="&amp;Ccomp_AEF*1000000000000&amp;"pF"</f>
        <v>#VALUE!</v>
      </c>
      <c r="B391" t="str">
        <f>IF((INFILTER_TYPE=1),"",Ccomp_AEF*1000000000000&amp;"pF")</f>
        <v/>
      </c>
      <c r="I391" s="57"/>
    </row>
    <row r="392" spans="1:9" x14ac:dyDescent="0.25">
      <c r="A392" s="670" t="e">
        <f>"Csen ="&amp;Csen_AEF*1000000&amp;"µF"</f>
        <v>#VALUE!</v>
      </c>
      <c r="B392" t="str">
        <f>IF((INFILTER_TYPE=1),"",Csen_AEF*1000000&amp;"µF")</f>
        <v/>
      </c>
      <c r="I392" s="57"/>
    </row>
    <row r="393" spans="1:9" ht="15.6" x14ac:dyDescent="0.35">
      <c r="A393" s="670"/>
      <c r="B393" s="113" t="s">
        <v>887</v>
      </c>
      <c r="I393" s="57"/>
    </row>
    <row r="394" spans="1:9" x14ac:dyDescent="0.25">
      <c r="A394" s="670"/>
      <c r="I394" s="57"/>
    </row>
    <row r="395" spans="1:9" x14ac:dyDescent="0.25">
      <c r="A395" s="56" t="str">
        <f>"VOUT = "&amp;'Design Regulator'!E9&amp;"V"</f>
        <v>VOUT = 12V</v>
      </c>
      <c r="B395" t="str">
        <f>'Design Regulator'!E9&amp;"V"</f>
        <v>12V</v>
      </c>
      <c r="D395" t="str">
        <f>IF(MODE=1, 'Design Regulator'!I10&amp;"V", "")</f>
        <v>V</v>
      </c>
      <c r="I395" s="57"/>
    </row>
    <row r="396" spans="1:9" x14ac:dyDescent="0.25">
      <c r="A396" s="56"/>
      <c r="I396" s="57"/>
    </row>
    <row r="397" spans="1:9" x14ac:dyDescent="0.25">
      <c r="A397" s="56" t="str">
        <f>"COUT = "&amp;'Design Regulator'!$E$35&amp;"µF"</f>
        <v>COUT = 200µF</v>
      </c>
      <c r="B397" t="str">
        <f>ROUND('Design Regulator'!$E$35/Number_of_Phases, 0)&amp;"µF"</f>
        <v>200µF</v>
      </c>
      <c r="D397" t="str">
        <f>IF(MODE=1, 'Design Regulator'!$I$35&amp;"µF", ROUND('Design Regulator'!$E$35/Number_of_Phases, 0)&amp;"µF")</f>
        <v>µF</v>
      </c>
      <c r="I397" s="57"/>
    </row>
    <row r="398" spans="1:9" x14ac:dyDescent="0.25">
      <c r="A398" s="209" t="s">
        <v>258</v>
      </c>
      <c r="B398" t="str">
        <f>"22µF"</f>
        <v>22µF</v>
      </c>
      <c r="I398" s="57"/>
    </row>
    <row r="399" spans="1:9" x14ac:dyDescent="0.25">
      <c r="A399" s="209" t="s">
        <v>259</v>
      </c>
      <c r="B399" s="115" t="str">
        <f>ROUNDUP(Cout*1000000/22,0)&amp;" x"</f>
        <v>10 x</v>
      </c>
      <c r="C399" s="290"/>
      <c r="I399" s="57"/>
    </row>
    <row r="400" spans="1:9" x14ac:dyDescent="0.25">
      <c r="A400" s="56"/>
      <c r="I400" s="57"/>
    </row>
    <row r="401" spans="1:9" x14ac:dyDescent="0.25">
      <c r="A401" s="56" t="s">
        <v>212</v>
      </c>
      <c r="B401" t="str">
        <f>Cin*1000000&amp;"µF"</f>
        <v>30µF</v>
      </c>
      <c r="I401" s="57"/>
    </row>
    <row r="402" spans="1:9" x14ac:dyDescent="0.25">
      <c r="A402" s="209" t="s">
        <v>257</v>
      </c>
      <c r="B402" t="str">
        <f>"10µF"</f>
        <v>10µF</v>
      </c>
      <c r="I402" s="57"/>
    </row>
    <row r="403" spans="1:9" x14ac:dyDescent="0.25">
      <c r="A403" s="209" t="s">
        <v>256</v>
      </c>
      <c r="B403" s="115" t="str">
        <f>ROUNDUP(Cin*1000000/10,0)&amp;" x"</f>
        <v>3 x</v>
      </c>
      <c r="C403" s="290"/>
      <c r="I403" s="57"/>
    </row>
    <row r="404" spans="1:9" x14ac:dyDescent="0.25">
      <c r="A404" s="585" t="s">
        <v>753</v>
      </c>
      <c r="B404" s="115" t="str">
        <f>CHOOSE(INFILTER_TYPE,"",4*Cin*1000000&amp;"µF")</f>
        <v/>
      </c>
      <c r="C404" s="290"/>
      <c r="E404">
        <f>COMP_TYPE</f>
        <v>2</v>
      </c>
      <c r="I404" s="57"/>
    </row>
    <row r="405" spans="1:9" x14ac:dyDescent="0.25">
      <c r="A405" s="585" t="s">
        <v>832</v>
      </c>
      <c r="B405" s="115" t="str">
        <f>CHOOSE(INFILTER_TYPE,"",D301&amp;"Ω")</f>
        <v/>
      </c>
      <c r="C405" s="290"/>
      <c r="I405" s="57"/>
    </row>
    <row r="406" spans="1:9" x14ac:dyDescent="0.25">
      <c r="A406" s="209"/>
      <c r="B406" s="115"/>
      <c r="C406" s="290"/>
      <c r="I406" s="57"/>
    </row>
    <row r="407" spans="1:9" x14ac:dyDescent="0.25">
      <c r="A407" s="56" t="str">
        <f>"RC1 = "&amp;Rcea1_u/1000&amp;"kΩ"</f>
        <v>RC1 = 12.4kΩ</v>
      </c>
      <c r="B407" t="str">
        <f>IF(COMP_TYPE=1,"",ROUND(Rcea1_u/1000,2)&amp;"kΩ")</f>
        <v>12.4kΩ</v>
      </c>
      <c r="C407" t="str">
        <f>IF(OR(Vout=3.3,Vout=5,Vout=12),"",IF(COMP_TYPE=1,"100kΩ",""))</f>
        <v/>
      </c>
      <c r="D407" s="366" t="str">
        <f>IF(OR(Vout=3.3,Vout=5,Vout=12), IF(COMP_TYPE=1,"",ROUND(Rcea1_u/1000,2)&amp;"kΩ"), "")</f>
        <v>12.4kΩ</v>
      </c>
      <c r="E407" t="str">
        <f>IF(OR(Vout=3.3,Vout=5,Vout=12),IF(COMP_TYPE=1,"100kΩ",""),"")</f>
        <v/>
      </c>
      <c r="I407" s="57"/>
    </row>
    <row r="408" spans="1:9" x14ac:dyDescent="0.25">
      <c r="A408" s="56" t="str">
        <f>"CC1 = "&amp;Cc1ea_u*10^9&amp;"nF"</f>
        <v>CC1 = 3.3nF</v>
      </c>
      <c r="B408" t="str">
        <f>IF(COMP_TYPE=1,"",Cc1ea_u*10^9&amp;"nF")</f>
        <v>3.3nF</v>
      </c>
      <c r="C408" s="113"/>
      <c r="I408" s="57"/>
    </row>
    <row r="409" spans="1:9" x14ac:dyDescent="0.25">
      <c r="A409" s="56" t="str">
        <f>"CC2 = "&amp;IF(Cc2ea_u&gt;0, Cc2ea_u*10^12&amp;"pF", "OPEN")</f>
        <v>CC2 = 56pF</v>
      </c>
      <c r="B409" t="str">
        <f>IF(COMP_TYPE=1,"",IF(Cc2ea_u&gt;0, ROUND(Cc2ea_u*10^12,1)&amp;"pF", "N/A"))</f>
        <v>56pF</v>
      </c>
      <c r="C409" s="113"/>
      <c r="I409" s="57"/>
    </row>
    <row r="410" spans="1:9" x14ac:dyDescent="0.25">
      <c r="A410" s="56"/>
      <c r="I410" s="57"/>
    </row>
    <row r="411" spans="1:9" x14ac:dyDescent="0.25">
      <c r="A411" s="56" t="str">
        <f>"gm = "&amp;$B$200*1000&amp;"mS"</f>
        <v>gm = 1.2mS</v>
      </c>
      <c r="B411" t="str">
        <f>$B$200*1000&amp;"mS"</f>
        <v>1.2mS</v>
      </c>
      <c r="I411" s="57"/>
    </row>
    <row r="412" spans="1:9" x14ac:dyDescent="0.25">
      <c r="A412" s="56" t="str">
        <f>"RoEA = "&amp;RoEA/1000000&amp;"MΩ"</f>
        <v>RoEA = 64MΩ</v>
      </c>
      <c r="B412" t="str">
        <f>RoEA/1000000&amp;"MΩ"</f>
        <v>64MΩ</v>
      </c>
      <c r="I412" s="57"/>
    </row>
    <row r="413" spans="1:9" x14ac:dyDescent="0.25">
      <c r="A413" s="56" t="str">
        <f>"GBW = "&amp;GBW&amp;"MHz"</f>
        <v>GBW = 6MHz</v>
      </c>
      <c r="B413" t="str">
        <f>GBW&amp;"MHz"</f>
        <v>6MHz</v>
      </c>
      <c r="I413" s="57"/>
    </row>
    <row r="414" spans="1:9" x14ac:dyDescent="0.25">
      <c r="A414" s="56"/>
      <c r="I414" s="57"/>
    </row>
    <row r="415" spans="1:9" x14ac:dyDescent="0.25">
      <c r="A415" s="56"/>
      <c r="I415" s="57"/>
    </row>
    <row r="416" spans="1:9" x14ac:dyDescent="0.25">
      <c r="A416" s="209" t="s">
        <v>753</v>
      </c>
      <c r="B416" t="str">
        <f>IF(DITHER=1, ROUND(Cdither*1000000000,1)&amp;"nF", "")</f>
        <v>2.2nF</v>
      </c>
      <c r="C416" s="2" t="str">
        <f>IF(DITHER=1, "Cd", "")</f>
        <v>Cd</v>
      </c>
      <c r="I416" s="57"/>
    </row>
    <row r="417" spans="1:9" x14ac:dyDescent="0.25">
      <c r="A417" s="56" t="str">
        <f>"RFB1 = "&amp;'Design Regulator'!E65&amp;"kΩ"</f>
        <v>RFB1 = 78.7kΩ</v>
      </c>
      <c r="B417" t="str">
        <f>IF(VOUT_setting=1, 'Design Regulator'!E65&amp;"kΩ", "")</f>
        <v/>
      </c>
      <c r="D417" t="str">
        <f>'Design Regulator'!I65&amp;"kΩ"</f>
        <v>kΩ</v>
      </c>
      <c r="I417" s="57"/>
    </row>
    <row r="418" spans="1:9" x14ac:dyDescent="0.25">
      <c r="A418" s="56" t="str">
        <f>"RFB2 = "&amp;IF(Vout=Vref,"OPEN",'Design Regulator'!E66&amp;"kΩ")</f>
        <v>RFB2 = 177kΩ</v>
      </c>
      <c r="B418" t="str">
        <f>IF(VOUT_setting=1, IF(Vout=Vref,"OPEN",Rfb2_u/1000&amp;"kΩ"), "")</f>
        <v/>
      </c>
      <c r="D418" t="str">
        <f>IF(Vout2=Vref,"OPEN",Rfb4_u/1000&amp;"kΩ")</f>
        <v>0kΩ</v>
      </c>
      <c r="I418" s="57"/>
    </row>
    <row r="419" spans="1:9" x14ac:dyDescent="0.25">
      <c r="A419" s="585" t="str">
        <f>"RFBSET = "&amp;CHOOSE(VOUT_setting,"","24.9kΩ","0Ω","48.7kΩ")</f>
        <v>RFBSET = 48.7kΩ</v>
      </c>
      <c r="D419" t="str">
        <f>CHOOSE(VOUT_setting,"","24.9kΩ","0Ω","48.7kΩ")</f>
        <v>48.7kΩ</v>
      </c>
      <c r="I419" s="57"/>
    </row>
    <row r="420" spans="1:9" x14ac:dyDescent="0.25">
      <c r="A420" s="585"/>
      <c r="I420" s="57"/>
    </row>
    <row r="421" spans="1:9" x14ac:dyDescent="0.25">
      <c r="A421" s="585" t="s">
        <v>872</v>
      </c>
      <c r="B421" t="str">
        <f>IF((UVLO_TYPE=1),B188&amp;"kΩ","0Ω")</f>
        <v>200kΩ</v>
      </c>
      <c r="I421" s="57"/>
    </row>
    <row r="422" spans="1:9" x14ac:dyDescent="0.25">
      <c r="A422" s="585" t="s">
        <v>873</v>
      </c>
      <c r="B422" t="str">
        <f>IF((UVLO_TYPE=1),B189&amp;"kΩ","N/A")</f>
        <v>9.53kΩ</v>
      </c>
      <c r="I422" s="57"/>
    </row>
    <row r="423" spans="1:9" x14ac:dyDescent="0.25">
      <c r="A423" s="670"/>
      <c r="I423" s="57"/>
    </row>
    <row r="424" spans="1:9" x14ac:dyDescent="0.25">
      <c r="A424" s="56" t="str">
        <f>"Crossover frequency = "&amp;ROUND('Stability Calculations'!U4,0)&amp;"kHz"</f>
        <v>Crossover frequency = 39kHz</v>
      </c>
      <c r="B424" t="str">
        <f>ROUND('Stability Calculations'!U4,0)&amp;"kHz"</f>
        <v>39kHz</v>
      </c>
      <c r="D424" s="114">
        <f>'Stability Calculations'!U4</f>
        <v>39.131500000000003</v>
      </c>
      <c r="I424" s="57"/>
    </row>
    <row r="425" spans="1:9" x14ac:dyDescent="0.25">
      <c r="A425" s="56" t="str">
        <f>CHOOSE(BODE_PLOT_TYPE, "Phase margin = "&amp;ROUND('Stability Calculations'!U5,0)&amp;"°", "°")</f>
        <v>Phase margin = 60°</v>
      </c>
      <c r="B425" s="115" t="str">
        <f>ROUND('Stability Calculations'!U5,0)&amp;"°"</f>
        <v>60°</v>
      </c>
      <c r="C425" s="290"/>
      <c r="E425" s="210"/>
      <c r="I425" s="57"/>
    </row>
    <row r="426" spans="1:9" x14ac:dyDescent="0.25">
      <c r="A426" s="56" t="str">
        <f>IF(loopPM&lt;45,CHOOSE(COMP_TYPE,"Phase margin is LOW, increase Cout","Phase margin is LOW, recompensate"),"")</f>
        <v/>
      </c>
      <c r="B426" s="115"/>
      <c r="C426" s="290"/>
      <c r="E426" s="210"/>
      <c r="I426" s="57"/>
    </row>
    <row r="427" spans="1:9" x14ac:dyDescent="0.25">
      <c r="A427" s="670"/>
      <c r="B427" s="115"/>
      <c r="C427" s="290"/>
      <c r="E427" s="210"/>
      <c r="I427" s="57"/>
    </row>
    <row r="428" spans="1:9" x14ac:dyDescent="0.25">
      <c r="A428" s="66" t="s">
        <v>577</v>
      </c>
      <c r="B428" s="476" t="str">
        <f>IF(PLOT_TYPE=1, ROUND('Efficiency Calculations'!AZ109,1)&amp;"%", ROUND(#REF!,1)&amp;"%")</f>
        <v>96.8%</v>
      </c>
      <c r="C428" s="290"/>
      <c r="D428" s="476"/>
      <c r="E428" s="210"/>
      <c r="I428" s="57"/>
    </row>
    <row r="429" spans="1:9" x14ac:dyDescent="0.25">
      <c r="A429" s="66" t="s">
        <v>578</v>
      </c>
      <c r="B429" s="476" t="str">
        <f>IF(PLOT_TYPE=1, ROUND('Efficiency Calculations'!AZ59,1)&amp;"%", ROUND(#REF!,1)&amp;"%")</f>
        <v>96.2%</v>
      </c>
      <c r="C429" s="290"/>
      <c r="D429" s="476"/>
      <c r="E429" s="210"/>
      <c r="I429" s="57"/>
    </row>
    <row r="430" spans="1:9" x14ac:dyDescent="0.25">
      <c r="A430" s="631"/>
      <c r="B430" s="476" t="str">
        <f>IF(VOUT_setting=1, "", IF(OSC=1, "Tie OSC to VDDA", "Tie OSC to AGND"))</f>
        <v>Tie OSC to AGND</v>
      </c>
      <c r="C430" s="290"/>
      <c r="D430" s="476"/>
      <c r="E430" s="210"/>
      <c r="I430" s="57"/>
    </row>
    <row r="431" spans="1:9" x14ac:dyDescent="0.25">
      <c r="A431" s="56"/>
      <c r="B431" s="115"/>
      <c r="C431" s="290"/>
      <c r="E431" s="210"/>
      <c r="I431" s="57"/>
    </row>
    <row r="432" spans="1:9" x14ac:dyDescent="0.25">
      <c r="A432" s="56"/>
      <c r="I432" s="57"/>
    </row>
    <row r="433" spans="1:9" x14ac:dyDescent="0.25">
      <c r="A433" s="56" t="str">
        <f>"Rs = "&amp;Rs&amp;"Ω"</f>
        <v>Rs = 0.002Ω</v>
      </c>
      <c r="B433" t="str">
        <f>'Standard Value Calculator'!S6&amp;"Ω"</f>
        <v>Ω</v>
      </c>
      <c r="I433" s="57"/>
    </row>
    <row r="434" spans="1:9" x14ac:dyDescent="0.25">
      <c r="A434" s="56" t="s">
        <v>186</v>
      </c>
      <c r="B434" t="str">
        <f>'Standard Value Calculator'!S16&amp;"mΩ"</f>
        <v>1.87mΩ</v>
      </c>
      <c r="I434" s="57"/>
    </row>
    <row r="435" spans="1:9" x14ac:dyDescent="0.25">
      <c r="A435" s="56" t="s">
        <v>164</v>
      </c>
      <c r="B435" t="str">
        <f>'Standard Value Calculator'!S6&amp;"mΩ"</f>
        <v>mΩ</v>
      </c>
      <c r="I435" s="57"/>
    </row>
    <row r="436" spans="1:9" x14ac:dyDescent="0.25">
      <c r="A436" s="56" t="e">
        <f>"Rshunt = "&amp;ROUND(Rshunt,1)&amp;"mΩ"</f>
        <v>#NAME?</v>
      </c>
      <c r="B436" t="e">
        <f>IF(Rshunt="0", "N/A",ROUND(Rshunt,1)&amp;"mΩ")</f>
        <v>#NAME?</v>
      </c>
      <c r="I436" s="57"/>
    </row>
    <row r="437" spans="1:9" x14ac:dyDescent="0.25">
      <c r="A437" s="56"/>
      <c r="I437" s="57"/>
    </row>
    <row r="438" spans="1:9" x14ac:dyDescent="0.25">
      <c r="A438" s="209" t="s">
        <v>254</v>
      </c>
      <c r="B438" s="113" t="s">
        <v>255</v>
      </c>
      <c r="I438" s="57"/>
    </row>
    <row r="439" spans="1:9" ht="15.6" x14ac:dyDescent="0.35">
      <c r="A439" s="209" t="s">
        <v>888</v>
      </c>
      <c r="B439" s="113"/>
      <c r="I439" s="57"/>
    </row>
    <row r="440" spans="1:9" x14ac:dyDescent="0.25">
      <c r="A440" s="585"/>
      <c r="B440" s="113"/>
      <c r="I440" s="57"/>
    </row>
    <row r="441" spans="1:9" x14ac:dyDescent="0.25">
      <c r="A441" s="585" t="s">
        <v>891</v>
      </c>
      <c r="B441" s="113" t="str">
        <f>IF((Ext_VCC=1),"5V","GND")</f>
        <v>5V</v>
      </c>
      <c r="I441" s="57"/>
    </row>
    <row r="442" spans="1:9" x14ac:dyDescent="0.25">
      <c r="A442" s="209" t="s">
        <v>890</v>
      </c>
      <c r="B442" s="113" t="str">
        <f xml:space="preserve"> 'Design Regulator'!E57&amp;"kΩ"</f>
        <v>41.2kΩ</v>
      </c>
      <c r="I442" s="57"/>
    </row>
    <row r="443" spans="1:9" x14ac:dyDescent="0.25">
      <c r="A443" s="209" t="s">
        <v>272</v>
      </c>
      <c r="B443" t="str">
        <f xml:space="preserve"> Rfadj&amp;"kΩ"</f>
        <v>73.2kΩ</v>
      </c>
      <c r="C443" s="2">
        <f>Rfadj</f>
        <v>73.2</v>
      </c>
      <c r="D443">
        <f>Fsw</f>
        <v>300000</v>
      </c>
      <c r="F443" t="b">
        <f>OR((Fsw=440000),(Fsw=2200000))</f>
        <v>0</v>
      </c>
      <c r="H443" t="b">
        <f>OR(OR(AND(OSC=1, OR(Fsw/1000&gt;2530, Fsw/1000&lt;1800)), AND(OSC=2, OR(Fsw/1000&gt;500, Fsw/1000&lt;300))), OR((Fsw=440000),(Fsw=2200000)))</f>
        <v>0</v>
      </c>
      <c r="I443" s="57"/>
    </row>
    <row r="444" spans="1:9" x14ac:dyDescent="0.25">
      <c r="A444" s="56" t="s">
        <v>150</v>
      </c>
      <c r="B444" s="630" t="str">
        <f>'Standard Value Calculator'!B4*1000000000&amp;"nF"</f>
        <v>0nF</v>
      </c>
      <c r="C444" s="113" t="str">
        <f>IF(MODE=1,"Css","")</f>
        <v>Css</v>
      </c>
      <c r="I444" s="57"/>
    </row>
    <row r="445" spans="1:9" x14ac:dyDescent="0.25">
      <c r="A445" s="209" t="s">
        <v>630</v>
      </c>
      <c r="B445" t="str">
        <f>IF(Cres_u = 0, "N/A", Cres_u*1000000000 &amp;"nF")</f>
        <v>330nF</v>
      </c>
      <c r="C445" t="str">
        <f>IF(Cres_u = 0, "N/A", Cres_u*1000000 &amp;"µF")</f>
        <v>0.33µF</v>
      </c>
      <c r="D445">
        <f>Cres_u</f>
        <v>3.3000000000000002E-7</v>
      </c>
      <c r="I445" s="57"/>
    </row>
    <row r="446" spans="1:9" x14ac:dyDescent="0.25">
      <c r="A446" s="585"/>
      <c r="I446" s="57"/>
    </row>
    <row r="447" spans="1:9" x14ac:dyDescent="0.25">
      <c r="A447" s="56" t="s">
        <v>187</v>
      </c>
      <c r="B447" t="str">
        <f>IF(B76="y","","|")</f>
        <v>|</v>
      </c>
      <c r="I447" s="57"/>
    </row>
    <row r="448" spans="1:9" x14ac:dyDescent="0.25">
      <c r="A448" s="56" t="s">
        <v>204</v>
      </c>
      <c r="B448" t="str">
        <f>'Design Regulator'!$E$10&amp;"A"</f>
        <v>5A</v>
      </c>
      <c r="I448" s="57"/>
    </row>
    <row r="449" spans="1:9" x14ac:dyDescent="0.25">
      <c r="A449" s="56" t="s">
        <v>144</v>
      </c>
      <c r="B449" t="str">
        <f>VIN_nom&amp;"V"</f>
        <v>50V</v>
      </c>
      <c r="I449" s="57"/>
    </row>
    <row r="450" spans="1:9" x14ac:dyDescent="0.25">
      <c r="A450" s="209" t="s">
        <v>583</v>
      </c>
      <c r="B450" t="str">
        <f>VIN_min&amp;"V"&amp;"..."&amp;VIN_max&amp;"V"</f>
        <v>40V...60V</v>
      </c>
      <c r="I450" s="57"/>
    </row>
    <row r="451" spans="1:9" x14ac:dyDescent="0.25">
      <c r="A451" s="56"/>
      <c r="B451" t="str">
        <f>IF(INFILTER_TYPE=1,B450,"")</f>
        <v>40V...60V</v>
      </c>
      <c r="C451" t="str">
        <f>IF(INFILTER_TYPE=1,"",B450)</f>
        <v/>
      </c>
      <c r="I451" s="57"/>
    </row>
    <row r="452" spans="1:9" ht="13.8" thickBot="1" x14ac:dyDescent="0.3">
      <c r="A452" s="60" t="str">
        <f>CHOOSE(Ext_VCC, "", "Tie VCCX to PGND")</f>
        <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365760</xdr:colOff>
                    <xdr:row>18</xdr:row>
                    <xdr:rowOff>60960</xdr:rowOff>
                  </from>
                  <to>
                    <xdr:col>11</xdr:col>
                    <xdr:colOff>0</xdr:colOff>
                    <xdr:row>19</xdr:row>
                    <xdr:rowOff>137160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365760</xdr:colOff>
                    <xdr:row>15</xdr:row>
                    <xdr:rowOff>137160</xdr:rowOff>
                  </from>
                  <to>
                    <xdr:col>20</xdr:col>
                    <xdr:colOff>30480</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411480</xdr:colOff>
                    <xdr:row>31</xdr:row>
                    <xdr:rowOff>38100</xdr:rowOff>
                  </from>
                  <to>
                    <xdr:col>25</xdr:col>
                    <xdr:colOff>68580</xdr:colOff>
                    <xdr:row>32</xdr:row>
                    <xdr:rowOff>175260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525780</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3.2" x14ac:dyDescent="0.25"/>
  <cols>
    <col min="1" max="1" width="10.5546875" customWidth="1"/>
    <col min="2" max="2" width="102.109375" customWidth="1"/>
  </cols>
  <sheetData>
    <row r="1" spans="1:14" x14ac:dyDescent="0.25">
      <c r="J1" s="113"/>
      <c r="N1" s="113" t="s">
        <v>592</v>
      </c>
    </row>
    <row r="2" spans="1:14" x14ac:dyDescent="0.25">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5">
      <c r="J3" s="113"/>
    </row>
    <row r="4" spans="1:14" ht="19.5" customHeight="1" x14ac:dyDescent="0.25">
      <c r="J4" s="113"/>
    </row>
    <row r="5" spans="1:14" ht="311.10000000000002" customHeight="1" x14ac:dyDescent="0.25">
      <c r="B5" s="521"/>
    </row>
    <row r="6" spans="1:14" ht="12" customHeight="1" x14ac:dyDescent="0.25">
      <c r="B6" s="521"/>
    </row>
    <row r="7" spans="1:14" ht="34.5" customHeight="1" x14ac:dyDescent="0.25"/>
    <row r="8" spans="1:14" ht="311.10000000000002" customHeight="1" x14ac:dyDescent="0.25">
      <c r="B8" s="521"/>
    </row>
    <row r="9" spans="1:14" x14ac:dyDescent="0.25">
      <c r="B9" s="521"/>
    </row>
    <row r="10" spans="1:14" ht="312" customHeight="1" x14ac:dyDescent="0.25">
      <c r="B10" s="521"/>
    </row>
    <row r="12" spans="1:14" ht="311.7" customHeight="1" x14ac:dyDescent="0.25">
      <c r="B12" s="521"/>
    </row>
    <row r="14" spans="1:14" ht="309.75" customHeight="1" x14ac:dyDescent="0.25">
      <c r="B14" s="521"/>
    </row>
    <row r="16" spans="1:14" ht="15" customHeight="1" x14ac:dyDescent="0.25"/>
    <row r="17" spans="2:2" ht="311.7" customHeight="1" x14ac:dyDescent="0.25">
      <c r="B17" s="521" t="s">
        <v>175</v>
      </c>
    </row>
    <row r="18" spans="2:2" ht="9.75" customHeight="1" x14ac:dyDescent="0.25"/>
    <row r="19" spans="2:2" ht="312" customHeight="1" x14ac:dyDescent="0.25">
      <c r="B19" s="521"/>
    </row>
    <row r="20" spans="2:2" ht="16.2" customHeight="1" x14ac:dyDescent="0.25"/>
    <row r="21" spans="2:2" ht="312" customHeight="1" x14ac:dyDescent="0.25">
      <c r="B21" s="521"/>
    </row>
    <row r="23" spans="2:2" ht="409.5" customHeight="1" x14ac:dyDescent="0.25">
      <c r="B23" s="521"/>
    </row>
    <row r="25" spans="2:2" ht="408.75" customHeight="1" x14ac:dyDescent="0.25">
      <c r="B25" s="521"/>
    </row>
    <row r="27" spans="2:2" ht="409.5" customHeight="1" x14ac:dyDescent="0.25">
      <c r="B27" s="521"/>
    </row>
    <row r="29" spans="2:2" ht="409.5" customHeight="1" x14ac:dyDescent="0.25">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109375" defaultRowHeight="13.2" x14ac:dyDescent="0.25"/>
  <cols>
    <col min="1" max="1" width="16.109375" style="307" customWidth="1"/>
    <col min="2" max="2" width="15.6640625" style="307" customWidth="1"/>
    <col min="3" max="3" width="10" style="307" customWidth="1"/>
    <col min="4" max="4" width="10.6640625" style="307" customWidth="1"/>
    <col min="5" max="5" width="10.109375" style="307" customWidth="1"/>
    <col min="6" max="8" width="11.6640625" style="307" customWidth="1"/>
    <col min="9" max="9" width="14.33203125" style="307" customWidth="1"/>
    <col min="10" max="10" width="11" style="307" customWidth="1"/>
    <col min="11" max="11" width="12" style="307" customWidth="1"/>
    <col min="12" max="12" width="11.44140625" style="307" customWidth="1"/>
    <col min="13" max="13" width="10.6640625" style="307" customWidth="1"/>
    <col min="14" max="18" width="11.44140625" style="307" customWidth="1"/>
    <col min="19" max="19" width="12.33203125" style="307" customWidth="1"/>
    <col min="20" max="20" width="12.109375" style="307" customWidth="1"/>
    <col min="21" max="21" width="9.44140625" style="307" customWidth="1"/>
    <col min="22" max="22" width="16.109375" style="307" bestFit="1" customWidth="1"/>
    <col min="23" max="23" width="16.109375" style="347" customWidth="1"/>
    <col min="24" max="24" width="9.109375" style="307"/>
    <col min="25" max="25" width="13.44140625" style="307" bestFit="1" customWidth="1"/>
    <col min="26" max="26" width="9.33203125" style="307" bestFit="1" customWidth="1"/>
    <col min="27" max="27" width="9.109375" style="307"/>
    <col min="28" max="28" width="13.5546875" style="307" customWidth="1"/>
    <col min="29" max="29" width="10.5546875" style="307" customWidth="1"/>
    <col min="30" max="30" width="9.109375" style="307"/>
    <col min="31" max="31" width="9.33203125" style="307" bestFit="1" customWidth="1"/>
    <col min="32" max="32" width="11.33203125" style="307" bestFit="1" customWidth="1"/>
    <col min="33" max="33" width="9.109375" style="307"/>
    <col min="34" max="34" width="12.33203125" customWidth="1"/>
    <col min="35" max="35" width="8.6640625" customWidth="1"/>
    <col min="36" max="16384" width="9.109375" style="307"/>
  </cols>
  <sheetData>
    <row r="1" spans="1:35" ht="13.8" thickBot="1" x14ac:dyDescent="0.3"/>
    <row r="2" spans="1:35" x14ac:dyDescent="0.25">
      <c r="A2" s="853" t="s">
        <v>409</v>
      </c>
      <c r="B2" s="854"/>
      <c r="C2" s="855"/>
      <c r="D2" s="856"/>
      <c r="E2" s="853" t="s">
        <v>315</v>
      </c>
      <c r="F2" s="854"/>
      <c r="G2" s="854"/>
      <c r="H2" s="388"/>
      <c r="I2" s="404"/>
      <c r="J2" s="853" t="s">
        <v>407</v>
      </c>
      <c r="K2" s="855"/>
      <c r="L2" s="856"/>
      <c r="M2" s="853" t="s">
        <v>408</v>
      </c>
      <c r="N2" s="854"/>
      <c r="O2" s="854"/>
      <c r="P2" s="870" t="s">
        <v>835</v>
      </c>
      <c r="Q2" s="854"/>
      <c r="R2" s="854"/>
      <c r="S2" s="862"/>
      <c r="T2" s="853" t="s">
        <v>316</v>
      </c>
      <c r="U2" s="854"/>
      <c r="V2" s="862"/>
      <c r="W2" s="689"/>
      <c r="AH2" s="113"/>
      <c r="AI2" s="113"/>
    </row>
    <row r="3" spans="1:35" x14ac:dyDescent="0.25">
      <c r="B3" s="308" t="s">
        <v>317</v>
      </c>
      <c r="C3" s="391">
        <f>Afb</f>
        <v>6.749667855362608E-2</v>
      </c>
      <c r="D3" s="310" t="s">
        <v>28</v>
      </c>
      <c r="E3" s="311" t="s">
        <v>318</v>
      </c>
      <c r="F3" s="309">
        <f>Acs</f>
        <v>50</v>
      </c>
      <c r="G3" s="310" t="s">
        <v>406</v>
      </c>
      <c r="H3" s="402" t="s">
        <v>334</v>
      </c>
      <c r="I3" s="414">
        <f>gm</f>
        <v>1.1999999999999999E-3</v>
      </c>
      <c r="J3" s="311" t="s">
        <v>425</v>
      </c>
      <c r="K3" s="312">
        <f>Fesr</f>
        <v>795774.71636878187</v>
      </c>
      <c r="L3" s="310" t="s">
        <v>9</v>
      </c>
      <c r="M3" s="311" t="s">
        <v>320</v>
      </c>
      <c r="N3" s="312">
        <f>Fsw/2</f>
        <v>150000</v>
      </c>
      <c r="O3" s="310" t="s">
        <v>9</v>
      </c>
      <c r="P3" s="680" t="s">
        <v>844</v>
      </c>
      <c r="Q3" s="681">
        <f>((1/wffHz)+(1/wfftHz))</f>
        <v>5.8109410928520001E-6</v>
      </c>
      <c r="S3" s="680"/>
      <c r="T3" s="313" t="s">
        <v>321</v>
      </c>
      <c r="U3" s="312">
        <f>IF(VOUT_setting=1,Am*Afb*AEA,Am*AEA)</f>
        <v>3703102.7913071341</v>
      </c>
      <c r="V3" s="310" t="s">
        <v>28</v>
      </c>
    </row>
    <row r="4" spans="1:35" x14ac:dyDescent="0.25">
      <c r="B4" s="308" t="s">
        <v>430</v>
      </c>
      <c r="C4" s="312">
        <f>Fz1_u</f>
        <v>3889.4169910497644</v>
      </c>
      <c r="D4" s="310" t="s">
        <v>9</v>
      </c>
      <c r="E4" s="311" t="s">
        <v>323</v>
      </c>
      <c r="F4" s="317">
        <f>Am</f>
        <v>48.217484261811641</v>
      </c>
      <c r="G4" s="310" t="s">
        <v>28</v>
      </c>
      <c r="H4" s="403"/>
      <c r="I4" s="403"/>
      <c r="J4" s="311" t="s">
        <v>424</v>
      </c>
      <c r="K4" s="312">
        <f>Fp_dominant</f>
        <v>825.19311049896191</v>
      </c>
      <c r="L4" s="310" t="s">
        <v>9</v>
      </c>
      <c r="M4" s="311" t="s">
        <v>325</v>
      </c>
      <c r="N4" s="389">
        <f>Q*pole3</f>
        <v>116625.7811376397</v>
      </c>
      <c r="O4" s="681"/>
      <c r="P4" s="681" t="s">
        <v>845</v>
      </c>
      <c r="Q4" s="681">
        <f>((1/wfbtHz)+(1/wffHz)+(1/wfftHz)+(Afbr/wffHz))</f>
        <v>4.1019852617174042E-5</v>
      </c>
      <c r="R4" s="681"/>
      <c r="T4" s="313" t="s">
        <v>326</v>
      </c>
      <c r="U4" s="353">
        <f>AI7</f>
        <v>39.131500000000003</v>
      </c>
      <c r="V4" s="310" t="s">
        <v>2</v>
      </c>
    </row>
    <row r="5" spans="1:35" x14ac:dyDescent="0.25">
      <c r="B5" s="308" t="s">
        <v>429</v>
      </c>
      <c r="C5" s="317">
        <f>Fp1_u</f>
        <v>0.75342856523137813</v>
      </c>
      <c r="D5" s="310" t="s">
        <v>9</v>
      </c>
      <c r="E5" s="311" t="s">
        <v>27</v>
      </c>
      <c r="F5" s="391">
        <f>Q</f>
        <v>0.77750520758426467</v>
      </c>
      <c r="G5" s="310"/>
      <c r="H5" s="403"/>
      <c r="I5" s="403"/>
      <c r="J5" s="311"/>
      <c r="K5" s="312"/>
      <c r="L5" s="310"/>
      <c r="M5" s="311" t="s">
        <v>328</v>
      </c>
      <c r="N5" s="309">
        <f>pole3^2</f>
        <v>22500000000</v>
      </c>
      <c r="O5" s="402"/>
      <c r="P5" s="402" t="s">
        <v>846</v>
      </c>
      <c r="Q5" s="402">
        <f>1/(wffHz*wfbtHz)</f>
        <v>1.5937437150456741E-12</v>
      </c>
      <c r="R5" s="402"/>
      <c r="S5" s="310"/>
      <c r="T5" s="313" t="s">
        <v>329</v>
      </c>
      <c r="U5" s="317">
        <f>AI9</f>
        <v>60.308247105272031</v>
      </c>
      <c r="V5" s="375" t="s">
        <v>386</v>
      </c>
    </row>
    <row r="6" spans="1:35" x14ac:dyDescent="0.25">
      <c r="B6" s="308" t="s">
        <v>330</v>
      </c>
      <c r="C6" s="309">
        <f>AEA</f>
        <v>76800</v>
      </c>
      <c r="D6" s="310" t="s">
        <v>28</v>
      </c>
      <c r="E6" s="311" t="s">
        <v>358</v>
      </c>
      <c r="F6" s="391">
        <f>mc</f>
        <v>1.1973684210526316</v>
      </c>
      <c r="G6" s="402"/>
      <c r="H6" s="405"/>
      <c r="I6" s="316"/>
      <c r="J6" s="314"/>
      <c r="K6" s="315"/>
      <c r="L6" s="316"/>
      <c r="M6" s="314"/>
      <c r="N6" s="417"/>
      <c r="O6" s="682"/>
      <c r="P6" s="682" t="s">
        <v>847</v>
      </c>
      <c r="Q6" s="688">
        <f>Rfb1_/Rfb2_u</f>
        <v>14.124293785310735</v>
      </c>
      <c r="R6" s="682"/>
      <c r="S6" s="316"/>
      <c r="T6" s="387" t="s">
        <v>331</v>
      </c>
      <c r="U6" s="315">
        <f>180/Pi</f>
        <v>57.295779578552292</v>
      </c>
      <c r="V6" s="316"/>
      <c r="AH6" s="5" t="s">
        <v>46</v>
      </c>
      <c r="AI6" s="5"/>
    </row>
    <row r="7" spans="1:35" ht="13.8" thickBot="1" x14ac:dyDescent="0.3">
      <c r="B7" s="383" t="s">
        <v>428</v>
      </c>
      <c r="C7" s="390">
        <f>Fp2_u</f>
        <v>146133.79932357057</v>
      </c>
      <c r="D7" s="385" t="s">
        <v>9</v>
      </c>
      <c r="E7" s="384" t="s">
        <v>333</v>
      </c>
      <c r="F7" s="386">
        <f>k</f>
        <v>0.90939904124438276</v>
      </c>
      <c r="G7" s="386"/>
      <c r="H7" s="406"/>
      <c r="I7" s="385"/>
      <c r="J7" s="384"/>
      <c r="K7" s="384"/>
      <c r="L7" s="385"/>
      <c r="M7" s="384"/>
      <c r="N7" s="384"/>
      <c r="O7" s="384"/>
      <c r="P7" s="384"/>
      <c r="Q7" s="384"/>
      <c r="R7" s="384"/>
      <c r="S7" s="385"/>
      <c r="T7" s="384"/>
      <c r="U7" s="384"/>
      <c r="V7" s="385"/>
      <c r="AH7" t="s">
        <v>43</v>
      </c>
      <c r="AI7">
        <f>SUM(AH12:AH613)/1000</f>
        <v>39.131500000000003</v>
      </c>
    </row>
    <row r="8" spans="1:35" x14ac:dyDescent="0.25">
      <c r="B8" s="392"/>
      <c r="C8" s="393"/>
      <c r="F8" s="394"/>
      <c r="G8" s="394"/>
      <c r="H8" s="394"/>
    </row>
    <row r="9" spans="1:35" ht="13.8" thickBot="1" x14ac:dyDescent="0.3">
      <c r="AH9" t="s">
        <v>44</v>
      </c>
      <c r="AI9" s="4">
        <f>SUM(AI13:AI613)</f>
        <v>60.308247105272031</v>
      </c>
    </row>
    <row r="10" spans="1:35" ht="13.8" x14ac:dyDescent="0.25">
      <c r="A10" s="857" t="s">
        <v>437</v>
      </c>
      <c r="B10" s="851"/>
      <c r="C10" s="865" t="s">
        <v>335</v>
      </c>
      <c r="D10" s="866"/>
      <c r="E10" s="866"/>
      <c r="F10" s="866"/>
      <c r="G10" s="866"/>
      <c r="H10" s="867"/>
      <c r="I10" s="865" t="s">
        <v>336</v>
      </c>
      <c r="J10" s="866"/>
      <c r="K10" s="866"/>
      <c r="L10" s="866"/>
      <c r="M10" s="866"/>
      <c r="N10" s="867"/>
      <c r="O10" s="865" t="s">
        <v>833</v>
      </c>
      <c r="P10" s="866"/>
      <c r="Q10" s="866"/>
      <c r="R10" s="866"/>
      <c r="S10" s="860" t="s">
        <v>337</v>
      </c>
      <c r="T10" s="861"/>
      <c r="U10" s="860" t="s">
        <v>338</v>
      </c>
      <c r="V10" s="868"/>
      <c r="W10" s="869"/>
      <c r="AB10" s="871" t="s">
        <v>339</v>
      </c>
      <c r="AC10" s="872"/>
      <c r="AE10" s="871" t="s">
        <v>340</v>
      </c>
      <c r="AF10" s="872"/>
    </row>
    <row r="11" spans="1:35" x14ac:dyDescent="0.25">
      <c r="A11" s="858"/>
      <c r="B11" s="852"/>
      <c r="C11" s="873" t="s">
        <v>424</v>
      </c>
      <c r="D11" s="874"/>
      <c r="E11" s="874" t="s">
        <v>425</v>
      </c>
      <c r="F11" s="875"/>
      <c r="G11" s="863" t="s">
        <v>426</v>
      </c>
      <c r="H11" s="864"/>
      <c r="I11" s="873" t="s">
        <v>324</v>
      </c>
      <c r="J11" s="874"/>
      <c r="K11" s="874" t="s">
        <v>319</v>
      </c>
      <c r="L11" s="875"/>
      <c r="M11" s="863" t="s">
        <v>327</v>
      </c>
      <c r="N11" s="864"/>
      <c r="O11" s="873" t="s">
        <v>319</v>
      </c>
      <c r="P11" s="874"/>
      <c r="Q11" s="874" t="s">
        <v>834</v>
      </c>
      <c r="R11" s="875"/>
      <c r="S11" s="873" t="s">
        <v>320</v>
      </c>
      <c r="T11" s="875"/>
      <c r="U11" s="311"/>
      <c r="V11" s="309"/>
      <c r="W11" s="354"/>
      <c r="AB11" s="311"/>
      <c r="AC11" s="310"/>
      <c r="AE11" s="311"/>
      <c r="AF11" s="310"/>
    </row>
    <row r="12" spans="1:35" ht="13.8" thickBot="1" x14ac:dyDescent="0.3">
      <c r="A12" s="859"/>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5">
      <c r="A13" s="324">
        <v>1</v>
      </c>
      <c r="B13" s="352">
        <f>A13/1000</f>
        <v>1E-3</v>
      </c>
      <c r="C13" s="325">
        <f t="shared" ref="C13:C76" si="0">SQRT(1+(A13/pole1)^2)</f>
        <v>1.000000734274858</v>
      </c>
      <c r="D13" s="326">
        <f t="shared" ref="D13:D76" si="1">ATAN(A13/pole1)</f>
        <v>1.2118369600529252E-3</v>
      </c>
      <c r="E13" s="326">
        <f t="shared" ref="E13:E76" si="2">SQRT(1+(A13/Zero1)^2)</f>
        <v>1.0000000000007896</v>
      </c>
      <c r="F13" s="327">
        <f t="shared" ref="F13:F76" si="3">ATAN(A13/Zero1)</f>
        <v>1.2566370599993386E-6</v>
      </c>
      <c r="G13" s="326">
        <f t="shared" ref="G13:G76" si="4">IF(VIN_nom&gt;Vout, 1, SQRT(1+(A13/z_RHP)^2))</f>
        <v>1</v>
      </c>
      <c r="H13" s="327">
        <f t="shared" ref="H13:H76" si="5">IF(VIN_nom&gt;Vout, 0, -ATAN(A13/z_RHP))</f>
        <v>0</v>
      </c>
      <c r="I13" s="325">
        <f t="shared" ref="I13:I76" si="6">SQRT(1+(A13/Pole2)^2)</f>
        <v>1.6618166622095933</v>
      </c>
      <c r="J13" s="328">
        <f t="shared" ref="J13:J76" si="7">ATAN(A13/Pole2)</f>
        <v>0.92510454497905803</v>
      </c>
      <c r="K13" s="326">
        <f t="shared" ref="K13:K76" si="8">SQRT(1+(A13/Zero2)^2)</f>
        <v>1.0000000330522465</v>
      </c>
      <c r="L13" s="327">
        <f t="shared" ref="L13:L76" si="9">ATAN(A13/Zero2)</f>
        <v>2.5710793681067012E-4</v>
      </c>
      <c r="M13" s="325">
        <f t="shared" ref="M13:M76" si="10">SQRT(1+(A13/pole4)^2)</f>
        <v>1.0000000000234137</v>
      </c>
      <c r="N13" s="690">
        <f t="shared" ref="N13:N76" si="11">ATAN(A13/pole4)</f>
        <v>6.8430438722131858E-6</v>
      </c>
      <c r="O13" s="683">
        <f t="shared" ref="O13:O76" si="12">IF(VOUT_setting=1,1,SQRT(1+(A13*zterm1)^2))</f>
        <v>1.0000000000168834</v>
      </c>
      <c r="P13" s="684">
        <f t="shared" ref="P13:P76" si="13">IF(VOUT_setting=1,0,ATAN(((A13*zterm1))))</f>
        <v>5.8109410927865939E-6</v>
      </c>
      <c r="Q13" s="683">
        <f>IF(VOUT_setting=1,1,SQRT((1+Afbr-pterm4*(A13)^2)^2+(A13*$Q$4)^2))</f>
        <v>15.124293785364769</v>
      </c>
      <c r="R13" s="690">
        <f t="shared" ref="R13:R76" si="14">IF(VOUT_setting=1,0,ATAN(A13*$Q$4/(1+Afbr-$Q$5*(A13)^2)))</f>
        <v>2.7121830083013699E-6</v>
      </c>
      <c r="S13" s="329">
        <f t="shared" ref="S13:S76" si="15">SQRT((1-(Z13/pterm2))^2+(A13/pterm1)^2)</f>
        <v>0.99999999999231592</v>
      </c>
      <c r="T13" s="330">
        <f t="shared" ref="T13:T76" si="16">IF((ATAN((A13/pterm1)/(1-A13^2/pterm2))&gt;0),ATAN((A13/pterm1)/(1-A13^2/pterm2)),PI()+ATAN((A13/pterm1)/(1-A13^2/pterm2)))</f>
        <v>8.5744334594402834E-6</v>
      </c>
      <c r="U13" s="331">
        <f t="shared" ref="U13:U76" si="17">20*LOG10(((E13*K13*G13*O13)/(C13*I13*S13*M13*Q13))*Adc)</f>
        <v>103.36614497917245</v>
      </c>
      <c r="V13" s="332">
        <f t="shared" ref="V13:V76" si="18">((F13+L13+H13+P13)-(D13+J13+T13+N13+R13))*radconv</f>
        <v>-53.059921850532632</v>
      </c>
      <c r="W13" s="563">
        <f t="shared" ref="W13:W76" si="19">IF(V13&gt;0,V13,V13+180)</f>
        <v>126.94007814946737</v>
      </c>
      <c r="Y13" s="307">
        <f t="shared" ref="Y13:Y76" si="20">IF(U13&lt;0,A13,1000000000)</f>
        <v>1000000000</v>
      </c>
      <c r="Z13" s="307">
        <f t="shared" ref="Z13:Z76" si="21">A13^2</f>
        <v>1</v>
      </c>
      <c r="AB13" s="333">
        <f t="shared" ref="AB13:AB76" si="22">20*LOG10((K13/(I13*M13))*AEA)</f>
        <v>93.295562505324142</v>
      </c>
      <c r="AC13" s="334">
        <f t="shared" ref="AC13:AC76" si="23">(L13-(J13+N13))*radconv</f>
        <v>-52.990246974094973</v>
      </c>
      <c r="AE13" s="333">
        <f t="shared" ref="AE13:AE76" si="24">20*LOG10((E13*G13/(C13*S13))*Acs*Am)</f>
        <v>67.643484656955579</v>
      </c>
      <c r="AF13" s="334">
        <f t="shared" ref="AF13:AF76" si="25">(F13+H13-(D13+T13))*radconv</f>
        <v>-6.9852422197838368E-2</v>
      </c>
      <c r="AH13">
        <f t="shared" ref="AH13:AH76" si="26">SUM((U14&lt;0)*(U13&gt;0))*A13</f>
        <v>0</v>
      </c>
      <c r="AI13">
        <f t="shared" ref="AI13:AI44" si="27">IF(AH13&gt;0,W11,0)</f>
        <v>0</v>
      </c>
    </row>
    <row r="14" spans="1:35" x14ac:dyDescent="0.25">
      <c r="A14" s="335">
        <v>1.0965</v>
      </c>
      <c r="B14" s="352">
        <f t="shared" ref="B14:B77" si="28">A14/1000</f>
        <v>1.0965E-3</v>
      </c>
      <c r="C14" s="325">
        <f t="shared" si="0"/>
        <v>1.0000008828275913</v>
      </c>
      <c r="D14" s="326">
        <f t="shared" si="1"/>
        <v>1.3287790951022596E-3</v>
      </c>
      <c r="E14" s="326">
        <f t="shared" si="2"/>
        <v>1.0000000000009495</v>
      </c>
      <c r="F14" s="327">
        <f t="shared" si="3"/>
        <v>1.3779025362891282E-6</v>
      </c>
      <c r="G14" s="326">
        <f t="shared" si="4"/>
        <v>1</v>
      </c>
      <c r="H14" s="327">
        <f t="shared" si="5"/>
        <v>0</v>
      </c>
      <c r="I14" s="325">
        <f t="shared" si="6"/>
        <v>1.7657958212104352</v>
      </c>
      <c r="J14" s="328">
        <f t="shared" si="7"/>
        <v>0.96876614346746304</v>
      </c>
      <c r="K14" s="336">
        <f t="shared" si="8"/>
        <v>1.0000000397391207</v>
      </c>
      <c r="L14" s="337">
        <f t="shared" si="9"/>
        <v>2.8191885145612922E-4</v>
      </c>
      <c r="M14" s="325">
        <f t="shared" si="10"/>
        <v>1.0000000000281504</v>
      </c>
      <c r="N14" s="337">
        <f t="shared" si="11"/>
        <v>7.5033976058580636E-6</v>
      </c>
      <c r="O14" s="343">
        <f t="shared" si="12"/>
        <v>1.0000000000202993</v>
      </c>
      <c r="P14" s="691">
        <f t="shared" si="13"/>
        <v>6.3716969082259915E-6</v>
      </c>
      <c r="Q14" s="336">
        <f>IF(VOUT_setting=1,1,SQRT((1+Afbr-pterm4*(A14)^2)^2+(A14*$Q$4)^2))</f>
        <v>15.1242937853757</v>
      </c>
      <c r="R14" s="692">
        <f t="shared" si="14"/>
        <v>2.9739086686010407E-6</v>
      </c>
      <c r="S14" s="329">
        <f t="shared" si="15"/>
        <v>0.99999999999076139</v>
      </c>
      <c r="T14" s="330">
        <f t="shared" si="16"/>
        <v>9.401866288314197E-6</v>
      </c>
      <c r="U14" s="331">
        <f t="shared" si="17"/>
        <v>102.83899623476475</v>
      </c>
      <c r="V14" s="332">
        <f t="shared" si="18"/>
        <v>-55.566887066393193</v>
      </c>
      <c r="W14" s="334">
        <f t="shared" si="19"/>
        <v>124.43311293360681</v>
      </c>
      <c r="Y14" s="307">
        <f t="shared" si="20"/>
        <v>1000000000</v>
      </c>
      <c r="Z14" s="307">
        <f t="shared" si="21"/>
        <v>1.2023122500000001</v>
      </c>
      <c r="AB14" s="333">
        <f t="shared" si="22"/>
        <v>92.768415051189791</v>
      </c>
      <c r="AC14" s="334">
        <f t="shared" si="23"/>
        <v>-55.49048857191918</v>
      </c>
      <c r="AE14" s="333">
        <f t="shared" si="24"/>
        <v>67.64348336665887</v>
      </c>
      <c r="AF14" s="334">
        <f t="shared" si="25"/>
        <v>-7.6593173400049563E-2</v>
      </c>
      <c r="AH14">
        <f t="shared" si="26"/>
        <v>0</v>
      </c>
      <c r="AI14">
        <f t="shared" si="27"/>
        <v>0</v>
      </c>
    </row>
    <row r="15" spans="1:35" x14ac:dyDescent="0.25">
      <c r="A15" s="335">
        <v>1.2022999999999999</v>
      </c>
      <c r="B15" s="352">
        <f t="shared" si="28"/>
        <v>1.2022999999999999E-3</v>
      </c>
      <c r="C15" s="325">
        <f t="shared" si="0"/>
        <v>1.0000010614127037</v>
      </c>
      <c r="D15" s="326">
        <f t="shared" si="1"/>
        <v>1.4569912593138186E-3</v>
      </c>
      <c r="E15" s="326">
        <f t="shared" si="2"/>
        <v>1.0000000000011413</v>
      </c>
      <c r="F15" s="327">
        <f t="shared" si="3"/>
        <v>1.5108547372368504E-6</v>
      </c>
      <c r="G15" s="326">
        <f t="shared" si="4"/>
        <v>1</v>
      </c>
      <c r="H15" s="327">
        <f t="shared" si="5"/>
        <v>0</v>
      </c>
      <c r="I15" s="325">
        <f t="shared" si="6"/>
        <v>1.8832119883887741</v>
      </c>
      <c r="J15" s="328">
        <f t="shared" si="7"/>
        <v>1.0110070324912452</v>
      </c>
      <c r="K15" s="336">
        <f t="shared" si="8"/>
        <v>1.0000000477778579</v>
      </c>
      <c r="L15" s="337">
        <f t="shared" si="9"/>
        <v>3.091208693928062E-4</v>
      </c>
      <c r="M15" s="325">
        <f t="shared" si="10"/>
        <v>1.0000000000338449</v>
      </c>
      <c r="N15" s="337">
        <f t="shared" si="11"/>
        <v>8.2273916475046979E-6</v>
      </c>
      <c r="O15" s="343">
        <f t="shared" si="12"/>
        <v>1.0000000000244056</v>
      </c>
      <c r="P15" s="691">
        <f t="shared" si="13"/>
        <v>6.9864944758222864E-6</v>
      </c>
      <c r="Q15" s="336">
        <f t="shared" ref="Q15:Q78" si="29">IF(VOUT_setting=1,1,SQRT((1+Afbr-$Q$5*(A15)^2)^2+(A15*$Q$4)^2))</f>
        <v>15.12429378538884</v>
      </c>
      <c r="R15" s="692">
        <f t="shared" si="14"/>
        <v>3.2608576308773277E-6</v>
      </c>
      <c r="S15" s="329">
        <f t="shared" si="15"/>
        <v>0.99999999998889255</v>
      </c>
      <c r="T15" s="330">
        <f t="shared" si="16"/>
        <v>1.0309041348376626E-5</v>
      </c>
      <c r="U15" s="331">
        <f t="shared" si="17"/>
        <v>102.27982024388469</v>
      </c>
      <c r="V15" s="332">
        <f t="shared" si="18"/>
        <v>-57.992966245341954</v>
      </c>
      <c r="W15" s="334">
        <f t="shared" si="19"/>
        <v>122.00703375465804</v>
      </c>
      <c r="Y15" s="307">
        <f t="shared" si="20"/>
        <v>1000000000</v>
      </c>
      <c r="Z15" s="307">
        <f t="shared" si="21"/>
        <v>1.4455252899999997</v>
      </c>
      <c r="AB15" s="333">
        <f t="shared" si="22"/>
        <v>92.209240611432762</v>
      </c>
      <c r="AC15" s="334">
        <f t="shared" si="23"/>
        <v>-57.90919615960712</v>
      </c>
      <c r="AE15" s="333">
        <f t="shared" si="24"/>
        <v>67.643481815507698</v>
      </c>
      <c r="AF15" s="334">
        <f t="shared" si="25"/>
        <v>-8.3983549002284705E-2</v>
      </c>
      <c r="AH15">
        <f t="shared" si="26"/>
        <v>0</v>
      </c>
      <c r="AI15">
        <f t="shared" si="27"/>
        <v>0</v>
      </c>
    </row>
    <row r="16" spans="1:35" x14ac:dyDescent="0.25">
      <c r="A16" s="335">
        <v>1.3183</v>
      </c>
      <c r="B16" s="352">
        <f t="shared" si="28"/>
        <v>1.3183000000000001E-3</v>
      </c>
      <c r="C16" s="325">
        <f t="shared" si="0"/>
        <v>1.0000012761068637</v>
      </c>
      <c r="D16" s="326">
        <f t="shared" si="1"/>
        <v>1.5975640873638567E-3</v>
      </c>
      <c r="E16" s="326">
        <f t="shared" si="2"/>
        <v>1.0000000000013722</v>
      </c>
      <c r="F16" s="327">
        <f t="shared" si="3"/>
        <v>1.6566246361964847E-6</v>
      </c>
      <c r="G16" s="326">
        <f t="shared" si="4"/>
        <v>1</v>
      </c>
      <c r="H16" s="327">
        <f t="shared" si="5"/>
        <v>0</v>
      </c>
      <c r="I16" s="325">
        <f t="shared" si="6"/>
        <v>2.0153339759820295</v>
      </c>
      <c r="J16" s="328">
        <f t="shared" si="7"/>
        <v>1.0515848663013667</v>
      </c>
      <c r="K16" s="336">
        <f t="shared" si="8"/>
        <v>1.0000000574419907</v>
      </c>
      <c r="L16" s="337">
        <f t="shared" si="9"/>
        <v>3.3894538758631238E-4</v>
      </c>
      <c r="M16" s="325">
        <f t="shared" si="10"/>
        <v>1.000000000040691</v>
      </c>
      <c r="N16" s="337">
        <f t="shared" si="11"/>
        <v>9.0211847366347358E-6</v>
      </c>
      <c r="O16" s="343">
        <f t="shared" si="12"/>
        <v>1.0000000000293421</v>
      </c>
      <c r="P16" s="691">
        <f t="shared" si="13"/>
        <v>7.6605636425569403E-6</v>
      </c>
      <c r="Q16" s="336">
        <f t="shared" si="29"/>
        <v>15.124293785404641</v>
      </c>
      <c r="R16" s="692">
        <f t="shared" si="14"/>
        <v>3.5754708598375044E-6</v>
      </c>
      <c r="S16" s="329">
        <f t="shared" si="15"/>
        <v>0.9999999999866459</v>
      </c>
      <c r="T16" s="330">
        <f t="shared" si="16"/>
        <v>1.1303675629746429E-5</v>
      </c>
      <c r="U16" s="331">
        <f t="shared" si="17"/>
        <v>101.6908621347159</v>
      </c>
      <c r="V16" s="332">
        <f t="shared" si="18"/>
        <v>-60.324323799884255</v>
      </c>
      <c r="W16" s="334">
        <f t="shared" si="19"/>
        <v>119.67567620011575</v>
      </c>
      <c r="Y16" s="307">
        <f t="shared" si="20"/>
        <v>1000000000</v>
      </c>
      <c r="Z16" s="307">
        <f t="shared" si="21"/>
        <v>1.7379148900000001</v>
      </c>
      <c r="AB16" s="333">
        <f t="shared" si="22"/>
        <v>91.620284367016254</v>
      </c>
      <c r="AC16" s="334">
        <f t="shared" si="23"/>
        <v>-60.232471443340373</v>
      </c>
      <c r="AE16" s="333">
        <f t="shared" si="24"/>
        <v>67.643479950721613</v>
      </c>
      <c r="AF16" s="334">
        <f t="shared" si="25"/>
        <v>-9.2086415119520079E-2</v>
      </c>
      <c r="AH16">
        <f t="shared" si="26"/>
        <v>0</v>
      </c>
      <c r="AI16">
        <f t="shared" si="27"/>
        <v>0</v>
      </c>
    </row>
    <row r="17" spans="1:35" x14ac:dyDescent="0.25">
      <c r="A17" s="335">
        <v>1.4454</v>
      </c>
      <c r="B17" s="352">
        <f t="shared" si="28"/>
        <v>1.4454000000000001E-3</v>
      </c>
      <c r="C17" s="325">
        <f t="shared" si="0"/>
        <v>1.0000015340325865</v>
      </c>
      <c r="D17" s="326">
        <f t="shared" si="1"/>
        <v>1.7515882081635546E-3</v>
      </c>
      <c r="E17" s="326">
        <f t="shared" si="2"/>
        <v>1.0000000000016496</v>
      </c>
      <c r="F17" s="327">
        <f t="shared" si="3"/>
        <v>1.8163432065220026E-6</v>
      </c>
      <c r="G17" s="326">
        <f t="shared" si="4"/>
        <v>1</v>
      </c>
      <c r="H17" s="327">
        <f t="shared" si="5"/>
        <v>0</v>
      </c>
      <c r="I17" s="325">
        <f t="shared" si="6"/>
        <v>2.1634171711427688</v>
      </c>
      <c r="J17" s="328">
        <f t="shared" si="7"/>
        <v>1.0902860802919385</v>
      </c>
      <c r="K17" s="336">
        <f t="shared" si="8"/>
        <v>1.0000000690521293</v>
      </c>
      <c r="L17" s="337">
        <f t="shared" si="9"/>
        <v>3.7162380294720055E-4</v>
      </c>
      <c r="M17" s="325">
        <f t="shared" si="10"/>
        <v>1.0000000000489153</v>
      </c>
      <c r="N17" s="337">
        <f t="shared" si="11"/>
        <v>9.8909356127287817E-6</v>
      </c>
      <c r="O17" s="343">
        <f t="shared" si="12"/>
        <v>1.0000000000352727</v>
      </c>
      <c r="P17" s="691">
        <f t="shared" si="13"/>
        <v>8.3991342554107729E-6</v>
      </c>
      <c r="Q17" s="336">
        <f t="shared" si="29"/>
        <v>15.124293785423621</v>
      </c>
      <c r="R17" s="692">
        <f t="shared" si="14"/>
        <v>3.9201893201887803E-6</v>
      </c>
      <c r="S17" s="329">
        <f t="shared" si="15"/>
        <v>0.99999999998394673</v>
      </c>
      <c r="T17" s="330">
        <f t="shared" si="16"/>
        <v>1.2393486122544118E-5</v>
      </c>
      <c r="U17" s="331">
        <f t="shared" si="17"/>
        <v>101.07499507942306</v>
      </c>
      <c r="V17" s="332">
        <f t="shared" si="18"/>
        <v>-62.548773180232232</v>
      </c>
      <c r="W17" s="334">
        <f t="shared" si="19"/>
        <v>117.45122681976777</v>
      </c>
      <c r="Y17" s="307">
        <f t="shared" si="20"/>
        <v>1000000000</v>
      </c>
      <c r="Z17" s="307">
        <f t="shared" si="21"/>
        <v>2.0891811599999999</v>
      </c>
      <c r="AB17" s="333">
        <f t="shared" si="22"/>
        <v>91.004419551968141</v>
      </c>
      <c r="AC17" s="334">
        <f t="shared" si="23"/>
        <v>-62.448065167337568</v>
      </c>
      <c r="AE17" s="333">
        <f t="shared" si="24"/>
        <v>67.643477710436258</v>
      </c>
      <c r="AF17" s="334">
        <f t="shared" si="25"/>
        <v>-0.10096463753641766</v>
      </c>
      <c r="AH17">
        <f t="shared" si="26"/>
        <v>0</v>
      </c>
      <c r="AI17">
        <f t="shared" si="27"/>
        <v>0</v>
      </c>
    </row>
    <row r="18" spans="1:35" x14ac:dyDescent="0.25">
      <c r="A18" s="335">
        <v>1.5849</v>
      </c>
      <c r="B18" s="352">
        <f t="shared" si="28"/>
        <v>1.5849E-3</v>
      </c>
      <c r="C18" s="325">
        <f t="shared" si="0"/>
        <v>1.0000018444298739</v>
      </c>
      <c r="D18" s="326">
        <f t="shared" si="1"/>
        <v>1.9206389765173701E-3</v>
      </c>
      <c r="E18" s="326">
        <f t="shared" si="2"/>
        <v>1.0000000000019833</v>
      </c>
      <c r="F18" s="327">
        <f t="shared" si="3"/>
        <v>1.9916440763913668E-6</v>
      </c>
      <c r="G18" s="326">
        <f t="shared" si="4"/>
        <v>1</v>
      </c>
      <c r="H18" s="327">
        <f t="shared" si="5"/>
        <v>0</v>
      </c>
      <c r="I18" s="325">
        <f t="shared" si="6"/>
        <v>2.3291767021096899</v>
      </c>
      <c r="J18" s="328">
        <f t="shared" si="7"/>
        <v>1.1270386060624267</v>
      </c>
      <c r="K18" s="336">
        <f t="shared" si="8"/>
        <v>1.0000000830242006</v>
      </c>
      <c r="L18" s="337">
        <f t="shared" si="9"/>
        <v>4.0749035547583853E-4</v>
      </c>
      <c r="M18" s="325">
        <f t="shared" si="10"/>
        <v>1.000000000058813</v>
      </c>
      <c r="N18" s="337">
        <f t="shared" si="11"/>
        <v>1.084554023281473E-5</v>
      </c>
      <c r="O18" s="343">
        <f t="shared" si="12"/>
        <v>1.0000000000424099</v>
      </c>
      <c r="P18" s="691">
        <f t="shared" si="13"/>
        <v>9.2097605378007458E-6</v>
      </c>
      <c r="Q18" s="336">
        <f t="shared" si="29"/>
        <v>15.124293785446461</v>
      </c>
      <c r="R18" s="692">
        <f t="shared" si="14"/>
        <v>4.2985388498415901E-6</v>
      </c>
      <c r="S18" s="329">
        <f t="shared" si="15"/>
        <v>0.99999999998069855</v>
      </c>
      <c r="T18" s="330">
        <f t="shared" si="16"/>
        <v>1.3589619590276547E-5</v>
      </c>
      <c r="U18" s="331">
        <f t="shared" si="17"/>
        <v>100.43374920529814</v>
      </c>
      <c r="V18" s="332">
        <f t="shared" si="18"/>
        <v>-64.662257105788299</v>
      </c>
      <c r="W18" s="334">
        <f t="shared" si="19"/>
        <v>115.3377428942117</v>
      </c>
      <c r="Y18" s="307">
        <f t="shared" si="20"/>
        <v>1000000000</v>
      </c>
      <c r="Z18" s="307">
        <f t="shared" si="21"/>
        <v>2.51190801</v>
      </c>
      <c r="AB18" s="333">
        <f t="shared" si="22"/>
        <v>90.363176373835302</v>
      </c>
      <c r="AC18" s="334">
        <f t="shared" si="23"/>
        <v>-64.551829475566493</v>
      </c>
      <c r="AE18" s="333">
        <f t="shared" si="24"/>
        <v>67.643475014395335</v>
      </c>
      <c r="AF18" s="334">
        <f t="shared" si="25"/>
        <v>-0.11070902249711652</v>
      </c>
      <c r="AH18">
        <f t="shared" si="26"/>
        <v>0</v>
      </c>
      <c r="AI18">
        <f t="shared" si="27"/>
        <v>0</v>
      </c>
    </row>
    <row r="19" spans="1:35" x14ac:dyDescent="0.25">
      <c r="A19" s="335">
        <v>1.7378</v>
      </c>
      <c r="B19" s="352">
        <f t="shared" si="28"/>
        <v>1.7378000000000001E-3</v>
      </c>
      <c r="C19" s="325">
        <f t="shared" si="0"/>
        <v>1.0000022174708618</v>
      </c>
      <c r="D19" s="326">
        <f t="shared" si="1"/>
        <v>2.1059281868450169E-3</v>
      </c>
      <c r="E19" s="326">
        <f t="shared" si="2"/>
        <v>1.0000000000023843</v>
      </c>
      <c r="F19" s="327">
        <f t="shared" si="3"/>
        <v>2.1837838828645288E-6</v>
      </c>
      <c r="G19" s="326">
        <f t="shared" si="4"/>
        <v>1</v>
      </c>
      <c r="H19" s="327">
        <f t="shared" si="5"/>
        <v>0</v>
      </c>
      <c r="I19" s="325">
        <f t="shared" si="6"/>
        <v>2.513970251124932</v>
      </c>
      <c r="J19" s="328">
        <f t="shared" si="7"/>
        <v>1.1617034950809291</v>
      </c>
      <c r="K19" s="336">
        <f t="shared" si="8"/>
        <v>1.0000000998160903</v>
      </c>
      <c r="L19" s="337">
        <f t="shared" si="9"/>
        <v>4.4680215270276368E-4</v>
      </c>
      <c r="M19" s="325">
        <f t="shared" si="10"/>
        <v>1.0000000000707079</v>
      </c>
      <c r="N19" s="337">
        <f t="shared" si="11"/>
        <v>1.189184164075713E-5</v>
      </c>
      <c r="O19" s="343">
        <f t="shared" si="12"/>
        <v>1.0000000000509872</v>
      </c>
      <c r="P19" s="691">
        <f t="shared" si="13"/>
        <v>1.0098253430814951E-5</v>
      </c>
      <c r="Q19" s="336">
        <f t="shared" si="29"/>
        <v>15.124293785473913</v>
      </c>
      <c r="R19" s="692">
        <f t="shared" si="14"/>
        <v>4.7132316318037793E-6</v>
      </c>
      <c r="S19" s="329">
        <f t="shared" si="15"/>
        <v>0.99999999997679478</v>
      </c>
      <c r="T19" s="330">
        <f t="shared" si="16"/>
        <v>1.4900650466415415E-5</v>
      </c>
      <c r="U19" s="331">
        <f t="shared" si="17"/>
        <v>99.770592174585389</v>
      </c>
      <c r="V19" s="332">
        <f t="shared" si="18"/>
        <v>-66.656869745436083</v>
      </c>
      <c r="W19" s="334">
        <f t="shared" si="19"/>
        <v>113.34313025456392</v>
      </c>
      <c r="Y19" s="307">
        <f t="shared" si="20"/>
        <v>1000000000</v>
      </c>
      <c r="Z19" s="307">
        <f t="shared" si="21"/>
        <v>3.0199488400000001</v>
      </c>
      <c r="AB19" s="333">
        <f t="shared" si="22"/>
        <v>89.700022583212672</v>
      </c>
      <c r="AC19" s="334">
        <f t="shared" si="23"/>
        <v>-66.53578886447167</v>
      </c>
      <c r="AE19" s="333">
        <f t="shared" si="24"/>
        <v>67.64347177424645</v>
      </c>
      <c r="AF19" s="334">
        <f t="shared" si="25"/>
        <v>-0.12138941998643336</v>
      </c>
      <c r="AH19">
        <f t="shared" si="26"/>
        <v>0</v>
      </c>
      <c r="AI19">
        <f t="shared" si="27"/>
        <v>0</v>
      </c>
    </row>
    <row r="20" spans="1:35" x14ac:dyDescent="0.25">
      <c r="A20" s="335">
        <v>1.9055</v>
      </c>
      <c r="B20" s="352">
        <f t="shared" si="28"/>
        <v>1.9055000000000001E-3</v>
      </c>
      <c r="C20" s="325">
        <f t="shared" si="0"/>
        <v>1.0000026660982193</v>
      </c>
      <c r="D20" s="326">
        <f t="shared" si="1"/>
        <v>2.3091523534663344E-3</v>
      </c>
      <c r="E20" s="326">
        <f t="shared" si="2"/>
        <v>1.0000000000028668</v>
      </c>
      <c r="F20" s="327">
        <f t="shared" si="3"/>
        <v>2.3945219178254238E-6</v>
      </c>
      <c r="G20" s="326">
        <f t="shared" si="4"/>
        <v>1</v>
      </c>
      <c r="H20" s="327">
        <f t="shared" si="5"/>
        <v>0</v>
      </c>
      <c r="I20" s="325">
        <f t="shared" si="6"/>
        <v>2.7196272588056658</v>
      </c>
      <c r="J20" s="328">
        <f t="shared" si="7"/>
        <v>1.1942645303837731</v>
      </c>
      <c r="K20" s="336">
        <f t="shared" si="8"/>
        <v>1.0000001200103965</v>
      </c>
      <c r="L20" s="337">
        <f t="shared" si="9"/>
        <v>4.8991914519109104E-4</v>
      </c>
      <c r="M20" s="325">
        <f t="shared" si="10"/>
        <v>1.0000000000850133</v>
      </c>
      <c r="N20" s="337">
        <f t="shared" si="11"/>
        <v>1.3039420097966742E-5</v>
      </c>
      <c r="O20" s="343">
        <f t="shared" si="12"/>
        <v>1.000000000061303</v>
      </c>
      <c r="P20" s="691">
        <f t="shared" si="13"/>
        <v>1.1072748251976958E-5</v>
      </c>
      <c r="Q20" s="336">
        <f t="shared" si="29"/>
        <v>15.124293785506925</v>
      </c>
      <c r="R20" s="692">
        <f t="shared" si="14"/>
        <v>5.168064722286355E-6</v>
      </c>
      <c r="S20" s="329">
        <f t="shared" si="15"/>
        <v>0.99999999997209987</v>
      </c>
      <c r="T20" s="330">
        <f t="shared" si="16"/>
        <v>1.633858295782049E-5</v>
      </c>
      <c r="U20" s="331">
        <f t="shared" si="17"/>
        <v>99.087603427967949</v>
      </c>
      <c r="V20" s="332">
        <f t="shared" si="18"/>
        <v>-68.531759402396801</v>
      </c>
      <c r="W20" s="334">
        <f t="shared" si="19"/>
        <v>111.4682405976032</v>
      </c>
      <c r="Y20" s="307">
        <f t="shared" si="20"/>
        <v>1000000000</v>
      </c>
      <c r="Z20" s="307">
        <f t="shared" si="21"/>
        <v>3.63093025</v>
      </c>
      <c r="AB20" s="333">
        <f t="shared" si="22"/>
        <v>89.01703773319781</v>
      </c>
      <c r="AC20" s="334">
        <f t="shared" si="23"/>
        <v>-68.398994095737507</v>
      </c>
      <c r="AE20" s="333">
        <f t="shared" si="24"/>
        <v>67.643467877573215</v>
      </c>
      <c r="AF20" s="334">
        <f t="shared" si="25"/>
        <v>-0.13310362010527979</v>
      </c>
      <c r="AH20">
        <f t="shared" si="26"/>
        <v>0</v>
      </c>
      <c r="AI20">
        <f t="shared" si="27"/>
        <v>0</v>
      </c>
    </row>
    <row r="21" spans="1:35" x14ac:dyDescent="0.25">
      <c r="A21" s="335">
        <v>2.0893000000000002</v>
      </c>
      <c r="B21" s="352">
        <f t="shared" si="28"/>
        <v>2.0893000000000001E-3</v>
      </c>
      <c r="C21" s="325">
        <f t="shared" si="0"/>
        <v>1.0000032052339196</v>
      </c>
      <c r="D21" s="326">
        <f t="shared" si="1"/>
        <v>2.531886789848762E-3</v>
      </c>
      <c r="E21" s="326">
        <f t="shared" si="2"/>
        <v>1.0000000000034466</v>
      </c>
      <c r="F21" s="327">
        <f t="shared" si="3"/>
        <v>2.6254918094519678E-6</v>
      </c>
      <c r="G21" s="326">
        <f t="shared" si="4"/>
        <v>1</v>
      </c>
      <c r="H21" s="327">
        <f t="shared" si="5"/>
        <v>0</v>
      </c>
      <c r="I21" s="325">
        <f t="shared" si="6"/>
        <v>2.9478538801432195</v>
      </c>
      <c r="J21" s="328">
        <f t="shared" si="7"/>
        <v>1.2246982566951474</v>
      </c>
      <c r="K21" s="336">
        <f t="shared" si="8"/>
        <v>1.0000001442788153</v>
      </c>
      <c r="L21" s="337">
        <f t="shared" si="9"/>
        <v>5.3717557254640371E-4</v>
      </c>
      <c r="M21" s="325">
        <f t="shared" si="10"/>
        <v>1.0000000001022045</v>
      </c>
      <c r="N21" s="337">
        <f t="shared" si="11"/>
        <v>1.4297171561464019E-5</v>
      </c>
      <c r="O21" s="343">
        <f t="shared" si="12"/>
        <v>1.0000000000736995</v>
      </c>
      <c r="P21" s="691">
        <f t="shared" si="13"/>
        <v>1.214079922469917E-5</v>
      </c>
      <c r="Q21" s="336">
        <f t="shared" si="29"/>
        <v>15.1242937855466</v>
      </c>
      <c r="R21" s="692">
        <f t="shared" si="14"/>
        <v>5.6665639591993055E-6</v>
      </c>
      <c r="S21" s="329">
        <f t="shared" si="15"/>
        <v>0.99999999996645794</v>
      </c>
      <c r="T21" s="330">
        <f t="shared" si="16"/>
        <v>1.7914563828010534E-5</v>
      </c>
      <c r="U21" s="331">
        <f t="shared" si="17"/>
        <v>98.387667614621847</v>
      </c>
      <c r="V21" s="332">
        <f t="shared" si="18"/>
        <v>-70.285654120605841</v>
      </c>
      <c r="W21" s="334">
        <f t="shared" si="19"/>
        <v>109.71434587939416</v>
      </c>
      <c r="Y21" s="307">
        <f t="shared" si="20"/>
        <v>1000000000</v>
      </c>
      <c r="Z21" s="307">
        <f t="shared" si="21"/>
        <v>4.3651744900000002</v>
      </c>
      <c r="AB21" s="333">
        <f t="shared" si="22"/>
        <v>88.317106602572238</v>
      </c>
      <c r="AC21" s="334">
        <f t="shared" si="23"/>
        <v>-70.140082640233203</v>
      </c>
      <c r="AE21" s="333">
        <f t="shared" si="24"/>
        <v>67.643463194767818</v>
      </c>
      <c r="AF21" s="334">
        <f t="shared" si="25"/>
        <v>-0.14594242672935895</v>
      </c>
      <c r="AH21">
        <f t="shared" si="26"/>
        <v>0</v>
      </c>
      <c r="AI21">
        <f t="shared" si="27"/>
        <v>0</v>
      </c>
    </row>
    <row r="22" spans="1:35" x14ac:dyDescent="0.25">
      <c r="A22" s="335">
        <v>2.2909000000000002</v>
      </c>
      <c r="B22" s="352">
        <f t="shared" si="28"/>
        <v>2.2909000000000002E-3</v>
      </c>
      <c r="C22" s="325">
        <f t="shared" si="0"/>
        <v>1.000003853632049</v>
      </c>
      <c r="D22" s="326">
        <f t="shared" si="1"/>
        <v>2.7761915185003042E-3</v>
      </c>
      <c r="E22" s="326">
        <f t="shared" si="2"/>
        <v>1.0000000000041438</v>
      </c>
      <c r="F22" s="327">
        <f t="shared" si="3"/>
        <v>2.8788298407460477E-6</v>
      </c>
      <c r="G22" s="326">
        <f t="shared" si="4"/>
        <v>1</v>
      </c>
      <c r="H22" s="327">
        <f t="shared" si="5"/>
        <v>0</v>
      </c>
      <c r="I22" s="325">
        <f t="shared" si="6"/>
        <v>3.2008516037545931</v>
      </c>
      <c r="J22" s="328">
        <f t="shared" si="7"/>
        <v>1.2530601473975584</v>
      </c>
      <c r="K22" s="336">
        <f t="shared" si="8"/>
        <v>1.0000001734655417</v>
      </c>
      <c r="L22" s="337">
        <f t="shared" si="9"/>
        <v>5.8900851730314793E-4</v>
      </c>
      <c r="M22" s="325">
        <f t="shared" si="10"/>
        <v>1.0000000001228799</v>
      </c>
      <c r="N22" s="337">
        <f t="shared" si="11"/>
        <v>1.5676729205813649E-5</v>
      </c>
      <c r="O22" s="343">
        <f t="shared" si="12"/>
        <v>1.0000000000886085</v>
      </c>
      <c r="P22" s="691">
        <f t="shared" si="13"/>
        <v>1.3312284948828261E-5</v>
      </c>
      <c r="Q22" s="336">
        <f t="shared" si="29"/>
        <v>15.124293785594311</v>
      </c>
      <c r="R22" s="692">
        <f t="shared" si="14"/>
        <v>6.2133400536556694E-6</v>
      </c>
      <c r="S22" s="329">
        <f t="shared" si="15"/>
        <v>0.9999999999596727</v>
      </c>
      <c r="T22" s="330">
        <f t="shared" si="16"/>
        <v>1.9643169613895504E-5</v>
      </c>
      <c r="U22" s="331">
        <f t="shared" si="17"/>
        <v>97.672470485144473</v>
      </c>
      <c r="V22" s="332">
        <f t="shared" si="18"/>
        <v>-71.921826355848864</v>
      </c>
      <c r="W22" s="334">
        <f t="shared" si="19"/>
        <v>108.07817364415114</v>
      </c>
      <c r="Y22" s="307">
        <f t="shared" si="20"/>
        <v>1000000000</v>
      </c>
      <c r="Z22" s="307">
        <f t="shared" si="21"/>
        <v>5.2482228100000006</v>
      </c>
      <c r="AB22" s="333">
        <f t="shared" si="22"/>
        <v>87.601915104822467</v>
      </c>
      <c r="AC22" s="334">
        <f t="shared" si="23"/>
        <v>-71.762208512202548</v>
      </c>
      <c r="AE22" s="333">
        <f t="shared" si="24"/>
        <v>67.643457562938096</v>
      </c>
      <c r="AF22" s="334">
        <f t="shared" si="25"/>
        <v>-0.16002458322826213</v>
      </c>
      <c r="AH22">
        <f t="shared" si="26"/>
        <v>0</v>
      </c>
      <c r="AI22">
        <f t="shared" si="27"/>
        <v>0</v>
      </c>
    </row>
    <row r="23" spans="1:35" x14ac:dyDescent="0.25">
      <c r="A23" s="335">
        <v>2.5118999999999998</v>
      </c>
      <c r="B23" s="352">
        <f t="shared" si="28"/>
        <v>2.5118999999999996E-3</v>
      </c>
      <c r="C23" s="325">
        <f t="shared" si="0"/>
        <v>1.0000046330021668</v>
      </c>
      <c r="D23" s="326">
        <f t="shared" si="1"/>
        <v>3.0440053481310446E-3</v>
      </c>
      <c r="E23" s="326">
        <f t="shared" si="2"/>
        <v>1.0000000000049818</v>
      </c>
      <c r="F23" s="327">
        <f t="shared" si="3"/>
        <v>3.1565466310035161E-6</v>
      </c>
      <c r="G23" s="326">
        <f t="shared" si="4"/>
        <v>1</v>
      </c>
      <c r="H23" s="327">
        <f t="shared" si="5"/>
        <v>0</v>
      </c>
      <c r="I23" s="325">
        <f t="shared" si="6"/>
        <v>3.4807015230238822</v>
      </c>
      <c r="J23" s="328">
        <f t="shared" si="7"/>
        <v>1.279391189898629</v>
      </c>
      <c r="K23" s="336">
        <f t="shared" si="8"/>
        <v>1.0000002085478115</v>
      </c>
      <c r="L23" s="337">
        <f t="shared" si="9"/>
        <v>6.4582935091459989E-4</v>
      </c>
      <c r="M23" s="325">
        <f t="shared" si="10"/>
        <v>1.0000000001477316</v>
      </c>
      <c r="N23" s="337">
        <f t="shared" si="11"/>
        <v>1.7189041901187694E-5</v>
      </c>
      <c r="O23" s="343">
        <f t="shared" si="12"/>
        <v>1.000000000106529</v>
      </c>
      <c r="P23" s="691">
        <f t="shared" si="13"/>
        <v>1.4596502930098304E-5</v>
      </c>
      <c r="Q23" s="336">
        <f t="shared" si="29"/>
        <v>15.124293785651664</v>
      </c>
      <c r="R23" s="692">
        <f t="shared" si="14"/>
        <v>6.8127324984673267E-6</v>
      </c>
      <c r="S23" s="329">
        <f t="shared" si="15"/>
        <v>0.99999999995151678</v>
      </c>
      <c r="T23" s="330">
        <f t="shared" si="16"/>
        <v>2.1538119409048095E-5</v>
      </c>
      <c r="U23" s="331">
        <f t="shared" si="17"/>
        <v>96.9444391562362</v>
      </c>
      <c r="V23" s="332">
        <f t="shared" si="18"/>
        <v>-73.44271304340387</v>
      </c>
      <c r="W23" s="334">
        <f t="shared" si="19"/>
        <v>106.55728695659613</v>
      </c>
      <c r="Y23" s="307">
        <f t="shared" si="20"/>
        <v>1000000000</v>
      </c>
      <c r="Z23" s="307">
        <f t="shared" si="21"/>
        <v>6.309641609999999</v>
      </c>
      <c r="AB23" s="333">
        <f t="shared" si="22"/>
        <v>86.873890545207473</v>
      </c>
      <c r="AC23" s="334">
        <f t="shared" si="23"/>
        <v>-73.267697174594161</v>
      </c>
      <c r="AE23" s="333">
        <f t="shared" si="24"/>
        <v>67.643450793522121</v>
      </c>
      <c r="AF23" s="334">
        <f t="shared" si="25"/>
        <v>-0.17546184600464862</v>
      </c>
      <c r="AH23">
        <f t="shared" si="26"/>
        <v>0</v>
      </c>
      <c r="AI23">
        <f t="shared" si="27"/>
        <v>0</v>
      </c>
    </row>
    <row r="24" spans="1:35" x14ac:dyDescent="0.25">
      <c r="A24" s="335">
        <v>2.7542</v>
      </c>
      <c r="B24" s="352">
        <f t="shared" si="28"/>
        <v>2.7542000000000001E-3</v>
      </c>
      <c r="C24" s="325">
        <f t="shared" si="0"/>
        <v>1.0000055699148498</v>
      </c>
      <c r="D24" s="326">
        <f t="shared" si="1"/>
        <v>3.3376305956653043E-3</v>
      </c>
      <c r="E24" s="326">
        <f t="shared" si="2"/>
        <v>1.0000000000059894</v>
      </c>
      <c r="F24" s="327">
        <f t="shared" si="3"/>
        <v>3.4610297906381803E-6</v>
      </c>
      <c r="G24" s="326">
        <f t="shared" si="4"/>
        <v>1</v>
      </c>
      <c r="H24" s="327">
        <f t="shared" si="5"/>
        <v>0</v>
      </c>
      <c r="I24" s="325">
        <f t="shared" si="6"/>
        <v>3.7898663089328748</v>
      </c>
      <c r="J24" s="328">
        <f t="shared" si="7"/>
        <v>1.3037728733591729</v>
      </c>
      <c r="K24" s="336">
        <f t="shared" si="8"/>
        <v>1.0000002507216768</v>
      </c>
      <c r="L24" s="337">
        <f t="shared" si="9"/>
        <v>7.0812657680561185E-4</v>
      </c>
      <c r="M24" s="325">
        <f t="shared" si="10"/>
        <v>1.0000000001776068</v>
      </c>
      <c r="N24" s="337">
        <f t="shared" si="11"/>
        <v>1.884711143091216E-5</v>
      </c>
      <c r="O24" s="343">
        <f t="shared" si="12"/>
        <v>1.0000000001280718</v>
      </c>
      <c r="P24" s="691">
        <f t="shared" si="13"/>
        <v>1.6004493956566494E-5</v>
      </c>
      <c r="Q24" s="336">
        <f t="shared" si="29"/>
        <v>15.124293785720608</v>
      </c>
      <c r="R24" s="692">
        <f t="shared" si="14"/>
        <v>7.4698944413481948E-6</v>
      </c>
      <c r="S24" s="329">
        <f t="shared" si="15"/>
        <v>0.99999999994171218</v>
      </c>
      <c r="T24" s="330">
        <f t="shared" si="16"/>
        <v>2.3615704637091185E-5</v>
      </c>
      <c r="U24" s="331">
        <f t="shared" si="17"/>
        <v>96.205289248308304</v>
      </c>
      <c r="V24" s="332">
        <f t="shared" si="18"/>
        <v>-74.85308829636557</v>
      </c>
      <c r="W24" s="334">
        <f t="shared" si="19"/>
        <v>105.14691170363443</v>
      </c>
      <c r="Y24" s="307">
        <f t="shared" si="20"/>
        <v>1000000000</v>
      </c>
      <c r="Z24" s="307">
        <f t="shared" si="21"/>
        <v>7.5856176399999997</v>
      </c>
      <c r="AB24" s="333">
        <f t="shared" si="22"/>
        <v>86.134748774916815</v>
      </c>
      <c r="AC24" s="334">
        <f t="shared" si="23"/>
        <v>-74.661190368166814</v>
      </c>
      <c r="AE24" s="333">
        <f t="shared" si="24"/>
        <v>67.643442655737374</v>
      </c>
      <c r="AF24" s="334">
        <f t="shared" si="25"/>
        <v>-0.19238692473135124</v>
      </c>
      <c r="AH24">
        <f t="shared" si="26"/>
        <v>0</v>
      </c>
      <c r="AI24">
        <f t="shared" si="27"/>
        <v>0</v>
      </c>
    </row>
    <row r="25" spans="1:35" x14ac:dyDescent="0.25">
      <c r="A25" s="335">
        <v>3.02</v>
      </c>
      <c r="B25" s="352">
        <f t="shared" si="28"/>
        <v>3.0200000000000001E-3</v>
      </c>
      <c r="C25" s="325">
        <f t="shared" si="0"/>
        <v>1.0000066968604511</v>
      </c>
      <c r="D25" s="326">
        <f t="shared" si="1"/>
        <v>3.6597330717227667E-3</v>
      </c>
      <c r="E25" s="326">
        <f t="shared" si="2"/>
        <v>1.0000000000072011</v>
      </c>
      <c r="F25" s="327">
        <f t="shared" si="3"/>
        <v>3.795043921181781E-6</v>
      </c>
      <c r="G25" s="326">
        <f t="shared" si="4"/>
        <v>1</v>
      </c>
      <c r="H25" s="327">
        <f t="shared" si="5"/>
        <v>0</v>
      </c>
      <c r="I25" s="325">
        <f t="shared" si="6"/>
        <v>4.1311998713787883</v>
      </c>
      <c r="J25" s="328">
        <f t="shared" si="7"/>
        <v>1.3263074578442255</v>
      </c>
      <c r="K25" s="336">
        <f t="shared" si="8"/>
        <v>1.0000003014496686</v>
      </c>
      <c r="L25" s="337">
        <f t="shared" si="9"/>
        <v>7.7646583023394361E-4</v>
      </c>
      <c r="M25" s="325">
        <f t="shared" si="10"/>
        <v>1.0000000002135416</v>
      </c>
      <c r="N25" s="337">
        <f t="shared" si="11"/>
        <v>2.0665992491464365E-5</v>
      </c>
      <c r="O25" s="343">
        <f t="shared" si="12"/>
        <v>1.0000000001539844</v>
      </c>
      <c r="P25" s="691">
        <f t="shared" si="13"/>
        <v>1.7549042098611521E-5</v>
      </c>
      <c r="Q25" s="336">
        <f t="shared" si="29"/>
        <v>15.124293785803538</v>
      </c>
      <c r="R25" s="692">
        <f t="shared" si="14"/>
        <v>8.1907926849140592E-6</v>
      </c>
      <c r="S25" s="329">
        <f t="shared" si="15"/>
        <v>0.99999999992991895</v>
      </c>
      <c r="T25" s="330">
        <f t="shared" si="16"/>
        <v>2.5894789051702032E-5</v>
      </c>
      <c r="U25" s="331">
        <f t="shared" si="17"/>
        <v>95.456233561051306</v>
      </c>
      <c r="V25" s="332">
        <f t="shared" si="18"/>
        <v>-76.158932910447845</v>
      </c>
      <c r="W25" s="334">
        <f t="shared" si="19"/>
        <v>103.84106708955215</v>
      </c>
      <c r="Y25" s="307">
        <f t="shared" si="20"/>
        <v>1000000000</v>
      </c>
      <c r="Z25" s="307">
        <f t="shared" si="21"/>
        <v>9.1204000000000001</v>
      </c>
      <c r="AB25" s="333">
        <f t="shared" si="22"/>
        <v>85.385702875834468</v>
      </c>
      <c r="AC25" s="334">
        <f t="shared" si="23"/>
        <v>-75.948515617123974</v>
      </c>
      <c r="AE25" s="333">
        <f t="shared" si="24"/>
        <v>67.643432867385243</v>
      </c>
      <c r="AF25" s="334">
        <f t="shared" si="25"/>
        <v>-0.21095348151950621</v>
      </c>
      <c r="AH25">
        <f t="shared" si="26"/>
        <v>0</v>
      </c>
      <c r="AI25">
        <f t="shared" si="27"/>
        <v>0</v>
      </c>
    </row>
    <row r="26" spans="1:35" x14ac:dyDescent="0.25">
      <c r="A26" s="335">
        <v>3.3113000000000001</v>
      </c>
      <c r="B26" s="352">
        <f t="shared" si="28"/>
        <v>3.3113000000000001E-3</v>
      </c>
      <c r="C26" s="325">
        <f t="shared" si="0"/>
        <v>1.00000805107973</v>
      </c>
      <c r="D26" s="326">
        <f t="shared" si="1"/>
        <v>4.0127361522336123E-3</v>
      </c>
      <c r="E26" s="326">
        <f t="shared" si="2"/>
        <v>1.0000000000086575</v>
      </c>
      <c r="F26" s="327">
        <f t="shared" si="3"/>
        <v>4.1611022967539844E-6</v>
      </c>
      <c r="G26" s="326">
        <f t="shared" si="4"/>
        <v>1</v>
      </c>
      <c r="H26" s="327">
        <f t="shared" si="5"/>
        <v>0</v>
      </c>
      <c r="I26" s="325">
        <f t="shared" si="6"/>
        <v>4.5073061413330295</v>
      </c>
      <c r="J26" s="328">
        <f t="shared" si="7"/>
        <v>1.3470726689266646</v>
      </c>
      <c r="K26" s="336">
        <f t="shared" si="8"/>
        <v>1.0000003624081617</v>
      </c>
      <c r="L26" s="337">
        <f t="shared" si="9"/>
        <v>8.5136132422725314E-4</v>
      </c>
      <c r="M26" s="325">
        <f t="shared" si="10"/>
        <v>1.0000000002567235</v>
      </c>
      <c r="N26" s="337">
        <f t="shared" si="11"/>
        <v>2.2659371170535084E-5</v>
      </c>
      <c r="O26" s="343">
        <f t="shared" si="12"/>
        <v>1.0000000001851228</v>
      </c>
      <c r="P26" s="691">
        <f t="shared" si="13"/>
        <v>1.9241769238386101E-5</v>
      </c>
      <c r="Q26" s="336">
        <f t="shared" si="29"/>
        <v>15.124293785903189</v>
      </c>
      <c r="R26" s="692">
        <f t="shared" si="14"/>
        <v>8.9808515951783272E-6</v>
      </c>
      <c r="S26" s="329">
        <f t="shared" si="15"/>
        <v>0.9999999999157474</v>
      </c>
      <c r="T26" s="330">
        <f t="shared" si="16"/>
        <v>2.8392521519885388E-5</v>
      </c>
      <c r="U26" s="331">
        <f t="shared" si="17"/>
        <v>94.699405332382653</v>
      </c>
      <c r="V26" s="332">
        <f t="shared" si="18"/>
        <v>-77.364810887540045</v>
      </c>
      <c r="W26" s="334">
        <f t="shared" si="19"/>
        <v>102.63518911245995</v>
      </c>
      <c r="Y26" s="307">
        <f t="shared" si="20"/>
        <v>1000000000</v>
      </c>
      <c r="Z26" s="307">
        <f t="shared" si="21"/>
        <v>10.964707690000001</v>
      </c>
      <c r="AB26" s="333">
        <f t="shared" si="22"/>
        <v>84.628886409329311</v>
      </c>
      <c r="AC26" s="334">
        <f t="shared" si="23"/>
        <v>-77.134097590675665</v>
      </c>
      <c r="AE26" s="333">
        <f t="shared" si="24"/>
        <v>67.643421105008528</v>
      </c>
      <c r="AF26" s="334">
        <f t="shared" si="25"/>
        <v>-0.23130120413994915</v>
      </c>
      <c r="AH26">
        <f t="shared" si="26"/>
        <v>0</v>
      </c>
      <c r="AI26">
        <f t="shared" si="27"/>
        <v>0</v>
      </c>
    </row>
    <row r="27" spans="1:35" x14ac:dyDescent="0.25">
      <c r="A27" s="335">
        <v>3.6307999999999998</v>
      </c>
      <c r="B27" s="352">
        <f t="shared" si="28"/>
        <v>3.6308E-3</v>
      </c>
      <c r="C27" s="325">
        <f t="shared" si="0"/>
        <v>1.0000096796882227</v>
      </c>
      <c r="D27" s="326">
        <f t="shared" si="1"/>
        <v>4.399911395231315E-3</v>
      </c>
      <c r="E27" s="326">
        <f t="shared" si="2"/>
        <v>1.0000000000104086</v>
      </c>
      <c r="F27" s="327">
        <f t="shared" si="3"/>
        <v>4.5625978374163394E-6</v>
      </c>
      <c r="G27" s="326">
        <f t="shared" si="4"/>
        <v>1</v>
      </c>
      <c r="H27" s="327">
        <f t="shared" si="5"/>
        <v>0</v>
      </c>
      <c r="I27" s="325">
        <f t="shared" si="6"/>
        <v>4.9216984781418738</v>
      </c>
      <c r="J27" s="328">
        <f t="shared" si="7"/>
        <v>1.3661898200674591</v>
      </c>
      <c r="K27" s="336">
        <f t="shared" si="8"/>
        <v>1.0000004357180476</v>
      </c>
      <c r="L27" s="337">
        <f t="shared" si="9"/>
        <v>9.3350724637789484E-4</v>
      </c>
      <c r="M27" s="325">
        <f t="shared" si="10"/>
        <v>1.0000000003086549</v>
      </c>
      <c r="N27" s="337">
        <f t="shared" si="11"/>
        <v>2.4845723686506947E-5</v>
      </c>
      <c r="O27" s="343">
        <f t="shared" si="12"/>
        <v>1.0000000002225704</v>
      </c>
      <c r="P27" s="691">
        <f t="shared" si="13"/>
        <v>2.1098364916796457E-5</v>
      </c>
      <c r="Q27" s="336">
        <f t="shared" si="29"/>
        <v>15.124293786023037</v>
      </c>
      <c r="R27" s="692">
        <f t="shared" si="14"/>
        <v>9.8473940662590949E-6</v>
      </c>
      <c r="S27" s="329">
        <f t="shared" si="15"/>
        <v>0.99999999989870425</v>
      </c>
      <c r="T27" s="330">
        <f t="shared" si="16"/>
        <v>3.1132053012097526E-5</v>
      </c>
      <c r="U27" s="331">
        <f t="shared" si="17"/>
        <v>93.935432887038274</v>
      </c>
      <c r="V27" s="332">
        <f t="shared" si="18"/>
        <v>-78.477822360699165</v>
      </c>
      <c r="W27" s="334">
        <f t="shared" si="19"/>
        <v>101.52217763930084</v>
      </c>
      <c r="Y27" s="307">
        <f t="shared" si="20"/>
        <v>1000000000</v>
      </c>
      <c r="Z27" s="307">
        <f t="shared" si="21"/>
        <v>13.182708639999998</v>
      </c>
      <c r="AB27" s="333">
        <f t="shared" si="22"/>
        <v>83.864928109353485</v>
      </c>
      <c r="AC27" s="334">
        <f t="shared" si="23"/>
        <v>-78.224848322731518</v>
      </c>
      <c r="AE27" s="333">
        <f t="shared" si="24"/>
        <v>67.643406959383555</v>
      </c>
      <c r="AF27" s="334">
        <f t="shared" si="25"/>
        <v>-0.25361867111354469</v>
      </c>
      <c r="AH27">
        <f t="shared" si="26"/>
        <v>0</v>
      </c>
      <c r="AI27">
        <f t="shared" si="27"/>
        <v>0</v>
      </c>
    </row>
    <row r="28" spans="1:35" x14ac:dyDescent="0.25">
      <c r="A28" s="335">
        <v>3.9811000000000001</v>
      </c>
      <c r="B28" s="352">
        <f t="shared" si="28"/>
        <v>3.9811000000000004E-3</v>
      </c>
      <c r="C28" s="325">
        <f t="shared" si="0"/>
        <v>1.0000116375742185</v>
      </c>
      <c r="D28" s="326">
        <f t="shared" si="1"/>
        <v>4.8244090537142275E-3</v>
      </c>
      <c r="E28" s="326">
        <f t="shared" si="2"/>
        <v>1.000000000012514</v>
      </c>
      <c r="F28" s="327">
        <f t="shared" si="3"/>
        <v>5.0027977995242642E-6</v>
      </c>
      <c r="G28" s="326">
        <f t="shared" si="4"/>
        <v>1</v>
      </c>
      <c r="H28" s="327">
        <f t="shared" si="5"/>
        <v>0</v>
      </c>
      <c r="I28" s="325">
        <f t="shared" si="6"/>
        <v>5.3777712874292964</v>
      </c>
      <c r="J28" s="328">
        <f t="shared" si="7"/>
        <v>1.3837570409391848</v>
      </c>
      <c r="K28" s="336">
        <f t="shared" si="8"/>
        <v>1.0000005238501224</v>
      </c>
      <c r="L28" s="337">
        <f t="shared" si="9"/>
        <v>1.02357207232564E-3</v>
      </c>
      <c r="M28" s="325">
        <f t="shared" si="10"/>
        <v>1.0000000003710863</v>
      </c>
      <c r="N28" s="337">
        <f t="shared" si="11"/>
        <v>2.7242841953353521E-5</v>
      </c>
      <c r="O28" s="343">
        <f t="shared" si="12"/>
        <v>1.0000000002675895</v>
      </c>
      <c r="P28" s="691">
        <f t="shared" si="13"/>
        <v>2.3133937580626164E-5</v>
      </c>
      <c r="Q28" s="336">
        <f t="shared" si="29"/>
        <v>15.124293786167112</v>
      </c>
      <c r="R28" s="692">
        <f t="shared" si="14"/>
        <v>1.0797471773972346E-5</v>
      </c>
      <c r="S28" s="329">
        <f t="shared" si="15"/>
        <v>0.9999999998782152</v>
      </c>
      <c r="T28" s="330">
        <f t="shared" si="16"/>
        <v>3.4135677055483744E-5</v>
      </c>
      <c r="U28" s="331">
        <f t="shared" si="17"/>
        <v>93.16567015865607</v>
      </c>
      <c r="V28" s="332">
        <f t="shared" si="18"/>
        <v>-79.503733589291301</v>
      </c>
      <c r="W28" s="334">
        <f t="shared" si="19"/>
        <v>100.4962664107087</v>
      </c>
      <c r="Y28" s="307">
        <f t="shared" si="20"/>
        <v>1000000000</v>
      </c>
      <c r="Z28" s="307">
        <f t="shared" si="21"/>
        <v>15.849157210000001</v>
      </c>
      <c r="AB28" s="333">
        <f t="shared" si="22"/>
        <v>83.095182386267155</v>
      </c>
      <c r="AC28" s="334">
        <f t="shared" si="23"/>
        <v>-79.226352947950218</v>
      </c>
      <c r="AE28" s="333">
        <f t="shared" si="24"/>
        <v>67.643389953779376</v>
      </c>
      <c r="AF28" s="334">
        <f t="shared" si="25"/>
        <v>-0.27808746876672047</v>
      </c>
      <c r="AH28">
        <f t="shared" si="26"/>
        <v>0</v>
      </c>
      <c r="AI28">
        <f t="shared" si="27"/>
        <v>0</v>
      </c>
    </row>
    <row r="29" spans="1:35" x14ac:dyDescent="0.25">
      <c r="A29" s="335">
        <v>4.3651999999999997</v>
      </c>
      <c r="B29" s="352">
        <f t="shared" si="28"/>
        <v>4.3651999999999996E-3</v>
      </c>
      <c r="C29" s="325">
        <f t="shared" si="0"/>
        <v>1.0000139914934139</v>
      </c>
      <c r="D29" s="326">
        <f t="shared" si="1"/>
        <v>5.2898639454805598E-3</v>
      </c>
      <c r="E29" s="326">
        <f t="shared" si="2"/>
        <v>1.0000000000150453</v>
      </c>
      <c r="F29" s="327">
        <f t="shared" si="3"/>
        <v>5.4854720942569805E-6</v>
      </c>
      <c r="G29" s="326">
        <f t="shared" si="4"/>
        <v>1</v>
      </c>
      <c r="H29" s="327">
        <f t="shared" si="5"/>
        <v>0</v>
      </c>
      <c r="I29" s="325">
        <f t="shared" si="6"/>
        <v>5.8794469675511616</v>
      </c>
      <c r="J29" s="328">
        <f t="shared" si="7"/>
        <v>1.3998813917757331</v>
      </c>
      <c r="K29" s="336">
        <f t="shared" si="8"/>
        <v>1.000000629809412</v>
      </c>
      <c r="L29" s="337">
        <f t="shared" si="9"/>
        <v>1.1223271192614566E-3</v>
      </c>
      <c r="M29" s="325">
        <f t="shared" si="10"/>
        <v>1.0000000004461458</v>
      </c>
      <c r="N29" s="337">
        <f t="shared" si="11"/>
        <v>2.9871255102566633E-5</v>
      </c>
      <c r="O29" s="343">
        <f t="shared" si="12"/>
        <v>1.0000000003217151</v>
      </c>
      <c r="P29" s="691">
        <f t="shared" si="13"/>
        <v>2.536592005307715E-5</v>
      </c>
      <c r="Q29" s="336">
        <f t="shared" si="29"/>
        <v>15.124293786340331</v>
      </c>
      <c r="R29" s="692">
        <f t="shared" si="14"/>
        <v>1.1839221267335537E-5</v>
      </c>
      <c r="S29" s="329">
        <f t="shared" si="15"/>
        <v>0.99999999985358179</v>
      </c>
      <c r="T29" s="330">
        <f t="shared" si="16"/>
        <v>3.742911695062211E-5</v>
      </c>
      <c r="U29" s="331">
        <f t="shared" si="17"/>
        <v>92.390967646653792</v>
      </c>
      <c r="V29" s="332">
        <f t="shared" si="18"/>
        <v>-80.448844640810634</v>
      </c>
      <c r="W29" s="334">
        <f t="shared" si="19"/>
        <v>99.551155359189366</v>
      </c>
      <c r="Y29" s="307">
        <f t="shared" si="20"/>
        <v>1000000000</v>
      </c>
      <c r="Z29" s="307">
        <f t="shared" si="21"/>
        <v>19.054971039999998</v>
      </c>
      <c r="AB29" s="333">
        <f t="shared" si="22"/>
        <v>82.320500319278622</v>
      </c>
      <c r="AC29" s="334">
        <f t="shared" si="23"/>
        <v>-80.144702548907262</v>
      </c>
      <c r="AE29" s="333">
        <f t="shared" si="24"/>
        <v>67.643369508394983</v>
      </c>
      <c r="AF29" s="334">
        <f t="shared" si="25"/>
        <v>-0.30491711465541094</v>
      </c>
      <c r="AH29">
        <f t="shared" si="26"/>
        <v>0</v>
      </c>
      <c r="AI29">
        <f t="shared" si="27"/>
        <v>0</v>
      </c>
    </row>
    <row r="30" spans="1:35" x14ac:dyDescent="0.25">
      <c r="A30" s="335">
        <v>4.7862999999999998</v>
      </c>
      <c r="B30" s="352">
        <f t="shared" si="28"/>
        <v>4.7862999999999994E-3</v>
      </c>
      <c r="C30" s="325">
        <f t="shared" si="0"/>
        <v>1.0000168211234197</v>
      </c>
      <c r="D30" s="326">
        <f t="shared" si="1"/>
        <v>5.8001530378457957E-3</v>
      </c>
      <c r="E30" s="326">
        <f t="shared" si="2"/>
        <v>1.000000000018088</v>
      </c>
      <c r="F30" s="327">
        <f t="shared" si="3"/>
        <v>6.0146419602054721E-6</v>
      </c>
      <c r="G30" s="326">
        <f t="shared" si="4"/>
        <v>1</v>
      </c>
      <c r="H30" s="327">
        <f t="shared" si="5"/>
        <v>0</v>
      </c>
      <c r="I30" s="325">
        <f t="shared" si="6"/>
        <v>6.4309176696044119</v>
      </c>
      <c r="J30" s="328">
        <f t="shared" si="7"/>
        <v>1.4146639483547756</v>
      </c>
      <c r="K30" s="336">
        <f t="shared" si="8"/>
        <v>1.0000007571826572</v>
      </c>
      <c r="L30" s="337">
        <f t="shared" si="9"/>
        <v>1.2305951238827041E-3</v>
      </c>
      <c r="M30" s="325">
        <f t="shared" si="10"/>
        <v>1.0000000005363749</v>
      </c>
      <c r="N30" s="337">
        <f t="shared" si="11"/>
        <v>3.2752860874373334E-5</v>
      </c>
      <c r="O30" s="343">
        <f t="shared" si="12"/>
        <v>1.0000000003867788</v>
      </c>
      <c r="P30" s="691">
        <f t="shared" si="13"/>
        <v>2.7812907345545897E-5</v>
      </c>
      <c r="Q30" s="336">
        <f t="shared" si="29"/>
        <v>15.124293786548558</v>
      </c>
      <c r="R30" s="692">
        <f t="shared" si="14"/>
        <v>1.2981321531965464E-5</v>
      </c>
      <c r="S30" s="329">
        <f t="shared" si="15"/>
        <v>0.99999999982397003</v>
      </c>
      <c r="T30" s="330">
        <f t="shared" si="16"/>
        <v>4.1039810884845373E-5</v>
      </c>
      <c r="U30" s="331">
        <f t="shared" si="17"/>
        <v>91.612214730209288</v>
      </c>
      <c r="V30" s="332">
        <f t="shared" si="18"/>
        <v>-81.31912375345361</v>
      </c>
      <c r="W30" s="334">
        <f t="shared" si="19"/>
        <v>98.68087624654639</v>
      </c>
      <c r="Y30" s="307">
        <f t="shared" si="20"/>
        <v>1000000000</v>
      </c>
      <c r="Z30" s="307">
        <f t="shared" si="21"/>
        <v>22.908667689999998</v>
      </c>
      <c r="AB30" s="333">
        <f t="shared" si="22"/>
        <v>81.541771979580233</v>
      </c>
      <c r="AC30" s="334">
        <f t="shared" si="23"/>
        <v>-80.985642456388504</v>
      </c>
      <c r="AE30" s="333">
        <f t="shared" si="24"/>
        <v>67.643344931203316</v>
      </c>
      <c r="AF30" s="334">
        <f t="shared" si="25"/>
        <v>-0.33433108433669084</v>
      </c>
      <c r="AH30">
        <f t="shared" si="26"/>
        <v>0</v>
      </c>
      <c r="AI30">
        <f t="shared" si="27"/>
        <v>0</v>
      </c>
    </row>
    <row r="31" spans="1:35" x14ac:dyDescent="0.25">
      <c r="A31" s="335">
        <v>5.2481</v>
      </c>
      <c r="B31" s="352">
        <f t="shared" si="28"/>
        <v>5.2481000000000003E-3</v>
      </c>
      <c r="C31" s="325">
        <f t="shared" si="0"/>
        <v>1.0000202236075735</v>
      </c>
      <c r="D31" s="326">
        <f t="shared" si="1"/>
        <v>6.3597589185135622E-3</v>
      </c>
      <c r="E31" s="326">
        <f t="shared" si="2"/>
        <v>1.0000000000217466</v>
      </c>
      <c r="F31" s="327">
        <f t="shared" si="3"/>
        <v>6.5949569544903879E-6</v>
      </c>
      <c r="G31" s="326">
        <f t="shared" si="4"/>
        <v>1</v>
      </c>
      <c r="H31" s="327">
        <f t="shared" si="5"/>
        <v>0</v>
      </c>
      <c r="I31" s="325">
        <f t="shared" si="6"/>
        <v>7.0370388608746683</v>
      </c>
      <c r="J31" s="328">
        <f t="shared" si="7"/>
        <v>1.4282084249333231</v>
      </c>
      <c r="K31" s="336">
        <f t="shared" si="8"/>
        <v>1.0000009103428718</v>
      </c>
      <c r="L31" s="337">
        <f t="shared" si="9"/>
        <v>1.3493273740079496E-3</v>
      </c>
      <c r="M31" s="325">
        <f t="shared" si="10"/>
        <v>1.000000000644871</v>
      </c>
      <c r="N31" s="337">
        <f t="shared" si="11"/>
        <v>3.5912978530883097E-5</v>
      </c>
      <c r="O31" s="343">
        <f t="shared" si="12"/>
        <v>1.0000000004650151</v>
      </c>
      <c r="P31" s="691">
        <f t="shared" si="13"/>
        <v>3.0496399939942391E-5</v>
      </c>
      <c r="Q31" s="336">
        <f t="shared" si="29"/>
        <v>15.12429378679894</v>
      </c>
      <c r="R31" s="692">
        <f t="shared" si="14"/>
        <v>1.423380764497987E-5</v>
      </c>
      <c r="S31" s="329">
        <f t="shared" si="15"/>
        <v>0.99999999978836329</v>
      </c>
      <c r="T31" s="330">
        <f t="shared" si="16"/>
        <v>4.4999484262301904E-5</v>
      </c>
      <c r="U31" s="331">
        <f t="shared" si="17"/>
        <v>90.829846513555751</v>
      </c>
      <c r="V31" s="332">
        <f t="shared" si="18"/>
        <v>-82.120717990108304</v>
      </c>
      <c r="W31" s="334">
        <f t="shared" si="19"/>
        <v>97.879282009891696</v>
      </c>
      <c r="Y31" s="307">
        <f t="shared" si="20"/>
        <v>1000000000</v>
      </c>
      <c r="Z31" s="307">
        <f t="shared" si="21"/>
        <v>27.542553609999999</v>
      </c>
      <c r="AB31" s="333">
        <f t="shared" si="22"/>
        <v>80.75943331510436</v>
      </c>
      <c r="AC31" s="334">
        <f t="shared" si="23"/>
        <v>-81.755062005512471</v>
      </c>
      <c r="AE31" s="333">
        <f t="shared" si="24"/>
        <v>67.643315378489902</v>
      </c>
      <c r="AF31" s="334">
        <f t="shared" si="25"/>
        <v>-0.36658776249933206</v>
      </c>
      <c r="AH31">
        <f t="shared" si="26"/>
        <v>0</v>
      </c>
      <c r="AI31">
        <f t="shared" si="27"/>
        <v>0</v>
      </c>
    </row>
    <row r="32" spans="1:35" x14ac:dyDescent="0.25">
      <c r="A32" s="335">
        <v>5.7544000000000004</v>
      </c>
      <c r="B32" s="352">
        <f t="shared" si="28"/>
        <v>5.7544000000000007E-3</v>
      </c>
      <c r="C32" s="325">
        <f t="shared" si="0"/>
        <v>1.000024313844367</v>
      </c>
      <c r="D32" s="326">
        <f t="shared" si="1"/>
        <v>6.9732849850350619E-3</v>
      </c>
      <c r="E32" s="326">
        <f t="shared" si="2"/>
        <v>1.0000000000261451</v>
      </c>
      <c r="F32" s="327">
        <f t="shared" si="3"/>
        <v>7.2311922979379609E-6</v>
      </c>
      <c r="G32" s="326">
        <f t="shared" si="4"/>
        <v>1</v>
      </c>
      <c r="H32" s="327">
        <f t="shared" si="5"/>
        <v>0</v>
      </c>
      <c r="I32" s="325">
        <f t="shared" si="6"/>
        <v>7.7028058135297393</v>
      </c>
      <c r="J32" s="328">
        <f t="shared" si="7"/>
        <v>1.4406060378340346</v>
      </c>
      <c r="K32" s="336">
        <f t="shared" si="8"/>
        <v>1.0000010944624025</v>
      </c>
      <c r="L32" s="337">
        <f t="shared" si="9"/>
        <v>1.4795008646785535E-3</v>
      </c>
      <c r="M32" s="325">
        <f t="shared" si="10"/>
        <v>1.000000000775298</v>
      </c>
      <c r="N32" s="337">
        <f t="shared" si="11"/>
        <v>3.9377611638525281E-5</v>
      </c>
      <c r="O32" s="343">
        <f t="shared" si="12"/>
        <v>1.0000000005590659</v>
      </c>
      <c r="P32" s="691">
        <f t="shared" si="13"/>
        <v>3.3438479412244672E-5</v>
      </c>
      <c r="Q32" s="336">
        <f t="shared" si="29"/>
        <v>15.124293787099933</v>
      </c>
      <c r="R32" s="692">
        <f t="shared" si="14"/>
        <v>1.5606985901793316E-5</v>
      </c>
      <c r="S32" s="329">
        <f t="shared" si="15"/>
        <v>0.99999999974555909</v>
      </c>
      <c r="T32" s="330">
        <f t="shared" si="16"/>
        <v>4.9340719930593803E-5</v>
      </c>
      <c r="U32" s="331">
        <f t="shared" si="17"/>
        <v>90.044632583089736</v>
      </c>
      <c r="V32" s="332">
        <f t="shared" si="18"/>
        <v>-82.859063847130955</v>
      </c>
      <c r="W32" s="334">
        <f t="shared" si="19"/>
        <v>97.140936152869045</v>
      </c>
      <c r="Y32" s="307">
        <f t="shared" si="20"/>
        <v>1000000000</v>
      </c>
      <c r="Z32" s="307">
        <f t="shared" si="21"/>
        <v>33.113119360000006</v>
      </c>
      <c r="AB32" s="333">
        <f t="shared" si="22"/>
        <v>79.974254910138541</v>
      </c>
      <c r="AC32" s="334">
        <f t="shared" si="23"/>
        <v>-82.458133018798279</v>
      </c>
      <c r="AE32" s="333">
        <f t="shared" si="24"/>
        <v>67.643279852345643</v>
      </c>
      <c r="AF32" s="334">
        <f t="shared" si="25"/>
        <v>-0.40195249765439484</v>
      </c>
      <c r="AH32">
        <f t="shared" si="26"/>
        <v>0</v>
      </c>
      <c r="AI32">
        <f t="shared" si="27"/>
        <v>0</v>
      </c>
    </row>
    <row r="33" spans="1:35" x14ac:dyDescent="0.25">
      <c r="A33" s="335">
        <v>6.3095999999999997</v>
      </c>
      <c r="B33" s="352">
        <f t="shared" si="28"/>
        <v>6.3095999999999994E-3</v>
      </c>
      <c r="C33" s="325">
        <f t="shared" si="0"/>
        <v>1.0000292318381607</v>
      </c>
      <c r="D33" s="326">
        <f t="shared" si="1"/>
        <v>7.6460612206237068E-3</v>
      </c>
      <c r="E33" s="326">
        <f t="shared" si="2"/>
        <v>1.0000000000314335</v>
      </c>
      <c r="F33" s="327">
        <f t="shared" si="3"/>
        <v>7.9288771936098444E-6</v>
      </c>
      <c r="G33" s="326">
        <f t="shared" si="4"/>
        <v>1</v>
      </c>
      <c r="H33" s="327">
        <f t="shared" si="5"/>
        <v>0</v>
      </c>
      <c r="I33" s="325">
        <f t="shared" si="6"/>
        <v>8.4340101787824722</v>
      </c>
      <c r="J33" s="328">
        <f t="shared" si="7"/>
        <v>1.4519491863546801</v>
      </c>
      <c r="K33" s="336">
        <f t="shared" si="8"/>
        <v>1.0000013158438652</v>
      </c>
      <c r="L33" s="337">
        <f t="shared" si="9"/>
        <v>1.6222468507642545E-3</v>
      </c>
      <c r="M33" s="325">
        <f t="shared" si="10"/>
        <v>1.000000000932121</v>
      </c>
      <c r="N33" s="337">
        <f t="shared" si="11"/>
        <v>4.3176869589959551E-5</v>
      </c>
      <c r="O33" s="343">
        <f t="shared" si="12"/>
        <v>1.0000000006721506</v>
      </c>
      <c r="P33" s="691">
        <f t="shared" si="13"/>
        <v>3.6664713903029506E-5</v>
      </c>
      <c r="Q33" s="336">
        <f t="shared" si="29"/>
        <v>15.124293787461845</v>
      </c>
      <c r="R33" s="692">
        <f t="shared" si="14"/>
        <v>1.7112789907619791E-5</v>
      </c>
      <c r="S33" s="329">
        <f t="shared" si="15"/>
        <v>0.99999999969409226</v>
      </c>
      <c r="T33" s="330">
        <f t="shared" si="16"/>
        <v>5.4101245397547656E-5</v>
      </c>
      <c r="U33" s="331">
        <f t="shared" si="17"/>
        <v>89.25688836365957</v>
      </c>
      <c r="V33" s="332">
        <f t="shared" si="18"/>
        <v>-83.539698772500245</v>
      </c>
      <c r="W33" s="334">
        <f t="shared" si="19"/>
        <v>96.460301227499755</v>
      </c>
      <c r="Y33" s="307">
        <f t="shared" si="20"/>
        <v>1000000000</v>
      </c>
      <c r="Z33" s="307">
        <f t="shared" si="21"/>
        <v>39.811052159999996</v>
      </c>
      <c r="AB33" s="333">
        <f t="shared" si="22"/>
        <v>79.186553405448706</v>
      </c>
      <c r="AC33" s="334">
        <f t="shared" si="23"/>
        <v>-83.100086495055621</v>
      </c>
      <c r="AE33" s="333">
        <f t="shared" si="24"/>
        <v>67.643237136830919</v>
      </c>
      <c r="AF33" s="334">
        <f t="shared" si="25"/>
        <v>-0.44073252017220493</v>
      </c>
      <c r="AH33">
        <f t="shared" si="26"/>
        <v>0</v>
      </c>
      <c r="AI33">
        <f t="shared" si="27"/>
        <v>0</v>
      </c>
    </row>
    <row r="34" spans="1:35" x14ac:dyDescent="0.25">
      <c r="A34" s="335">
        <v>6.9183000000000003</v>
      </c>
      <c r="B34" s="352">
        <f t="shared" si="28"/>
        <v>6.9183000000000005E-3</v>
      </c>
      <c r="C34" s="325">
        <f t="shared" si="0"/>
        <v>1.0000351439010278</v>
      </c>
      <c r="D34" s="326">
        <f t="shared" si="1"/>
        <v>8.3836593220028219E-3</v>
      </c>
      <c r="E34" s="326">
        <f t="shared" si="2"/>
        <v>1.0000000000377911</v>
      </c>
      <c r="F34" s="327">
        <f t="shared" si="3"/>
        <v>8.6937921719789704E-6</v>
      </c>
      <c r="G34" s="326">
        <f t="shared" si="4"/>
        <v>1</v>
      </c>
      <c r="H34" s="327">
        <f t="shared" si="5"/>
        <v>0</v>
      </c>
      <c r="I34" s="325">
        <f t="shared" si="6"/>
        <v>9.236714641115336</v>
      </c>
      <c r="J34" s="328">
        <f t="shared" si="7"/>
        <v>1.4623201081058188</v>
      </c>
      <c r="K34" s="336">
        <f t="shared" si="8"/>
        <v>1.0000015819743138</v>
      </c>
      <c r="L34" s="337">
        <f t="shared" si="9"/>
        <v>1.7787480024760432E-3</v>
      </c>
      <c r="M34" s="325">
        <f t="shared" si="10"/>
        <v>1.0000000011206434</v>
      </c>
      <c r="N34" s="337">
        <f t="shared" si="11"/>
        <v>4.7342230386502283E-5</v>
      </c>
      <c r="O34" s="343">
        <f t="shared" si="12"/>
        <v>1.0000000008080936</v>
      </c>
      <c r="P34" s="691">
        <f t="shared" si="13"/>
        <v>4.0201833741020095E-5</v>
      </c>
      <c r="Q34" s="336">
        <f t="shared" si="29"/>
        <v>15.124293787896907</v>
      </c>
      <c r="R34" s="692">
        <f t="shared" si="14"/>
        <v>1.8763695704267954E-5</v>
      </c>
      <c r="S34" s="329">
        <f t="shared" si="15"/>
        <v>0.99999999963222219</v>
      </c>
      <c r="T34" s="330">
        <f t="shared" si="16"/>
        <v>5.9320503057870487E-5</v>
      </c>
      <c r="U34" s="331">
        <f t="shared" si="17"/>
        <v>88.467171206706951</v>
      </c>
      <c r="V34" s="332">
        <f t="shared" si="18"/>
        <v>-84.167589022448411</v>
      </c>
      <c r="W34" s="334">
        <f t="shared" si="19"/>
        <v>95.832410977551589</v>
      </c>
      <c r="Y34" s="307">
        <f t="shared" si="20"/>
        <v>1000000000</v>
      </c>
      <c r="Z34" s="307">
        <f t="shared" si="21"/>
        <v>47.862874890000008</v>
      </c>
      <c r="AB34" s="333">
        <f t="shared" si="22"/>
        <v>78.396887596845289</v>
      </c>
      <c r="AC34" s="334">
        <f t="shared" si="23"/>
        <v>-83.68556834383709</v>
      </c>
      <c r="AE34" s="333">
        <f t="shared" si="24"/>
        <v>67.643185787550777</v>
      </c>
      <c r="AF34" s="334">
        <f t="shared" si="25"/>
        <v>-0.48324899344285399</v>
      </c>
      <c r="AH34">
        <f t="shared" si="26"/>
        <v>0</v>
      </c>
      <c r="AI34">
        <f t="shared" si="27"/>
        <v>0</v>
      </c>
    </row>
    <row r="35" spans="1:35" x14ac:dyDescent="0.25">
      <c r="A35" s="335">
        <v>7.5857999999999999</v>
      </c>
      <c r="B35" s="352">
        <f t="shared" si="28"/>
        <v>7.5858000000000002E-3</v>
      </c>
      <c r="C35" s="325">
        <f t="shared" si="0"/>
        <v>1.0000422525008579</v>
      </c>
      <c r="D35" s="326">
        <f t="shared" si="1"/>
        <v>9.1924983745752548E-3</v>
      </c>
      <c r="E35" s="326">
        <f t="shared" si="2"/>
        <v>1.0000000000454352</v>
      </c>
      <c r="F35" s="327">
        <f t="shared" si="3"/>
        <v>9.5325974094592564E-6</v>
      </c>
      <c r="G35" s="326">
        <f t="shared" si="4"/>
        <v>1</v>
      </c>
      <c r="H35" s="327">
        <f t="shared" si="5"/>
        <v>0</v>
      </c>
      <c r="I35" s="325">
        <f t="shared" si="6"/>
        <v>10.117911819225501</v>
      </c>
      <c r="J35" s="328">
        <f t="shared" si="7"/>
        <v>1.4718000849464694</v>
      </c>
      <c r="K35" s="336">
        <f t="shared" si="8"/>
        <v>1.0000019019686481</v>
      </c>
      <c r="L35" s="337">
        <f t="shared" si="9"/>
        <v>1.9503669570100617E-3</v>
      </c>
      <c r="M35" s="325">
        <f t="shared" si="10"/>
        <v>1.000000001347322</v>
      </c>
      <c r="N35" s="337">
        <f t="shared" si="11"/>
        <v>5.1909962160018759E-5</v>
      </c>
      <c r="O35" s="343">
        <f t="shared" si="12"/>
        <v>1.0000000009715513</v>
      </c>
      <c r="P35" s="691">
        <f t="shared" si="13"/>
        <v>4.4080636913605635E-5</v>
      </c>
      <c r="Q35" s="336">
        <f t="shared" si="29"/>
        <v>15.124293788420026</v>
      </c>
      <c r="R35" s="692">
        <f t="shared" si="14"/>
        <v>2.0574077861642619E-5</v>
      </c>
      <c r="S35" s="329">
        <f t="shared" si="15"/>
        <v>0.9999999995578297</v>
      </c>
      <c r="T35" s="330">
        <f t="shared" si="16"/>
        <v>6.5043937409949503E-5</v>
      </c>
      <c r="U35" s="331">
        <f t="shared" si="17"/>
        <v>87.675644977242143</v>
      </c>
      <c r="V35" s="332">
        <f t="shared" si="18"/>
        <v>-84.747684776791715</v>
      </c>
      <c r="W35" s="334">
        <f t="shared" si="19"/>
        <v>95.252315223208285</v>
      </c>
      <c r="Y35" s="307">
        <f t="shared" si="20"/>
        <v>1000000000</v>
      </c>
      <c r="Z35" s="307">
        <f t="shared" si="21"/>
        <v>57.544361639999998</v>
      </c>
      <c r="AB35" s="333">
        <f t="shared" si="22"/>
        <v>77.605423107672877</v>
      </c>
      <c r="AC35" s="334">
        <f t="shared" si="23"/>
        <v>-84.219159677271165</v>
      </c>
      <c r="AE35" s="333">
        <f t="shared" si="24"/>
        <v>67.64312404613905</v>
      </c>
      <c r="AF35" s="334">
        <f t="shared" si="25"/>
        <v>-0.52987192614664214</v>
      </c>
      <c r="AH35">
        <f t="shared" si="26"/>
        <v>0</v>
      </c>
      <c r="AI35">
        <f t="shared" si="27"/>
        <v>0</v>
      </c>
    </row>
    <row r="36" spans="1:35" x14ac:dyDescent="0.25">
      <c r="A36" s="335">
        <v>8.3176000000000005</v>
      </c>
      <c r="B36" s="352">
        <f t="shared" si="28"/>
        <v>8.3176000000000014E-3</v>
      </c>
      <c r="C36" s="325">
        <f t="shared" si="0"/>
        <v>1.0000507976766193</v>
      </c>
      <c r="D36" s="326">
        <f t="shared" si="1"/>
        <v>1.0079238699027748E-2</v>
      </c>
      <c r="E36" s="326">
        <f t="shared" si="2"/>
        <v>1.0000000000546243</v>
      </c>
      <c r="F36" s="327">
        <f t="shared" si="3"/>
        <v>1.0452204409875373E-5</v>
      </c>
      <c r="G36" s="326">
        <f t="shared" si="4"/>
        <v>1</v>
      </c>
      <c r="H36" s="327">
        <f t="shared" si="5"/>
        <v>0</v>
      </c>
      <c r="I36" s="325">
        <f t="shared" si="6"/>
        <v>11.084865075548851</v>
      </c>
      <c r="J36" s="328">
        <f t="shared" si="7"/>
        <v>1.4804604151397498</v>
      </c>
      <c r="K36" s="336">
        <f t="shared" si="8"/>
        <v>1.0000022866334672</v>
      </c>
      <c r="L36" s="337">
        <f t="shared" si="9"/>
        <v>2.1385177623344364E-3</v>
      </c>
      <c r="M36" s="325">
        <f t="shared" si="10"/>
        <v>1.0000000016198123</v>
      </c>
      <c r="N36" s="337">
        <f t="shared" si="11"/>
        <v>5.6917701650944835E-5</v>
      </c>
      <c r="O36" s="343">
        <f t="shared" si="12"/>
        <v>1.0000000011680434</v>
      </c>
      <c r="P36" s="691">
        <f t="shared" si="13"/>
        <v>4.8333083596269033E-5</v>
      </c>
      <c r="Q36" s="336">
        <f t="shared" si="29"/>
        <v>15.124293789048867</v>
      </c>
      <c r="R36" s="692">
        <f t="shared" si="14"/>
        <v>2.2558853386238123E-5</v>
      </c>
      <c r="S36" s="329">
        <f t="shared" si="15"/>
        <v>0.99999999946840257</v>
      </c>
      <c r="T36" s="330">
        <f t="shared" si="16"/>
        <v>7.1318707839190186E-5</v>
      </c>
      <c r="U36" s="331">
        <f t="shared" si="17"/>
        <v>86.882783675337322</v>
      </c>
      <c r="V36" s="332">
        <f t="shared" si="18"/>
        <v>-85.284375200341898</v>
      </c>
      <c r="W36" s="334">
        <f t="shared" si="19"/>
        <v>94.715624799658102</v>
      </c>
      <c r="Y36" s="307">
        <f t="shared" si="20"/>
        <v>1000000000</v>
      </c>
      <c r="Z36" s="307">
        <f t="shared" si="21"/>
        <v>69.182469760000004</v>
      </c>
      <c r="AB36" s="333">
        <f t="shared" si="22"/>
        <v>76.812636022566465</v>
      </c>
      <c r="AC36" s="334">
        <f t="shared" si="23"/>
        <v>-84.704866722371492</v>
      </c>
      <c r="AE36" s="333">
        <f t="shared" si="24"/>
        <v>67.643049827995057</v>
      </c>
      <c r="AF36" s="334">
        <f t="shared" si="25"/>
        <v>-0.58098523258331125</v>
      </c>
      <c r="AH36">
        <f t="shared" si="26"/>
        <v>0</v>
      </c>
      <c r="AI36">
        <f t="shared" si="27"/>
        <v>0</v>
      </c>
    </row>
    <row r="37" spans="1:35" x14ac:dyDescent="0.25">
      <c r="A37" s="335">
        <v>9.1201000000000008</v>
      </c>
      <c r="B37" s="352">
        <f t="shared" si="28"/>
        <v>9.1201000000000008E-3</v>
      </c>
      <c r="C37" s="325">
        <f t="shared" si="0"/>
        <v>1.000061072367594</v>
      </c>
      <c r="D37" s="326">
        <f t="shared" si="1"/>
        <v>1.1051629704340154E-2</v>
      </c>
      <c r="E37" s="326">
        <f t="shared" si="2"/>
        <v>1.0000000000656732</v>
      </c>
      <c r="F37" s="327">
        <f t="shared" si="3"/>
        <v>1.146065565040423E-5</v>
      </c>
      <c r="G37" s="326">
        <f t="shared" si="4"/>
        <v>1</v>
      </c>
      <c r="H37" s="327">
        <f t="shared" si="5"/>
        <v>0</v>
      </c>
      <c r="I37" s="325">
        <f t="shared" si="6"/>
        <v>12.146032919306053</v>
      </c>
      <c r="J37" s="328">
        <f t="shared" si="7"/>
        <v>1.4883716198835717</v>
      </c>
      <c r="K37" s="336">
        <f t="shared" si="8"/>
        <v>1.0000027491573251</v>
      </c>
      <c r="L37" s="337">
        <f t="shared" si="9"/>
        <v>2.3448458486090016E-3</v>
      </c>
      <c r="M37" s="325">
        <f t="shared" si="10"/>
        <v>1.0000000019474569</v>
      </c>
      <c r="N37" s="337">
        <f t="shared" si="11"/>
        <v>6.2409244338919423E-5</v>
      </c>
      <c r="O37" s="343">
        <f t="shared" si="12"/>
        <v>1.0000000014043073</v>
      </c>
      <c r="P37" s="691">
        <f t="shared" si="13"/>
        <v>5.2996363811304073E-5</v>
      </c>
      <c r="Q37" s="336">
        <f t="shared" si="29"/>
        <v>15.124293789804989</v>
      </c>
      <c r="R37" s="692">
        <f t="shared" si="14"/>
        <v>2.4735380249239481E-5</v>
      </c>
      <c r="S37" s="329">
        <f t="shared" si="15"/>
        <v>0.99999999936087469</v>
      </c>
      <c r="T37" s="330">
        <f t="shared" si="16"/>
        <v>7.8199690721562643E-5</v>
      </c>
      <c r="U37" s="331">
        <f t="shared" si="17"/>
        <v>86.088617601070325</v>
      </c>
      <c r="V37" s="332">
        <f t="shared" si="18"/>
        <v>-85.782054648723189</v>
      </c>
      <c r="W37" s="334">
        <f t="shared" si="19"/>
        <v>94.217945351276811</v>
      </c>
      <c r="Y37" s="307">
        <f t="shared" si="20"/>
        <v>1000000000</v>
      </c>
      <c r="Z37" s="307">
        <f t="shared" si="21"/>
        <v>83.176224010000013</v>
      </c>
      <c r="AB37" s="333">
        <f t="shared" si="22"/>
        <v>76.018559185491853</v>
      </c>
      <c r="AC37" s="334">
        <f t="shared" si="23"/>
        <v>-85.146638279241657</v>
      </c>
      <c r="AE37" s="333">
        <f t="shared" si="24"/>
        <v>67.642960589184767</v>
      </c>
      <c r="AF37" s="334">
        <f t="shared" si="25"/>
        <v>-0.63703560456637687</v>
      </c>
      <c r="AH37">
        <f t="shared" si="26"/>
        <v>0</v>
      </c>
      <c r="AI37">
        <f t="shared" si="27"/>
        <v>0</v>
      </c>
    </row>
    <row r="38" spans="1:35" x14ac:dyDescent="0.25">
      <c r="A38" s="335">
        <v>10</v>
      </c>
      <c r="B38" s="352">
        <f t="shared" si="28"/>
        <v>0.01</v>
      </c>
      <c r="C38" s="325">
        <f t="shared" si="0"/>
        <v>1.0000734248171734</v>
      </c>
      <c r="D38" s="326">
        <f t="shared" si="1"/>
        <v>1.2117782370153485E-2</v>
      </c>
      <c r="E38" s="326">
        <f t="shared" si="2"/>
        <v>1.0000000000789568</v>
      </c>
      <c r="F38" s="327">
        <f t="shared" si="3"/>
        <v>1.2566370599338535E-5</v>
      </c>
      <c r="G38" s="326">
        <f t="shared" si="4"/>
        <v>1</v>
      </c>
      <c r="H38" s="327">
        <f t="shared" si="5"/>
        <v>0</v>
      </c>
      <c r="I38" s="325">
        <f t="shared" si="6"/>
        <v>13.310276551587625</v>
      </c>
      <c r="J38" s="328">
        <f t="shared" si="7"/>
        <v>1.4955955490723478</v>
      </c>
      <c r="K38" s="336">
        <f t="shared" si="8"/>
        <v>1.0000033052192421</v>
      </c>
      <c r="L38" s="337">
        <f t="shared" si="9"/>
        <v>2.5710737594523167E-3</v>
      </c>
      <c r="M38" s="325">
        <f t="shared" si="10"/>
        <v>1.0000000023413624</v>
      </c>
      <c r="N38" s="337">
        <f t="shared" si="11"/>
        <v>6.8430438616386342E-5</v>
      </c>
      <c r="O38" s="343">
        <f t="shared" si="12"/>
        <v>1.0000000016883517</v>
      </c>
      <c r="P38" s="691">
        <f t="shared" si="13"/>
        <v>5.8109410863113912E-5</v>
      </c>
      <c r="Q38" s="336">
        <f t="shared" si="29"/>
        <v>15.124293790714027</v>
      </c>
      <c r="R38" s="692">
        <f t="shared" si="14"/>
        <v>2.7121830076712929E-5</v>
      </c>
      <c r="S38" s="329">
        <f t="shared" si="15"/>
        <v>0.99999999923160099</v>
      </c>
      <c r="T38" s="330">
        <f t="shared" si="16"/>
        <v>8.5744334763645879E-5</v>
      </c>
      <c r="U38" s="331">
        <f t="shared" si="17"/>
        <v>85.293462642289128</v>
      </c>
      <c r="V38" s="332">
        <f t="shared" si="18"/>
        <v>-86.244637136806318</v>
      </c>
      <c r="W38" s="334">
        <f t="shared" si="19"/>
        <v>93.755362863193682</v>
      </c>
      <c r="Y38" s="307">
        <f t="shared" si="20"/>
        <v>1000000000</v>
      </c>
      <c r="Z38" s="307">
        <f t="shared" si="21"/>
        <v>100</v>
      </c>
      <c r="AB38" s="333">
        <f t="shared" si="22"/>
        <v>75.223511508326354</v>
      </c>
      <c r="AC38" s="334">
        <f t="shared" si="23"/>
        <v>-85.547922018238779</v>
      </c>
      <c r="AE38" s="333">
        <f t="shared" si="24"/>
        <v>67.642853305623944</v>
      </c>
      <c r="AF38" s="334">
        <f t="shared" si="25"/>
        <v>-0.69849057616594645</v>
      </c>
      <c r="AH38">
        <f t="shared" si="26"/>
        <v>0</v>
      </c>
      <c r="AI38">
        <f t="shared" si="27"/>
        <v>0</v>
      </c>
    </row>
    <row r="39" spans="1:35" x14ac:dyDescent="0.25">
      <c r="A39" s="335">
        <v>10.965</v>
      </c>
      <c r="B39" s="352">
        <f t="shared" si="28"/>
        <v>1.0964999999999999E-2</v>
      </c>
      <c r="C39" s="325">
        <f t="shared" si="0"/>
        <v>1.0000882789015146</v>
      </c>
      <c r="D39" s="326">
        <f t="shared" si="1"/>
        <v>1.3287016798377351E-2</v>
      </c>
      <c r="E39" s="326">
        <f t="shared" si="2"/>
        <v>1.0000000000949307</v>
      </c>
      <c r="F39" s="327">
        <f t="shared" si="3"/>
        <v>1.3779025362027965E-5</v>
      </c>
      <c r="G39" s="326">
        <f t="shared" si="4"/>
        <v>1</v>
      </c>
      <c r="H39" s="327">
        <f t="shared" si="5"/>
        <v>0</v>
      </c>
      <c r="I39" s="325">
        <f t="shared" si="6"/>
        <v>14.587785583165923</v>
      </c>
      <c r="J39" s="328">
        <f t="shared" si="7"/>
        <v>1.502192024223447</v>
      </c>
      <c r="K39" s="336">
        <f t="shared" si="8"/>
        <v>1.000003973904255</v>
      </c>
      <c r="L39" s="337">
        <f t="shared" si="9"/>
        <v>2.8191811204797633E-3</v>
      </c>
      <c r="M39" s="325">
        <f t="shared" si="10"/>
        <v>1.0000000028150486</v>
      </c>
      <c r="N39" s="337">
        <f t="shared" si="11"/>
        <v>7.503397591917258E-5</v>
      </c>
      <c r="O39" s="343">
        <f t="shared" si="12"/>
        <v>1.000000002029926</v>
      </c>
      <c r="P39" s="691">
        <f t="shared" si="13"/>
        <v>6.3716968996895023E-5</v>
      </c>
      <c r="Q39" s="336">
        <f t="shared" si="29"/>
        <v>15.124293791807181</v>
      </c>
      <c r="R39" s="692">
        <f t="shared" si="14"/>
        <v>2.9739086677703871E-5</v>
      </c>
      <c r="S39" s="329">
        <f t="shared" si="15"/>
        <v>0.99999999907614445</v>
      </c>
      <c r="T39" s="330">
        <f t="shared" si="16"/>
        <v>9.4018663106261015E-5</v>
      </c>
      <c r="U39" s="331">
        <f t="shared" si="17"/>
        <v>84.497293595032858</v>
      </c>
      <c r="V39" s="332">
        <f t="shared" si="18"/>
        <v>-86.675975643718147</v>
      </c>
      <c r="W39" s="334">
        <f t="shared" si="19"/>
        <v>93.324024356281853</v>
      </c>
      <c r="Y39" s="307">
        <f t="shared" si="20"/>
        <v>1000000000</v>
      </c>
      <c r="Z39" s="307">
        <f t="shared" si="21"/>
        <v>120.23122499999999</v>
      </c>
      <c r="AB39" s="333">
        <f t="shared" si="22"/>
        <v>74.427471467748504</v>
      </c>
      <c r="AC39" s="334">
        <f t="shared" si="23"/>
        <v>-85.912035054640043</v>
      </c>
      <c r="AE39" s="333">
        <f t="shared" si="24"/>
        <v>67.642724296606445</v>
      </c>
      <c r="AF39" s="334">
        <f t="shared" si="25"/>
        <v>-0.76588737833400666</v>
      </c>
      <c r="AH39">
        <f t="shared" si="26"/>
        <v>0</v>
      </c>
      <c r="AI39">
        <f t="shared" si="27"/>
        <v>0</v>
      </c>
    </row>
    <row r="40" spans="1:35" x14ac:dyDescent="0.25">
      <c r="A40" s="335">
        <v>12.023</v>
      </c>
      <c r="B40" s="352">
        <f t="shared" si="28"/>
        <v>1.2022999999999999E-2</v>
      </c>
      <c r="C40" s="325">
        <f t="shared" si="0"/>
        <v>1.000106135694306</v>
      </c>
      <c r="D40" s="326">
        <f t="shared" si="1"/>
        <v>1.4568892053595833E-2</v>
      </c>
      <c r="E40" s="326">
        <f t="shared" si="2"/>
        <v>1.000000000114134</v>
      </c>
      <c r="F40" s="327">
        <f t="shared" si="3"/>
        <v>1.5108547371230402E-5</v>
      </c>
      <c r="G40" s="326">
        <f t="shared" si="4"/>
        <v>1</v>
      </c>
      <c r="H40" s="327">
        <f t="shared" si="5"/>
        <v>0</v>
      </c>
      <c r="I40" s="325">
        <f t="shared" si="6"/>
        <v>15.989019335816691</v>
      </c>
      <c r="J40" s="328">
        <f t="shared" si="7"/>
        <v>1.5082125581837831</v>
      </c>
      <c r="K40" s="336">
        <f t="shared" si="8"/>
        <v>1.0000047777744854</v>
      </c>
      <c r="L40" s="337">
        <f t="shared" si="9"/>
        <v>3.0911989463562129E-3</v>
      </c>
      <c r="M40" s="325">
        <f t="shared" si="10"/>
        <v>1.0000000033844987</v>
      </c>
      <c r="N40" s="337">
        <f t="shared" si="11"/>
        <v>8.2273916291266037E-5</v>
      </c>
      <c r="O40" s="343">
        <f t="shared" si="12"/>
        <v>1.0000000024405551</v>
      </c>
      <c r="P40" s="691">
        <f t="shared" si="13"/>
        <v>6.9864944645686754E-5</v>
      </c>
      <c r="Q40" s="336">
        <f t="shared" si="29"/>
        <v>15.124293793121334</v>
      </c>
      <c r="R40" s="692">
        <f t="shared" si="14"/>
        <v>3.2608576297822814E-5</v>
      </c>
      <c r="S40" s="329">
        <f t="shared" si="15"/>
        <v>0.99999999888925972</v>
      </c>
      <c r="T40" s="330">
        <f t="shared" si="16"/>
        <v>1.0309041377790303E-4</v>
      </c>
      <c r="U40" s="331">
        <f t="shared" si="17"/>
        <v>83.700496360841825</v>
      </c>
      <c r="V40" s="332">
        <f t="shared" si="18"/>
        <v>-87.079457970773859</v>
      </c>
      <c r="W40" s="334">
        <f t="shared" si="19"/>
        <v>92.920542029226141</v>
      </c>
      <c r="Y40" s="307">
        <f t="shared" si="20"/>
        <v>1000000000</v>
      </c>
      <c r="Z40" s="307">
        <f t="shared" si="21"/>
        <v>144.55252899999999</v>
      </c>
      <c r="AB40" s="333">
        <f t="shared" si="22"/>
        <v>73.630829316011344</v>
      </c>
      <c r="AC40" s="334">
        <f t="shared" si="23"/>
        <v>-86.241815586011526</v>
      </c>
      <c r="AE40" s="333">
        <f t="shared" si="24"/>
        <v>67.642569211340614</v>
      </c>
      <c r="AF40" s="334">
        <f t="shared" si="25"/>
        <v>-0.83977701743109523</v>
      </c>
      <c r="AH40">
        <f t="shared" si="26"/>
        <v>0</v>
      </c>
      <c r="AI40">
        <f t="shared" si="27"/>
        <v>0</v>
      </c>
    </row>
    <row r="41" spans="1:35" x14ac:dyDescent="0.25">
      <c r="A41" s="335">
        <v>13.183</v>
      </c>
      <c r="B41" s="352">
        <f t="shared" si="28"/>
        <v>1.3183E-2</v>
      </c>
      <c r="C41" s="325">
        <f t="shared" si="0"/>
        <v>1.0001276026265729</v>
      </c>
      <c r="D41" s="326">
        <f t="shared" si="1"/>
        <v>1.5974295562453132E-2</v>
      </c>
      <c r="E41" s="326">
        <f t="shared" si="2"/>
        <v>1.0000000001372202</v>
      </c>
      <c r="F41" s="327">
        <f t="shared" si="3"/>
        <v>1.6566246360464517E-5</v>
      </c>
      <c r="G41" s="326">
        <f t="shared" si="4"/>
        <v>1</v>
      </c>
      <c r="H41" s="327">
        <f t="shared" si="5"/>
        <v>0</v>
      </c>
      <c r="I41" s="325">
        <f t="shared" si="6"/>
        <v>17.52589807897882</v>
      </c>
      <c r="J41" s="328">
        <f t="shared" si="7"/>
        <v>1.5137069039033291</v>
      </c>
      <c r="K41" s="336">
        <f t="shared" si="8"/>
        <v>1.0000057441827304</v>
      </c>
      <c r="L41" s="337">
        <f t="shared" si="9"/>
        <v>3.3894410259511891E-3</v>
      </c>
      <c r="M41" s="325">
        <f t="shared" si="10"/>
        <v>1.0000000040690886</v>
      </c>
      <c r="N41" s="337">
        <f t="shared" si="11"/>
        <v>9.0211847124074549E-5</v>
      </c>
      <c r="O41" s="343">
        <f t="shared" si="12"/>
        <v>1.0000000029342118</v>
      </c>
      <c r="P41" s="691">
        <f t="shared" si="13"/>
        <v>7.6605636277216478E-5</v>
      </c>
      <c r="Q41" s="336">
        <f t="shared" si="29"/>
        <v>15.124293794701199</v>
      </c>
      <c r="R41" s="692">
        <f t="shared" si="14"/>
        <v>3.5754708583939391E-5</v>
      </c>
      <c r="S41" s="329">
        <f t="shared" si="15"/>
        <v>0.999999998664588</v>
      </c>
      <c r="T41" s="330">
        <f t="shared" si="16"/>
        <v>1.1303675668521582E-4</v>
      </c>
      <c r="U41" s="331">
        <f t="shared" si="17"/>
        <v>82.903149236312416</v>
      </c>
      <c r="V41" s="332">
        <f t="shared" si="18"/>
        <v>-87.45843168958443</v>
      </c>
      <c r="W41" s="334">
        <f t="shared" si="19"/>
        <v>92.54156831041557</v>
      </c>
      <c r="Y41" s="307">
        <f t="shared" si="20"/>
        <v>1000000000</v>
      </c>
      <c r="Z41" s="307">
        <f t="shared" si="21"/>
        <v>173.79148899999998</v>
      </c>
      <c r="AB41" s="333">
        <f t="shared" si="22"/>
        <v>72.833668623565131</v>
      </c>
      <c r="AC41" s="334">
        <f t="shared" si="23"/>
        <v>-86.539985204768769</v>
      </c>
      <c r="AE41" s="333">
        <f t="shared" si="24"/>
        <v>67.642382775876882</v>
      </c>
      <c r="AF41" s="334">
        <f t="shared" si="25"/>
        <v>-0.92078707056435793</v>
      </c>
      <c r="AH41">
        <f t="shared" si="26"/>
        <v>0</v>
      </c>
      <c r="AI41">
        <f t="shared" si="27"/>
        <v>0</v>
      </c>
    </row>
    <row r="42" spans="1:35" x14ac:dyDescent="0.25">
      <c r="A42" s="335">
        <v>14.454000000000001</v>
      </c>
      <c r="B42" s="352">
        <f t="shared" si="28"/>
        <v>1.4454E-2</v>
      </c>
      <c r="C42" s="325">
        <f t="shared" si="0"/>
        <v>1.0001533916118228</v>
      </c>
      <c r="D42" s="326">
        <f t="shared" si="1"/>
        <v>1.7514108992475033E-2</v>
      </c>
      <c r="E42" s="326">
        <f t="shared" si="2"/>
        <v>1.0000000001649552</v>
      </c>
      <c r="F42" s="327">
        <f t="shared" si="3"/>
        <v>1.8163432063242567E-5</v>
      </c>
      <c r="G42" s="326">
        <f t="shared" si="4"/>
        <v>1</v>
      </c>
      <c r="H42" s="327">
        <f t="shared" si="5"/>
        <v>0</v>
      </c>
      <c r="I42" s="325">
        <f t="shared" si="6"/>
        <v>19.210345796979766</v>
      </c>
      <c r="J42" s="328">
        <f t="shared" si="7"/>
        <v>1.5187175049144197</v>
      </c>
      <c r="K42" s="336">
        <f t="shared" si="8"/>
        <v>1.0000069051893408</v>
      </c>
      <c r="L42" s="337">
        <f t="shared" si="9"/>
        <v>3.7162210930785223E-3</v>
      </c>
      <c r="M42" s="325">
        <f t="shared" si="10"/>
        <v>1.0000000048915303</v>
      </c>
      <c r="N42" s="337">
        <f t="shared" si="11"/>
        <v>9.8909355807967858E-5</v>
      </c>
      <c r="O42" s="343">
        <f t="shared" si="12"/>
        <v>1.0000000035272727</v>
      </c>
      <c r="P42" s="691">
        <f t="shared" si="13"/>
        <v>8.3991342358575899E-5</v>
      </c>
      <c r="Q42" s="336">
        <f t="shared" si="29"/>
        <v>15.124293796599193</v>
      </c>
      <c r="R42" s="692">
        <f t="shared" si="14"/>
        <v>3.9201893182861358E-5</v>
      </c>
      <c r="S42" s="329">
        <f t="shared" si="15"/>
        <v>0.99999999839467535</v>
      </c>
      <c r="T42" s="330">
        <f t="shared" si="16"/>
        <v>1.2393486173650474E-4</v>
      </c>
      <c r="U42" s="331">
        <f t="shared" si="17"/>
        <v>82.105837336711858</v>
      </c>
      <c r="V42" s="332">
        <f t="shared" si="18"/>
        <v>-87.815825246160387</v>
      </c>
      <c r="W42" s="334">
        <f t="shared" si="19"/>
        <v>92.184174753839613</v>
      </c>
      <c r="Y42" s="307">
        <f t="shared" si="20"/>
        <v>1000000000</v>
      </c>
      <c r="Z42" s="307">
        <f t="shared" si="21"/>
        <v>208.91811600000003</v>
      </c>
      <c r="AB42" s="333">
        <f t="shared" si="22"/>
        <v>72.036580686130819</v>
      </c>
      <c r="AC42" s="334">
        <f t="shared" si="23"/>
        <v>-86.808846707699928</v>
      </c>
      <c r="AE42" s="333">
        <f t="shared" si="24"/>
        <v>67.642158809649416</v>
      </c>
      <c r="AF42" s="334">
        <f t="shared" si="25"/>
        <v>-1.0095447848678576</v>
      </c>
      <c r="AH42">
        <f t="shared" si="26"/>
        <v>0</v>
      </c>
      <c r="AI42">
        <f t="shared" si="27"/>
        <v>0</v>
      </c>
    </row>
    <row r="43" spans="1:35" x14ac:dyDescent="0.25">
      <c r="A43" s="335">
        <v>15.849</v>
      </c>
      <c r="B43" s="352">
        <f t="shared" si="28"/>
        <v>1.5848999999999999E-2</v>
      </c>
      <c r="C43" s="325">
        <f t="shared" si="0"/>
        <v>1.0001844261509925</v>
      </c>
      <c r="D43" s="326">
        <f t="shared" si="1"/>
        <v>1.9204052243285731E-2</v>
      </c>
      <c r="E43" s="326">
        <f t="shared" si="2"/>
        <v>1.0000000001983325</v>
      </c>
      <c r="F43" s="327">
        <f t="shared" si="3"/>
        <v>1.991644076130662E-5</v>
      </c>
      <c r="G43" s="326">
        <f t="shared" si="4"/>
        <v>1</v>
      </c>
      <c r="H43" s="327">
        <f t="shared" si="5"/>
        <v>0</v>
      </c>
      <c r="I43" s="325">
        <f t="shared" si="6"/>
        <v>21.059591899299882</v>
      </c>
      <c r="J43" s="328">
        <f t="shared" si="7"/>
        <v>1.5232941634229262</v>
      </c>
      <c r="K43" s="336">
        <f t="shared" si="8"/>
        <v>1.0000083023859445</v>
      </c>
      <c r="L43" s="337">
        <f t="shared" si="9"/>
        <v>4.0748812261506215E-3</v>
      </c>
      <c r="M43" s="325">
        <f t="shared" si="10"/>
        <v>1.000000005881287</v>
      </c>
      <c r="N43" s="337">
        <f t="shared" si="11"/>
        <v>1.0845540190716143E-4</v>
      </c>
      <c r="O43" s="343">
        <f t="shared" si="12"/>
        <v>1.0000000042409845</v>
      </c>
      <c r="P43" s="691">
        <f t="shared" si="13"/>
        <v>9.2097605120221667E-5</v>
      </c>
      <c r="Q43" s="336">
        <f t="shared" si="29"/>
        <v>15.124293798883309</v>
      </c>
      <c r="R43" s="692">
        <f t="shared" si="14"/>
        <v>4.2985388473331766E-5</v>
      </c>
      <c r="S43" s="329">
        <f t="shared" si="15"/>
        <v>0.99999999806985251</v>
      </c>
      <c r="T43" s="330">
        <f t="shared" si="16"/>
        <v>1.3589619657654279E-4</v>
      </c>
      <c r="U43" s="331">
        <f t="shared" si="17"/>
        <v>81.307284584195287</v>
      </c>
      <c r="V43" s="332">
        <f t="shared" si="18"/>
        <v>-88.155209533166115</v>
      </c>
      <c r="W43" s="334">
        <f t="shared" si="19"/>
        <v>91.844790466833885</v>
      </c>
      <c r="Y43" s="307">
        <f t="shared" si="20"/>
        <v>1000000000</v>
      </c>
      <c r="Z43" s="307">
        <f t="shared" si="21"/>
        <v>251.19080099999999</v>
      </c>
      <c r="AB43" s="333">
        <f t="shared" si="22"/>
        <v>71.238297442673897</v>
      </c>
      <c r="AC43" s="334">
        <f t="shared" si="23"/>
        <v>-87.051067161034652</v>
      </c>
      <c r="AE43" s="333">
        <f t="shared" si="24"/>
        <v>67.641889295702313</v>
      </c>
      <c r="AF43" s="334">
        <f t="shared" si="25"/>
        <v>-1.1069562948710661</v>
      </c>
      <c r="AH43">
        <f t="shared" si="26"/>
        <v>0</v>
      </c>
      <c r="AI43">
        <f t="shared" si="27"/>
        <v>0</v>
      </c>
    </row>
    <row r="44" spans="1:35" x14ac:dyDescent="0.25">
      <c r="A44" s="335">
        <v>17.378</v>
      </c>
      <c r="B44" s="352">
        <f t="shared" si="28"/>
        <v>1.7378000000000001E-2</v>
      </c>
      <c r="C44" s="325">
        <f t="shared" si="0"/>
        <v>1.0002217227515411</v>
      </c>
      <c r="D44" s="326">
        <f t="shared" si="1"/>
        <v>2.1056200597854076E-2</v>
      </c>
      <c r="E44" s="326">
        <f t="shared" si="2"/>
        <v>1.0000000002384457</v>
      </c>
      <c r="F44" s="327">
        <f t="shared" si="3"/>
        <v>2.1837838825208578E-5</v>
      </c>
      <c r="G44" s="326">
        <f t="shared" si="4"/>
        <v>1</v>
      </c>
      <c r="H44" s="327">
        <f t="shared" si="5"/>
        <v>0</v>
      </c>
      <c r="I44" s="325">
        <f t="shared" si="6"/>
        <v>23.086893302350475</v>
      </c>
      <c r="J44" s="328">
        <f t="shared" si="7"/>
        <v>1.5274681516306068</v>
      </c>
      <c r="K44" s="336">
        <f t="shared" si="8"/>
        <v>1.0000099815596957</v>
      </c>
      <c r="L44" s="337">
        <f t="shared" si="9"/>
        <v>4.4679920926712921E-3</v>
      </c>
      <c r="M44" s="325">
        <f t="shared" si="10"/>
        <v>1.0000000070707948</v>
      </c>
      <c r="N44" s="337">
        <f t="shared" si="11"/>
        <v>1.189184158526118E-4</v>
      </c>
      <c r="O44" s="343">
        <f t="shared" si="12"/>
        <v>1.0000000050987361</v>
      </c>
      <c r="P44" s="691">
        <f t="shared" si="13"/>
        <v>1.0098253396832654E-4</v>
      </c>
      <c r="Q44" s="336">
        <f t="shared" si="29"/>
        <v>15.124293801628404</v>
      </c>
      <c r="R44" s="692">
        <f t="shared" si="14"/>
        <v>4.7132316284970926E-5</v>
      </c>
      <c r="S44" s="329">
        <f t="shared" si="15"/>
        <v>0.99999999767947445</v>
      </c>
      <c r="T44" s="330">
        <f t="shared" si="16"/>
        <v>1.4900650555235289E-4</v>
      </c>
      <c r="U44" s="331">
        <f t="shared" si="17"/>
        <v>80.508664383726881</v>
      </c>
      <c r="V44" s="332">
        <f t="shared" si="18"/>
        <v>-88.478927228239925</v>
      </c>
      <c r="W44" s="334">
        <f t="shared" si="19"/>
        <v>91.521072771760075</v>
      </c>
      <c r="Y44" s="307">
        <f t="shared" si="20"/>
        <v>1000000000</v>
      </c>
      <c r="Z44" s="307">
        <f t="shared" si="21"/>
        <v>301.99488400000001</v>
      </c>
      <c r="AB44" s="333">
        <f t="shared" si="22"/>
        <v>70.440001120975296</v>
      </c>
      <c r="AC44" s="334">
        <f t="shared" si="23"/>
        <v>-87.268294962328042</v>
      </c>
      <c r="AE44" s="333">
        <f t="shared" si="24"/>
        <v>67.641565411058679</v>
      </c>
      <c r="AF44" s="334">
        <f t="shared" si="25"/>
        <v>-1.2137176561145251</v>
      </c>
      <c r="AH44">
        <f t="shared" si="26"/>
        <v>0</v>
      </c>
      <c r="AI44">
        <f t="shared" si="27"/>
        <v>0</v>
      </c>
    </row>
    <row r="45" spans="1:35" x14ac:dyDescent="0.25">
      <c r="A45" s="335">
        <v>19.055</v>
      </c>
      <c r="B45" s="352">
        <f t="shared" si="28"/>
        <v>1.9054999999999999E-2</v>
      </c>
      <c r="C45" s="325">
        <f t="shared" si="0"/>
        <v>1.0002665746462975</v>
      </c>
      <c r="D45" s="326">
        <f t="shared" si="1"/>
        <v>2.308746159268554E-2</v>
      </c>
      <c r="E45" s="326">
        <f t="shared" si="2"/>
        <v>1.0000000002866867</v>
      </c>
      <c r="F45" s="327">
        <f t="shared" si="3"/>
        <v>2.3945219173723484E-5</v>
      </c>
      <c r="G45" s="326">
        <f t="shared" si="4"/>
        <v>1</v>
      </c>
      <c r="H45" s="327">
        <f t="shared" si="5"/>
        <v>0</v>
      </c>
      <c r="I45" s="325">
        <f t="shared" si="6"/>
        <v>25.310812762214535</v>
      </c>
      <c r="J45" s="328">
        <f t="shared" si="7"/>
        <v>1.5312772347002139</v>
      </c>
      <c r="K45" s="336">
        <f t="shared" si="8"/>
        <v>1.00001200096835</v>
      </c>
      <c r="L45" s="337">
        <f t="shared" si="9"/>
        <v>4.8991526475119507E-3</v>
      </c>
      <c r="M45" s="325">
        <f t="shared" si="10"/>
        <v>1.0000000085013239</v>
      </c>
      <c r="N45" s="337">
        <f t="shared" si="11"/>
        <v>1.3039420024804204E-4</v>
      </c>
      <c r="O45" s="343">
        <f t="shared" si="12"/>
        <v>1.0000000061302876</v>
      </c>
      <c r="P45" s="691">
        <f t="shared" si="13"/>
        <v>1.1072748207176732E-4</v>
      </c>
      <c r="Q45" s="336">
        <f t="shared" si="29"/>
        <v>15.124293804929716</v>
      </c>
      <c r="R45" s="692">
        <f t="shared" si="14"/>
        <v>5.1680647179270162E-5</v>
      </c>
      <c r="S45" s="329">
        <f t="shared" si="15"/>
        <v>0.99999999720999688</v>
      </c>
      <c r="T45" s="330">
        <f t="shared" si="16"/>
        <v>1.6338583074915298E-4</v>
      </c>
      <c r="U45" s="331">
        <f t="shared" si="17"/>
        <v>79.709480533499431</v>
      </c>
      <c r="V45" s="332">
        <f t="shared" si="18"/>
        <v>-88.789913514731865</v>
      </c>
      <c r="W45" s="334">
        <f t="shared" si="19"/>
        <v>91.210086485268135</v>
      </c>
      <c r="Y45" s="307">
        <f t="shared" si="20"/>
        <v>1000000000</v>
      </c>
      <c r="Z45" s="307">
        <f t="shared" si="21"/>
        <v>363.09302500000001</v>
      </c>
      <c r="AB45" s="333">
        <f t="shared" si="22"/>
        <v>69.641206742703062</v>
      </c>
      <c r="AC45" s="334">
        <f t="shared" si="23"/>
        <v>-87.462493180180743</v>
      </c>
      <c r="AE45" s="333">
        <f t="shared" si="24"/>
        <v>67.641175932039459</v>
      </c>
      <c r="AF45" s="334">
        <f t="shared" si="25"/>
        <v>-1.3308034689879269</v>
      </c>
      <c r="AH45">
        <f t="shared" si="26"/>
        <v>0</v>
      </c>
      <c r="AI45">
        <f t="shared" ref="AI45:AI76" si="30">IF(AH45&gt;0,W43,0)</f>
        <v>0</v>
      </c>
    </row>
    <row r="46" spans="1:35" x14ac:dyDescent="0.25">
      <c r="A46" s="335">
        <v>20.893000000000001</v>
      </c>
      <c r="B46" s="352">
        <f t="shared" si="28"/>
        <v>2.0893000000000002E-2</v>
      </c>
      <c r="C46" s="325">
        <f t="shared" si="0"/>
        <v>1.0003204725543025</v>
      </c>
      <c r="D46" s="326">
        <f t="shared" si="1"/>
        <v>2.5313513867204828E-2</v>
      </c>
      <c r="E46" s="326">
        <f t="shared" si="2"/>
        <v>1.0000000003446603</v>
      </c>
      <c r="F46" s="327">
        <f t="shared" si="3"/>
        <v>2.6254918088547314E-5</v>
      </c>
      <c r="G46" s="326">
        <f t="shared" si="4"/>
        <v>1</v>
      </c>
      <c r="H46" s="327">
        <f t="shared" si="5"/>
        <v>0</v>
      </c>
      <c r="I46" s="325">
        <f t="shared" si="6"/>
        <v>27.748590051884499</v>
      </c>
      <c r="J46" s="328">
        <f t="shared" si="7"/>
        <v>1.5347506545869145</v>
      </c>
      <c r="K46" s="336">
        <f t="shared" si="8"/>
        <v>1.0000144277784822</v>
      </c>
      <c r="L46" s="337">
        <f t="shared" si="9"/>
        <v>5.3717045743334711E-3</v>
      </c>
      <c r="M46" s="325">
        <f t="shared" si="10"/>
        <v>1.0000000102204556</v>
      </c>
      <c r="N46" s="337">
        <f t="shared" si="11"/>
        <v>1.4297171465022437E-4</v>
      </c>
      <c r="O46" s="343">
        <f t="shared" si="12"/>
        <v>1.0000000073699502</v>
      </c>
      <c r="P46" s="691">
        <f t="shared" si="13"/>
        <v>1.2140799165644294E-4</v>
      </c>
      <c r="Q46" s="336">
        <f t="shared" si="29"/>
        <v>15.124293808897052</v>
      </c>
      <c r="R46" s="692">
        <f t="shared" si="14"/>
        <v>5.666563953452902E-5</v>
      </c>
      <c r="S46" s="329">
        <f t="shared" si="15"/>
        <v>0.99999999664580441</v>
      </c>
      <c r="T46" s="330">
        <f t="shared" si="16"/>
        <v>1.7914563982362859E-4</v>
      </c>
      <c r="U46" s="331">
        <f t="shared" si="17"/>
        <v>78.910337002719018</v>
      </c>
      <c r="V46" s="332">
        <f t="shared" si="18"/>
        <v>-89.090558928296701</v>
      </c>
      <c r="W46" s="334">
        <f t="shared" si="19"/>
        <v>90.909441071703299</v>
      </c>
      <c r="Y46" s="307">
        <f t="shared" si="20"/>
        <v>1000000000</v>
      </c>
      <c r="Z46" s="307">
        <f t="shared" si="21"/>
        <v>436.51744900000006</v>
      </c>
      <c r="AB46" s="333">
        <f t="shared" si="22"/>
        <v>68.8425312119371</v>
      </c>
      <c r="AC46" s="334">
        <f t="shared" si="23"/>
        <v>-87.635150887847146</v>
      </c>
      <c r="AE46" s="333">
        <f t="shared" si="24"/>
        <v>67.640707923535871</v>
      </c>
      <c r="AF46" s="334">
        <f t="shared" si="25"/>
        <v>-1.4591175039861337</v>
      </c>
      <c r="AH46">
        <f t="shared" si="26"/>
        <v>0</v>
      </c>
      <c r="AI46">
        <f t="shared" si="30"/>
        <v>0</v>
      </c>
    </row>
    <row r="47" spans="1:35" x14ac:dyDescent="0.25">
      <c r="A47" s="335">
        <v>22.909000000000002</v>
      </c>
      <c r="B47" s="352">
        <f t="shared" si="28"/>
        <v>2.2909000000000002E-2</v>
      </c>
      <c r="C47" s="325">
        <f t="shared" si="0"/>
        <v>1.0003852897233441</v>
      </c>
      <c r="D47" s="326">
        <f t="shared" si="1"/>
        <v>2.775485749175384E-2</v>
      </c>
      <c r="E47" s="326">
        <f t="shared" si="2"/>
        <v>1.000000000414383</v>
      </c>
      <c r="F47" s="327">
        <f t="shared" si="3"/>
        <v>2.8788298399587083E-5</v>
      </c>
      <c r="G47" s="326">
        <f t="shared" si="4"/>
        <v>1</v>
      </c>
      <c r="H47" s="327">
        <f t="shared" si="5"/>
        <v>0</v>
      </c>
      <c r="I47" s="325">
        <f t="shared" si="6"/>
        <v>30.422772702793463</v>
      </c>
      <c r="J47" s="328">
        <f t="shared" si="7"/>
        <v>1.5379202910882714</v>
      </c>
      <c r="K47" s="336">
        <f t="shared" si="8"/>
        <v>1.000017346405236</v>
      </c>
      <c r="L47" s="337">
        <f t="shared" si="9"/>
        <v>5.890017740465687E-3</v>
      </c>
      <c r="M47" s="325">
        <f t="shared" si="10"/>
        <v>1.000000012287992</v>
      </c>
      <c r="N47" s="337">
        <f t="shared" si="11"/>
        <v>1.5676729078674208E-4</v>
      </c>
      <c r="O47" s="343">
        <f t="shared" si="12"/>
        <v>1.0000000088608465</v>
      </c>
      <c r="P47" s="691">
        <f t="shared" si="13"/>
        <v>1.3312284870975905E-4</v>
      </c>
      <c r="Q47" s="336">
        <f t="shared" si="29"/>
        <v>15.124293813668421</v>
      </c>
      <c r="R47" s="692">
        <f t="shared" si="14"/>
        <v>6.2133400460801546E-5</v>
      </c>
      <c r="S47" s="329">
        <f t="shared" si="15"/>
        <v>0.99999999596727118</v>
      </c>
      <c r="T47" s="330">
        <f t="shared" si="16"/>
        <v>1.9643169817378992E-4</v>
      </c>
      <c r="U47" s="331">
        <f t="shared" si="17"/>
        <v>78.110642118666348</v>
      </c>
      <c r="V47" s="332">
        <f t="shared" si="18"/>
        <v>-89.383625014126778</v>
      </c>
      <c r="W47" s="334">
        <f t="shared" si="19"/>
        <v>90.616374985873222</v>
      </c>
      <c r="Y47" s="307">
        <f t="shared" si="20"/>
        <v>1000000000</v>
      </c>
      <c r="Z47" s="307">
        <f t="shared" si="21"/>
        <v>524.82228100000009</v>
      </c>
      <c r="AB47" s="333">
        <f t="shared" si="22"/>
        <v>68.043399107352585</v>
      </c>
      <c r="AC47" s="334">
        <f t="shared" si="23"/>
        <v>-87.787850953543142</v>
      </c>
      <c r="AE47" s="333">
        <f t="shared" si="24"/>
        <v>67.640145133858155</v>
      </c>
      <c r="AF47" s="334">
        <f t="shared" si="25"/>
        <v>-1.5998414563629206</v>
      </c>
      <c r="AH47">
        <f t="shared" si="26"/>
        <v>0</v>
      </c>
      <c r="AI47">
        <f t="shared" si="30"/>
        <v>0</v>
      </c>
    </row>
    <row r="48" spans="1:35" x14ac:dyDescent="0.25">
      <c r="A48" s="335">
        <v>25.119</v>
      </c>
      <c r="B48" s="352">
        <f t="shared" si="28"/>
        <v>2.5118999999999999E-2</v>
      </c>
      <c r="C48" s="325">
        <f t="shared" si="0"/>
        <v>1.0004631940155786</v>
      </c>
      <c r="D48" s="326">
        <f t="shared" si="1"/>
        <v>3.0430750751128426E-2</v>
      </c>
      <c r="E48" s="326">
        <f t="shared" si="2"/>
        <v>1.0000000004981893</v>
      </c>
      <c r="F48" s="327">
        <f t="shared" si="3"/>
        <v>3.1565466299656284E-5</v>
      </c>
      <c r="G48" s="326">
        <f t="shared" si="4"/>
        <v>1</v>
      </c>
      <c r="H48" s="327">
        <f t="shared" si="5"/>
        <v>0</v>
      </c>
      <c r="I48" s="325">
        <f t="shared" si="6"/>
        <v>33.354584531036778</v>
      </c>
      <c r="J48" s="328">
        <f t="shared" si="7"/>
        <v>1.540810947465135</v>
      </c>
      <c r="K48" s="336">
        <f t="shared" si="8"/>
        <v>1.0000208545658678</v>
      </c>
      <c r="L48" s="337">
        <f t="shared" si="9"/>
        <v>6.4582046184146601E-3</v>
      </c>
      <c r="M48" s="325">
        <f t="shared" si="10"/>
        <v>1.000000014773158</v>
      </c>
      <c r="N48" s="337">
        <f t="shared" si="11"/>
        <v>1.7189041733589654E-4</v>
      </c>
      <c r="O48" s="343">
        <f t="shared" si="12"/>
        <v>1.0000000106528948</v>
      </c>
      <c r="P48" s="691">
        <f t="shared" si="13"/>
        <v>1.45965028274716E-4</v>
      </c>
      <c r="Q48" s="336">
        <f t="shared" si="29"/>
        <v>15.124293819403576</v>
      </c>
      <c r="R48" s="692">
        <f t="shared" si="14"/>
        <v>6.8127324884811159E-5</v>
      </c>
      <c r="S48" s="329">
        <f t="shared" si="15"/>
        <v>0.99999999515167814</v>
      </c>
      <c r="T48" s="330">
        <f t="shared" si="16"/>
        <v>2.1538119677284558E-4</v>
      </c>
      <c r="U48" s="331">
        <f t="shared" si="17"/>
        <v>77.310861353247248</v>
      </c>
      <c r="V48" s="332">
        <f t="shared" si="18"/>
        <v>-89.671410826482614</v>
      </c>
      <c r="W48" s="334">
        <f t="shared" si="19"/>
        <v>90.328589173517386</v>
      </c>
      <c r="Y48" s="307">
        <f t="shared" si="20"/>
        <v>1000000000</v>
      </c>
      <c r="Z48" s="307">
        <f t="shared" si="21"/>
        <v>630.96416099999999</v>
      </c>
      <c r="AB48" s="333">
        <f t="shared" si="22"/>
        <v>67.2442947029854</v>
      </c>
      <c r="AC48" s="334">
        <f t="shared" si="23"/>
        <v>-87.921785145356168</v>
      </c>
      <c r="AE48" s="333">
        <f t="shared" si="24"/>
        <v>67.639468760534413</v>
      </c>
      <c r="AF48" s="334">
        <f t="shared" si="25"/>
        <v>-1.7540854530227814</v>
      </c>
      <c r="AH48">
        <f t="shared" si="26"/>
        <v>0</v>
      </c>
      <c r="AI48">
        <f t="shared" si="30"/>
        <v>0</v>
      </c>
    </row>
    <row r="49" spans="1:35" x14ac:dyDescent="0.25">
      <c r="A49" s="335">
        <v>27.542000000000002</v>
      </c>
      <c r="B49" s="352">
        <f t="shared" si="28"/>
        <v>2.7542000000000001E-2</v>
      </c>
      <c r="C49" s="325">
        <f t="shared" si="0"/>
        <v>1.0005568380018905</v>
      </c>
      <c r="D49" s="326">
        <f t="shared" si="1"/>
        <v>3.3364044543280374E-2</v>
      </c>
      <c r="E49" s="326">
        <f t="shared" si="2"/>
        <v>1.0000000005989362</v>
      </c>
      <c r="F49" s="327">
        <f t="shared" si="3"/>
        <v>3.4610297892700425E-5</v>
      </c>
      <c r="G49" s="326">
        <f t="shared" si="4"/>
        <v>1</v>
      </c>
      <c r="H49" s="327">
        <f t="shared" si="5"/>
        <v>0</v>
      </c>
      <c r="I49" s="325">
        <f t="shared" si="6"/>
        <v>36.569231109751939</v>
      </c>
      <c r="J49" s="328">
        <f t="shared" si="7"/>
        <v>1.5434475245361134</v>
      </c>
      <c r="K49" s="336">
        <f t="shared" si="8"/>
        <v>1.0000250718565216</v>
      </c>
      <c r="L49" s="337">
        <f t="shared" si="9"/>
        <v>7.0811485934118793E-3</v>
      </c>
      <c r="M49" s="325">
        <f t="shared" si="10"/>
        <v>1.0000000177606803</v>
      </c>
      <c r="N49" s="337">
        <f t="shared" si="11"/>
        <v>1.8847111209985398E-4</v>
      </c>
      <c r="O49" s="343">
        <f t="shared" si="12"/>
        <v>1.0000000128071913</v>
      </c>
      <c r="P49" s="691">
        <f t="shared" si="13"/>
        <v>1.6004493821284569E-4</v>
      </c>
      <c r="Q49" s="336">
        <f t="shared" si="29"/>
        <v>15.12429382629805</v>
      </c>
      <c r="R49" s="692">
        <f t="shared" si="14"/>
        <v>7.4698944281844295E-5</v>
      </c>
      <c r="S49" s="329">
        <f t="shared" si="15"/>
        <v>0.99999999417121965</v>
      </c>
      <c r="T49" s="330">
        <f t="shared" si="16"/>
        <v>2.3615704990678928E-4</v>
      </c>
      <c r="U49" s="331">
        <f t="shared" si="17"/>
        <v>76.510879140125638</v>
      </c>
      <c r="V49" s="332">
        <f t="shared" si="18"/>
        <v>-89.956384582230811</v>
      </c>
      <c r="W49" s="334">
        <f t="shared" si="19"/>
        <v>90.043615417769189</v>
      </c>
      <c r="Y49" s="307">
        <f t="shared" si="20"/>
        <v>1000000000</v>
      </c>
      <c r="Z49" s="307">
        <f t="shared" si="21"/>
        <v>758.56176400000004</v>
      </c>
      <c r="AB49" s="333">
        <f t="shared" si="22"/>
        <v>66.445125432425016</v>
      </c>
      <c r="AC49" s="334">
        <f t="shared" si="23"/>
        <v>-88.038107827208023</v>
      </c>
      <c r="AE49" s="333">
        <f t="shared" si="24"/>
        <v>67.638655803220715</v>
      </c>
      <c r="AF49" s="334">
        <f t="shared" si="25"/>
        <v>-1.9231667202789651</v>
      </c>
      <c r="AH49">
        <f t="shared" si="26"/>
        <v>0</v>
      </c>
      <c r="AI49">
        <f t="shared" si="30"/>
        <v>0</v>
      </c>
    </row>
    <row r="50" spans="1:35" x14ac:dyDescent="0.25">
      <c r="A50" s="335">
        <v>30.2</v>
      </c>
      <c r="B50" s="352">
        <f t="shared" si="28"/>
        <v>3.0199999999999998E-2</v>
      </c>
      <c r="C50" s="325">
        <f t="shared" si="0"/>
        <v>1.0006694641963618</v>
      </c>
      <c r="D50" s="326">
        <f t="shared" si="1"/>
        <v>3.6581167951347623E-2</v>
      </c>
      <c r="E50" s="326">
        <f t="shared" si="2"/>
        <v>1.000000000720118</v>
      </c>
      <c r="F50" s="327">
        <f t="shared" si="3"/>
        <v>3.7950439193780811E-5</v>
      </c>
      <c r="G50" s="326">
        <f t="shared" si="4"/>
        <v>1</v>
      </c>
      <c r="H50" s="327">
        <f t="shared" si="5"/>
        <v>0</v>
      </c>
      <c r="I50" s="325">
        <f t="shared" si="6"/>
        <v>40.095900510251816</v>
      </c>
      <c r="J50" s="328">
        <f t="shared" si="7"/>
        <v>1.5458535350062941</v>
      </c>
      <c r="K50" s="336">
        <f t="shared" si="8"/>
        <v>1.0000301445170463</v>
      </c>
      <c r="L50" s="337">
        <f t="shared" si="9"/>
        <v>7.7645038247867188E-3</v>
      </c>
      <c r="M50" s="325">
        <f t="shared" si="10"/>
        <v>1.000000021354162</v>
      </c>
      <c r="N50" s="337">
        <f t="shared" si="11"/>
        <v>2.06659922002031E-4</v>
      </c>
      <c r="O50" s="343">
        <f t="shared" si="12"/>
        <v>1.0000000153984439</v>
      </c>
      <c r="P50" s="691">
        <f t="shared" si="13"/>
        <v>1.7549041920261082E-4</v>
      </c>
      <c r="Q50" s="336">
        <f t="shared" si="29"/>
        <v>15.124293834590929</v>
      </c>
      <c r="R50" s="692">
        <f t="shared" si="14"/>
        <v>8.1907926675594604E-5</v>
      </c>
      <c r="S50" s="329">
        <f t="shared" si="15"/>
        <v>0.99999999299189468</v>
      </c>
      <c r="T50" s="330">
        <f t="shared" si="16"/>
        <v>2.5894789517858381E-4</v>
      </c>
      <c r="U50" s="331">
        <f t="shared" si="17"/>
        <v>75.710262686594632</v>
      </c>
      <c r="V50" s="332">
        <f t="shared" si="18"/>
        <v>-90.241097719431153</v>
      </c>
      <c r="W50" s="334">
        <f t="shared" si="19"/>
        <v>89.758902280568847</v>
      </c>
      <c r="Y50" s="307">
        <f t="shared" si="20"/>
        <v>1000000000</v>
      </c>
      <c r="Z50" s="307">
        <f t="shared" si="21"/>
        <v>912.04</v>
      </c>
      <c r="AB50" s="333">
        <f t="shared" si="22"/>
        <v>65.645486609096949</v>
      </c>
      <c r="AC50" s="334">
        <f t="shared" si="23"/>
        <v>-88.13785084410344</v>
      </c>
      <c r="AE50" s="333">
        <f t="shared" si="24"/>
        <v>67.637678155273036</v>
      </c>
      <c r="AF50" s="334">
        <f t="shared" si="25"/>
        <v>-2.108608757191941</v>
      </c>
      <c r="AH50">
        <f t="shared" si="26"/>
        <v>0</v>
      </c>
      <c r="AI50">
        <f t="shared" si="30"/>
        <v>0</v>
      </c>
    </row>
    <row r="51" spans="1:35" x14ac:dyDescent="0.25">
      <c r="A51" s="335">
        <v>33.113</v>
      </c>
      <c r="B51" s="352">
        <f t="shared" si="28"/>
        <v>3.3112999999999997E-2</v>
      </c>
      <c r="C51" s="325">
        <f t="shared" si="0"/>
        <v>1.0008047873726287</v>
      </c>
      <c r="D51" s="326">
        <f t="shared" si="1"/>
        <v>4.0106059578017529E-2</v>
      </c>
      <c r="E51" s="326">
        <f t="shared" si="2"/>
        <v>1.0000000008657386</v>
      </c>
      <c r="F51" s="327">
        <f t="shared" si="3"/>
        <v>4.1611022943763817E-5</v>
      </c>
      <c r="G51" s="326">
        <f t="shared" si="4"/>
        <v>1</v>
      </c>
      <c r="H51" s="327">
        <f t="shared" si="5"/>
        <v>0</v>
      </c>
      <c r="I51" s="325">
        <f t="shared" si="6"/>
        <v>43.961129025195021</v>
      </c>
      <c r="J51" s="328">
        <f t="shared" si="7"/>
        <v>1.5480469961310721</v>
      </c>
      <c r="K51" s="336">
        <f t="shared" si="8"/>
        <v>1.0000362401660567</v>
      </c>
      <c r="L51" s="337">
        <f t="shared" si="9"/>
        <v>8.5134096145374916E-3</v>
      </c>
      <c r="M51" s="325">
        <f t="shared" si="10"/>
        <v>1.0000000256723549</v>
      </c>
      <c r="N51" s="337">
        <f t="shared" si="11"/>
        <v>2.2659370786600277E-4</v>
      </c>
      <c r="O51" s="343">
        <f t="shared" si="12"/>
        <v>1.0000000185122839</v>
      </c>
      <c r="P51" s="691">
        <f t="shared" si="13"/>
        <v>1.92417690032881E-4</v>
      </c>
      <c r="Q51" s="336">
        <f t="shared" si="29"/>
        <v>15.124293844556265</v>
      </c>
      <c r="R51" s="692">
        <f t="shared" si="14"/>
        <v>8.98085157230184E-5</v>
      </c>
      <c r="S51" s="329">
        <f t="shared" si="15"/>
        <v>0.99999999157473085</v>
      </c>
      <c r="T51" s="330">
        <f t="shared" si="16"/>
        <v>2.8392522134363421E-4</v>
      </c>
      <c r="U51" s="331">
        <f t="shared" si="17"/>
        <v>74.909763774052379</v>
      </c>
      <c r="V51" s="332">
        <f t="shared" si="18"/>
        <v>-90.52767234758187</v>
      </c>
      <c r="W51" s="334">
        <f t="shared" si="19"/>
        <v>89.47232765241813</v>
      </c>
      <c r="Y51" s="307">
        <f t="shared" si="20"/>
        <v>1000000000</v>
      </c>
      <c r="Z51" s="307">
        <f t="shared" si="21"/>
        <v>1096.470769</v>
      </c>
      <c r="AB51" s="333">
        <f t="shared" si="22"/>
        <v>64.846162198052411</v>
      </c>
      <c r="AC51" s="334">
        <f t="shared" si="23"/>
        <v>-88.221759889969221</v>
      </c>
      <c r="AE51" s="333">
        <f t="shared" si="24"/>
        <v>67.636503632451962</v>
      </c>
      <c r="AF51" s="334">
        <f t="shared" si="25"/>
        <v>-2.311791530246651</v>
      </c>
      <c r="AH51">
        <f t="shared" si="26"/>
        <v>0</v>
      </c>
      <c r="AI51">
        <f t="shared" si="30"/>
        <v>0</v>
      </c>
    </row>
    <row r="52" spans="1:35" x14ac:dyDescent="0.25">
      <c r="A52" s="335">
        <v>36.308</v>
      </c>
      <c r="B52" s="352">
        <f t="shared" si="28"/>
        <v>3.6308E-2</v>
      </c>
      <c r="C52" s="325">
        <f t="shared" si="0"/>
        <v>1.0009675054736575</v>
      </c>
      <c r="D52" s="326">
        <f t="shared" si="1"/>
        <v>4.3971037318488761E-2</v>
      </c>
      <c r="E52" s="326">
        <f t="shared" si="2"/>
        <v>1.0000000010408649</v>
      </c>
      <c r="F52" s="327">
        <f t="shared" si="3"/>
        <v>4.5625978342819678E-5</v>
      </c>
      <c r="G52" s="326">
        <f t="shared" si="4"/>
        <v>1</v>
      </c>
      <c r="H52" s="327">
        <f t="shared" si="5"/>
        <v>0</v>
      </c>
      <c r="I52" s="325">
        <f t="shared" si="6"/>
        <v>48.200742639241604</v>
      </c>
      <c r="J52" s="328">
        <f t="shared" si="7"/>
        <v>1.550048269901541</v>
      </c>
      <c r="K52" s="336">
        <f t="shared" si="8"/>
        <v>1.0000435708650552</v>
      </c>
      <c r="L52" s="337">
        <f t="shared" si="9"/>
        <v>9.3348040254880651E-3</v>
      </c>
      <c r="M52" s="325">
        <f t="shared" si="10"/>
        <v>1.0000000308654988</v>
      </c>
      <c r="N52" s="337">
        <f t="shared" si="11"/>
        <v>2.4845723180369023E-4</v>
      </c>
      <c r="O52" s="343">
        <f t="shared" si="12"/>
        <v>1.0000000222570498</v>
      </c>
      <c r="P52" s="691">
        <f t="shared" si="13"/>
        <v>2.1098364606868806E-4</v>
      </c>
      <c r="Q52" s="336">
        <f t="shared" si="29"/>
        <v>15.124293856540772</v>
      </c>
      <c r="R52" s="692">
        <f t="shared" si="14"/>
        <v>9.8473940361012261E-5</v>
      </c>
      <c r="S52" s="329">
        <f t="shared" si="15"/>
        <v>0.99999998987042171</v>
      </c>
      <c r="T52" s="330">
        <f t="shared" si="16"/>
        <v>3.1132053822158581E-4</v>
      </c>
      <c r="U52" s="331">
        <f t="shared" si="17"/>
        <v>74.10871750265828</v>
      </c>
      <c r="V52" s="332">
        <f t="shared" si="18"/>
        <v>-90.818746393009604</v>
      </c>
      <c r="W52" s="334">
        <f t="shared" si="19"/>
        <v>89.181253606990396</v>
      </c>
      <c r="Y52" s="307">
        <f t="shared" si="20"/>
        <v>1000000000</v>
      </c>
      <c r="Z52" s="307">
        <f t="shared" si="21"/>
        <v>1318.2708640000001</v>
      </c>
      <c r="AB52" s="333">
        <f t="shared" si="22"/>
        <v>64.046527984833091</v>
      </c>
      <c r="AC52" s="334">
        <f t="shared" si="23"/>
        <v>-88.2906146853298</v>
      </c>
      <c r="AE52" s="333">
        <f t="shared" si="24"/>
        <v>67.635091548633255</v>
      </c>
      <c r="AF52" s="334">
        <f t="shared" si="25"/>
        <v>-2.5345780389784638</v>
      </c>
      <c r="AH52">
        <f t="shared" si="26"/>
        <v>0</v>
      </c>
      <c r="AI52">
        <f t="shared" si="30"/>
        <v>0</v>
      </c>
    </row>
    <row r="53" spans="1:35" x14ac:dyDescent="0.25">
      <c r="A53" s="335">
        <v>39.811</v>
      </c>
      <c r="B53" s="352">
        <f t="shared" si="28"/>
        <v>3.9810999999999999E-2</v>
      </c>
      <c r="C53" s="325">
        <f t="shared" si="0"/>
        <v>1.0011630878068938</v>
      </c>
      <c r="D53" s="326">
        <f t="shared" si="1"/>
        <v>4.8207086897702638E-2</v>
      </c>
      <c r="E53" s="326">
        <f t="shared" si="2"/>
        <v>1.0000000012513992</v>
      </c>
      <c r="F53" s="327">
        <f t="shared" si="3"/>
        <v>5.0027977953923348E-5</v>
      </c>
      <c r="G53" s="326">
        <f t="shared" si="4"/>
        <v>1</v>
      </c>
      <c r="H53" s="327">
        <f t="shared" si="5"/>
        <v>0</v>
      </c>
      <c r="I53" s="325">
        <f t="shared" si="6"/>
        <v>52.849242208284267</v>
      </c>
      <c r="J53" s="328">
        <f t="shared" si="7"/>
        <v>1.5518734503275133</v>
      </c>
      <c r="K53" s="336">
        <f t="shared" si="8"/>
        <v>1.0000523836539279</v>
      </c>
      <c r="L53" s="337">
        <f t="shared" si="9"/>
        <v>1.0235366854592729E-2</v>
      </c>
      <c r="M53" s="325">
        <f t="shared" si="10"/>
        <v>1.0000000371086213</v>
      </c>
      <c r="N53" s="337">
        <f t="shared" si="11"/>
        <v>2.7242841286130299E-4</v>
      </c>
      <c r="O53" s="343">
        <f t="shared" si="12"/>
        <v>1.0000000267589531</v>
      </c>
      <c r="P53" s="691">
        <f t="shared" si="13"/>
        <v>2.3133937172059804E-4</v>
      </c>
      <c r="Q53" s="336">
        <f t="shared" si="29"/>
        <v>15.124293870948375</v>
      </c>
      <c r="R53" s="692">
        <f t="shared" si="14"/>
        <v>1.079747173421632E-4</v>
      </c>
      <c r="S53" s="329">
        <f t="shared" si="15"/>
        <v>0.9999999878215261</v>
      </c>
      <c r="T53" s="330">
        <f t="shared" si="16"/>
        <v>3.413567812335779E-4</v>
      </c>
      <c r="U53" s="331">
        <f t="shared" si="17"/>
        <v>73.307396345527735</v>
      </c>
      <c r="V53" s="332">
        <f t="shared" si="18"/>
        <v>-91.11665108072792</v>
      </c>
      <c r="W53" s="334">
        <f t="shared" si="19"/>
        <v>88.88334891927208</v>
      </c>
      <c r="Y53" s="307">
        <f t="shared" si="20"/>
        <v>1000000000</v>
      </c>
      <c r="Z53" s="307">
        <f t="shared" si="21"/>
        <v>1584.9157210000001</v>
      </c>
      <c r="AB53" s="333">
        <f t="shared" si="22"/>
        <v>63.246903776008629</v>
      </c>
      <c r="AC53" s="334">
        <f t="shared" si="23"/>
        <v>-88.34496481886049</v>
      </c>
      <c r="AE53" s="333">
        <f t="shared" si="24"/>
        <v>67.633394569498449</v>
      </c>
      <c r="AF53" s="334">
        <f t="shared" si="25"/>
        <v>-2.7787545359124812</v>
      </c>
      <c r="AH53">
        <f t="shared" si="26"/>
        <v>0</v>
      </c>
      <c r="AI53">
        <f t="shared" si="30"/>
        <v>0</v>
      </c>
    </row>
    <row r="54" spans="1:35" x14ac:dyDescent="0.25">
      <c r="A54" s="335">
        <v>43.652000000000001</v>
      </c>
      <c r="B54" s="352">
        <f t="shared" si="28"/>
        <v>4.3652000000000003E-2</v>
      </c>
      <c r="C54" s="325">
        <f t="shared" si="0"/>
        <v>1.0013981816734792</v>
      </c>
      <c r="D54" s="326">
        <f t="shared" si="1"/>
        <v>5.2849872686415465E-2</v>
      </c>
      <c r="E54" s="326">
        <f t="shared" si="2"/>
        <v>1.0000000015045201</v>
      </c>
      <c r="F54" s="327">
        <f t="shared" si="3"/>
        <v>5.4854720888099988E-5</v>
      </c>
      <c r="G54" s="326">
        <f t="shared" si="4"/>
        <v>1</v>
      </c>
      <c r="H54" s="327">
        <f t="shared" si="5"/>
        <v>0</v>
      </c>
      <c r="I54" s="325">
        <f t="shared" si="6"/>
        <v>57.9464378924594</v>
      </c>
      <c r="J54" s="328">
        <f t="shared" si="7"/>
        <v>1.5535381539226296</v>
      </c>
      <c r="K54" s="336">
        <f t="shared" si="8"/>
        <v>1.0000629789778437</v>
      </c>
      <c r="L54" s="337">
        <f t="shared" si="9"/>
        <v>1.1222804705438906E-2</v>
      </c>
      <c r="M54" s="325">
        <f t="shared" si="10"/>
        <v>1.0000000446145931</v>
      </c>
      <c r="N54" s="337">
        <f t="shared" si="11"/>
        <v>2.9871254222988694E-4</v>
      </c>
      <c r="O54" s="343">
        <f t="shared" si="12"/>
        <v>1.0000000321714946</v>
      </c>
      <c r="P54" s="691">
        <f t="shared" si="13"/>
        <v>2.5365919514477858E-4</v>
      </c>
      <c r="Q54" s="336">
        <f t="shared" si="29"/>
        <v>15.124293888270326</v>
      </c>
      <c r="R54" s="692">
        <f t="shared" si="14"/>
        <v>1.1839221214926505E-4</v>
      </c>
      <c r="S54" s="329">
        <f t="shared" si="15"/>
        <v>0.99999998535818302</v>
      </c>
      <c r="T54" s="330">
        <f t="shared" si="16"/>
        <v>3.7429118358364569E-4</v>
      </c>
      <c r="U54" s="331">
        <f t="shared" si="17"/>
        <v>72.505689387058169</v>
      </c>
      <c r="V54" s="332">
        <f t="shared" si="18"/>
        <v>-91.423902047452401</v>
      </c>
      <c r="W54" s="334">
        <f t="shared" si="19"/>
        <v>88.576097952547599</v>
      </c>
      <c r="Y54" s="307">
        <f t="shared" si="20"/>
        <v>1000000000</v>
      </c>
      <c r="Z54" s="307">
        <f t="shared" si="21"/>
        <v>1905.497104</v>
      </c>
      <c r="AB54" s="333">
        <f t="shared" si="22"/>
        <v>62.447236144557834</v>
      </c>
      <c r="AC54" s="334">
        <f t="shared" si="23"/>
        <v>-88.385275257342997</v>
      </c>
      <c r="AE54" s="333">
        <f t="shared" si="24"/>
        <v>67.631355205414934</v>
      </c>
      <c r="AF54" s="334">
        <f t="shared" si="25"/>
        <v>-3.0463770173513685</v>
      </c>
      <c r="AH54">
        <f t="shared" si="26"/>
        <v>0</v>
      </c>
      <c r="AI54">
        <f t="shared" si="30"/>
        <v>0</v>
      </c>
    </row>
    <row r="55" spans="1:35" x14ac:dyDescent="0.25">
      <c r="A55" s="335">
        <v>47.863</v>
      </c>
      <c r="B55" s="352">
        <f t="shared" si="28"/>
        <v>4.7863000000000003E-2</v>
      </c>
      <c r="C55" s="325">
        <f t="shared" si="0"/>
        <v>1.0016807140895501</v>
      </c>
      <c r="D55" s="326">
        <f t="shared" si="1"/>
        <v>5.7937267123515018E-2</v>
      </c>
      <c r="E55" s="326">
        <f t="shared" si="2"/>
        <v>1.0000000018087958</v>
      </c>
      <c r="F55" s="327">
        <f t="shared" si="3"/>
        <v>6.0146419530251606E-5</v>
      </c>
      <c r="G55" s="326">
        <f t="shared" si="4"/>
        <v>1</v>
      </c>
      <c r="H55" s="327">
        <f t="shared" si="5"/>
        <v>0</v>
      </c>
      <c r="I55" s="325">
        <f t="shared" si="6"/>
        <v>63.534795248926585</v>
      </c>
      <c r="J55" s="328">
        <f t="shared" si="7"/>
        <v>1.5550562698884307</v>
      </c>
      <c r="K55" s="336">
        <f t="shared" si="8"/>
        <v>1.0000757154279765</v>
      </c>
      <c r="L55" s="337">
        <f t="shared" si="9"/>
        <v>1.2305336316425957E-2</v>
      </c>
      <c r="M55" s="325">
        <f t="shared" si="10"/>
        <v>1.0000000536374933</v>
      </c>
      <c r="N55" s="337">
        <f t="shared" si="11"/>
        <v>3.2752859714897686E-4</v>
      </c>
      <c r="O55" s="343">
        <f t="shared" si="12"/>
        <v>1.00000003867789</v>
      </c>
      <c r="P55" s="691">
        <f t="shared" si="13"/>
        <v>2.7812906635554503E-4</v>
      </c>
      <c r="Q55" s="336">
        <f t="shared" si="29"/>
        <v>15.124293909092978</v>
      </c>
      <c r="R55" s="692">
        <f t="shared" si="14"/>
        <v>1.2981321462878924E-4</v>
      </c>
      <c r="S55" s="329">
        <f t="shared" si="15"/>
        <v>0.99999998239700794</v>
      </c>
      <c r="T55" s="330">
        <f t="shared" si="16"/>
        <v>4.1039812740557114E-4</v>
      </c>
      <c r="U55" s="331">
        <f t="shared" si="17"/>
        <v>71.703651914249377</v>
      </c>
      <c r="V55" s="332">
        <f t="shared" si="18"/>
        <v>-91.743014399650789</v>
      </c>
      <c r="W55" s="334">
        <f t="shared" si="19"/>
        <v>88.256985600349211</v>
      </c>
      <c r="Y55" s="307">
        <f t="shared" si="20"/>
        <v>1000000000</v>
      </c>
      <c r="Z55" s="307">
        <f t="shared" si="21"/>
        <v>2290.8667689999997</v>
      </c>
      <c r="AB55" s="333">
        <f t="shared" si="22"/>
        <v>61.647648872163678</v>
      </c>
      <c r="AC55" s="334">
        <f t="shared" si="23"/>
        <v>-88.411883440855263</v>
      </c>
      <c r="AE55" s="333">
        <f t="shared" si="24"/>
        <v>67.628904960444927</v>
      </c>
      <c r="AF55" s="334">
        <f t="shared" si="25"/>
        <v>-3.3396288311440565</v>
      </c>
      <c r="AH55">
        <f t="shared" si="26"/>
        <v>0</v>
      </c>
      <c r="AI55">
        <f t="shared" si="30"/>
        <v>0</v>
      </c>
    </row>
    <row r="56" spans="1:35" x14ac:dyDescent="0.25">
      <c r="A56" s="335">
        <v>52.481000000000002</v>
      </c>
      <c r="B56" s="352">
        <f t="shared" si="28"/>
        <v>5.2481E-2</v>
      </c>
      <c r="C56" s="325">
        <f t="shared" si="0"/>
        <v>1.0020203403195629</v>
      </c>
      <c r="D56" s="326">
        <f t="shared" si="1"/>
        <v>6.3512907260269647E-2</v>
      </c>
      <c r="E56" s="326">
        <f t="shared" si="2"/>
        <v>1.0000000021746729</v>
      </c>
      <c r="F56" s="327">
        <f t="shared" si="3"/>
        <v>6.594956945024751E-5</v>
      </c>
      <c r="G56" s="326">
        <f t="shared" si="4"/>
        <v>1</v>
      </c>
      <c r="H56" s="327">
        <f t="shared" si="5"/>
        <v>0</v>
      </c>
      <c r="I56" s="325">
        <f t="shared" si="6"/>
        <v>69.663416460478203</v>
      </c>
      <c r="J56" s="328">
        <f t="shared" si="7"/>
        <v>1.5564410970764431</v>
      </c>
      <c r="K56" s="336">
        <f t="shared" si="8"/>
        <v>1.0000910301853616</v>
      </c>
      <c r="L56" s="337">
        <f t="shared" si="9"/>
        <v>1.3492463117288314E-2</v>
      </c>
      <c r="M56" s="325">
        <f t="shared" si="10"/>
        <v>1.0000000644870994</v>
      </c>
      <c r="N56" s="337">
        <f t="shared" si="11"/>
        <v>3.5912977002373452E-4</v>
      </c>
      <c r="O56" s="343">
        <f t="shared" si="12"/>
        <v>1.0000000465015195</v>
      </c>
      <c r="P56" s="691">
        <f t="shared" si="13"/>
        <v>3.0496399003977325E-4</v>
      </c>
      <c r="Q56" s="336">
        <f t="shared" si="29"/>
        <v>15.124293934131222</v>
      </c>
      <c r="R56" s="692">
        <f t="shared" si="14"/>
        <v>1.4233807553904693E-4</v>
      </c>
      <c r="S56" s="329">
        <f t="shared" si="15"/>
        <v>0.99999997883633696</v>
      </c>
      <c r="T56" s="330">
        <f t="shared" si="16"/>
        <v>4.4999486708643336E-4</v>
      </c>
      <c r="U56" s="331">
        <f t="shared" si="17"/>
        <v>70.900977715655529</v>
      </c>
      <c r="V56" s="332">
        <f t="shared" si="18"/>
        <v>-92.07672938344345</v>
      </c>
      <c r="W56" s="334">
        <f t="shared" si="19"/>
        <v>87.92327061655655</v>
      </c>
      <c r="Y56" s="307">
        <f t="shared" si="20"/>
        <v>1000000000</v>
      </c>
      <c r="Z56" s="307">
        <f t="shared" si="21"/>
        <v>2754.255361</v>
      </c>
      <c r="AB56" s="333">
        <f t="shared" si="22"/>
        <v>60.847919092978415</v>
      </c>
      <c r="AC56" s="334">
        <f t="shared" si="23"/>
        <v>-88.425021452495471</v>
      </c>
      <c r="AE56" s="333">
        <f t="shared" si="24"/>
        <v>67.625960487460631</v>
      </c>
      <c r="AF56" s="334">
        <f t="shared" si="25"/>
        <v>-3.6610257094989862</v>
      </c>
      <c r="AH56">
        <f t="shared" si="26"/>
        <v>0</v>
      </c>
      <c r="AI56">
        <f t="shared" si="30"/>
        <v>0</v>
      </c>
    </row>
    <row r="57" spans="1:35" x14ac:dyDescent="0.25">
      <c r="A57" s="335">
        <v>57.544000000000004</v>
      </c>
      <c r="B57" s="352">
        <f t="shared" si="28"/>
        <v>5.7544000000000005E-2</v>
      </c>
      <c r="C57" s="325">
        <f t="shared" si="0"/>
        <v>1.0024284652730495</v>
      </c>
      <c r="D57" s="326">
        <f t="shared" si="1"/>
        <v>6.9621274041673897E-2</v>
      </c>
      <c r="E57" s="326">
        <f t="shared" si="2"/>
        <v>1.0000000026145071</v>
      </c>
      <c r="F57" s="327">
        <f t="shared" si="3"/>
        <v>7.2311922854599996E-5</v>
      </c>
      <c r="G57" s="326">
        <f t="shared" si="4"/>
        <v>1</v>
      </c>
      <c r="H57" s="327">
        <f t="shared" si="5"/>
        <v>0</v>
      </c>
      <c r="I57" s="325">
        <f t="shared" si="6"/>
        <v>76.382731949667487</v>
      </c>
      <c r="J57" s="328">
        <f t="shared" si="7"/>
        <v>1.5577039884709578</v>
      </c>
      <c r="K57" s="336">
        <f t="shared" si="8"/>
        <v>1.0001094403115514</v>
      </c>
      <c r="L57" s="337">
        <f t="shared" si="9"/>
        <v>1.4793940076835448E-2</v>
      </c>
      <c r="M57" s="325">
        <f t="shared" si="10"/>
        <v>1.0000000775298119</v>
      </c>
      <c r="N57" s="337">
        <f t="shared" si="11"/>
        <v>3.9377609623585764E-4</v>
      </c>
      <c r="O57" s="343">
        <f t="shared" si="12"/>
        <v>1.0000000559065938</v>
      </c>
      <c r="P57" s="691">
        <f t="shared" si="13"/>
        <v>3.3438478178419946E-4</v>
      </c>
      <c r="Q57" s="336">
        <f t="shared" si="29"/>
        <v>15.12429396423062</v>
      </c>
      <c r="R57" s="692">
        <f t="shared" si="14"/>
        <v>1.5606985781734556E-4</v>
      </c>
      <c r="S57" s="329">
        <f t="shared" si="15"/>
        <v>0.99999997455592304</v>
      </c>
      <c r="T57" s="330">
        <f t="shared" si="16"/>
        <v>4.9340723155454102E-4</v>
      </c>
      <c r="U57" s="331">
        <f t="shared" si="17"/>
        <v>70.097792178312517</v>
      </c>
      <c r="V57" s="332">
        <f t="shared" si="18"/>
        <v>-92.427711213615709</v>
      </c>
      <c r="W57" s="334">
        <f t="shared" si="19"/>
        <v>87.572288786384291</v>
      </c>
      <c r="Y57" s="307">
        <f t="shared" si="20"/>
        <v>1000000000</v>
      </c>
      <c r="Z57" s="307">
        <f t="shared" si="21"/>
        <v>3311.3119360000005</v>
      </c>
      <c r="AB57" s="333">
        <f t="shared" si="22"/>
        <v>60.048270510736749</v>
      </c>
      <c r="AC57" s="334">
        <f t="shared" si="23"/>
        <v>-88.424795750736308</v>
      </c>
      <c r="AE57" s="333">
        <f t="shared" si="24"/>
        <v>67.622423467953951</v>
      </c>
      <c r="AF57" s="334">
        <f t="shared" si="25"/>
        <v>-4.0131321554585657</v>
      </c>
      <c r="AH57">
        <f t="shared" si="26"/>
        <v>0</v>
      </c>
      <c r="AI57">
        <f t="shared" si="30"/>
        <v>0</v>
      </c>
    </row>
    <row r="58" spans="1:35" x14ac:dyDescent="0.25">
      <c r="A58" s="335">
        <v>63.095999999999997</v>
      </c>
      <c r="B58" s="352">
        <f t="shared" si="28"/>
        <v>6.3095999999999999E-2</v>
      </c>
      <c r="C58" s="325">
        <f t="shared" si="0"/>
        <v>1.0029189663587799</v>
      </c>
      <c r="D58" s="326">
        <f t="shared" si="1"/>
        <v>7.6313612100587819E-2</v>
      </c>
      <c r="E58" s="326">
        <f t="shared" si="2"/>
        <v>1.0000000031433547</v>
      </c>
      <c r="F58" s="327">
        <f t="shared" si="3"/>
        <v>7.9288771771604853E-5</v>
      </c>
      <c r="G58" s="326">
        <f t="shared" si="4"/>
        <v>1</v>
      </c>
      <c r="H58" s="327">
        <f t="shared" si="5"/>
        <v>0</v>
      </c>
      <c r="I58" s="325">
        <f t="shared" si="6"/>
        <v>83.751135930091323</v>
      </c>
      <c r="J58" s="328">
        <f t="shared" si="7"/>
        <v>1.5588559065061165</v>
      </c>
      <c r="K58" s="336">
        <f t="shared" si="8"/>
        <v>1.0001315758170022</v>
      </c>
      <c r="L58" s="337">
        <f t="shared" si="9"/>
        <v>1.6221059878568124E-2</v>
      </c>
      <c r="M58" s="325">
        <f t="shared" si="10"/>
        <v>1.0000000932120992</v>
      </c>
      <c r="N58" s="337">
        <f t="shared" si="11"/>
        <v>4.3176866933719338E-4</v>
      </c>
      <c r="O58" s="343">
        <f t="shared" si="12"/>
        <v>1.00000006721506</v>
      </c>
      <c r="P58" s="691">
        <f t="shared" si="13"/>
        <v>3.6664712276511757E-4</v>
      </c>
      <c r="Q58" s="336">
        <f t="shared" si="29"/>
        <v>15.124294000421514</v>
      </c>
      <c r="R58" s="692">
        <f t="shared" si="14"/>
        <v>1.7112789749349576E-4</v>
      </c>
      <c r="S58" s="329">
        <f t="shared" si="15"/>
        <v>0.99999996940924307</v>
      </c>
      <c r="T58" s="330">
        <f t="shared" si="16"/>
        <v>5.4101249648793725E-4</v>
      </c>
      <c r="U58" s="331">
        <f t="shared" si="17"/>
        <v>69.293824962510712</v>
      </c>
      <c r="V58" s="332">
        <f t="shared" si="18"/>
        <v>-92.798904957154519</v>
      </c>
      <c r="W58" s="334">
        <f t="shared" si="19"/>
        <v>87.201095042845481</v>
      </c>
      <c r="Y58" s="307">
        <f t="shared" si="20"/>
        <v>1000000000</v>
      </c>
      <c r="Z58" s="307">
        <f t="shared" si="21"/>
        <v>3981.1052159999995</v>
      </c>
      <c r="AB58" s="333">
        <f t="shared" si="22"/>
        <v>59.248552245755405</v>
      </c>
      <c r="AC58" s="334">
        <f t="shared" si="23"/>
        <v>-88.4112046650731</v>
      </c>
      <c r="AE58" s="333">
        <f t="shared" si="24"/>
        <v>67.61817443969386</v>
      </c>
      <c r="AF58" s="334">
        <f t="shared" si="25"/>
        <v>-4.3989027185159566</v>
      </c>
      <c r="AH58">
        <f t="shared" si="26"/>
        <v>0</v>
      </c>
      <c r="AI58">
        <f t="shared" si="30"/>
        <v>0</v>
      </c>
    </row>
    <row r="59" spans="1:35" x14ac:dyDescent="0.25">
      <c r="A59" s="335">
        <v>69.183000000000007</v>
      </c>
      <c r="B59" s="352">
        <f t="shared" si="28"/>
        <v>6.9183000000000008E-2</v>
      </c>
      <c r="C59" s="325">
        <f t="shared" si="0"/>
        <v>1.003508297780795</v>
      </c>
      <c r="D59" s="326">
        <f t="shared" si="1"/>
        <v>8.3642950678764177E-2</v>
      </c>
      <c r="E59" s="326">
        <f t="shared" si="2"/>
        <v>1.000000003779101</v>
      </c>
      <c r="F59" s="327">
        <f t="shared" si="3"/>
        <v>8.6937921502948558E-5</v>
      </c>
      <c r="G59" s="326">
        <f t="shared" si="4"/>
        <v>1</v>
      </c>
      <c r="H59" s="327">
        <f t="shared" si="5"/>
        <v>0</v>
      </c>
      <c r="I59" s="325">
        <f t="shared" si="6"/>
        <v>91.829677861459601</v>
      </c>
      <c r="J59" s="328">
        <f t="shared" si="7"/>
        <v>1.5599063858880184</v>
      </c>
      <c r="K59" s="336">
        <f t="shared" si="8"/>
        <v>1.0001581850452468</v>
      </c>
      <c r="L59" s="337">
        <f t="shared" si="9"/>
        <v>1.7785623181133952E-2</v>
      </c>
      <c r="M59" s="325">
        <f t="shared" si="10"/>
        <v>1.0000001120643327</v>
      </c>
      <c r="N59" s="337">
        <f t="shared" si="11"/>
        <v>4.7342226884954753E-4</v>
      </c>
      <c r="O59" s="343">
        <f t="shared" si="12"/>
        <v>1.0000000808093685</v>
      </c>
      <c r="P59" s="691">
        <f t="shared" si="13"/>
        <v>4.0201831596888249E-4</v>
      </c>
      <c r="Q59" s="336">
        <f t="shared" si="29"/>
        <v>15.12429404392787</v>
      </c>
      <c r="R59" s="692">
        <f t="shared" si="14"/>
        <v>1.8763695495630691E-4</v>
      </c>
      <c r="S59" s="329">
        <f t="shared" si="15"/>
        <v>0.99999996322223739</v>
      </c>
      <c r="T59" s="330">
        <f t="shared" si="16"/>
        <v>5.9320508662009876E-4</v>
      </c>
      <c r="U59" s="331">
        <f t="shared" si="17"/>
        <v>68.489106478880984</v>
      </c>
      <c r="V59" s="332">
        <f t="shared" si="18"/>
        <v>-93.193248291610459</v>
      </c>
      <c r="W59" s="334">
        <f t="shared" si="19"/>
        <v>86.806751708389541</v>
      </c>
      <c r="Y59" s="307">
        <f t="shared" si="20"/>
        <v>1000000000</v>
      </c>
      <c r="Z59" s="307">
        <f t="shared" si="21"/>
        <v>4786.2874890000012</v>
      </c>
      <c r="AB59" s="333">
        <f t="shared" si="22"/>
        <v>58.44893608014771</v>
      </c>
      <c r="AC59" s="334">
        <f t="shared" si="23"/>
        <v>-88.384136401526177</v>
      </c>
      <c r="AE59" s="333">
        <f t="shared" si="24"/>
        <v>67.613072028578898</v>
      </c>
      <c r="AF59" s="334">
        <f t="shared" si="25"/>
        <v>-4.8213950372906034</v>
      </c>
      <c r="AH59">
        <f t="shared" si="26"/>
        <v>0</v>
      </c>
      <c r="AI59">
        <f t="shared" si="30"/>
        <v>0</v>
      </c>
    </row>
    <row r="60" spans="1:35" x14ac:dyDescent="0.25">
      <c r="A60" s="335">
        <v>75.858000000000004</v>
      </c>
      <c r="B60" s="352">
        <f t="shared" si="28"/>
        <v>7.5858000000000009E-2</v>
      </c>
      <c r="C60" s="325">
        <f t="shared" si="0"/>
        <v>1.0042164501236526</v>
      </c>
      <c r="D60" s="326">
        <f t="shared" si="1"/>
        <v>9.1669928096658651E-2</v>
      </c>
      <c r="E60" s="326">
        <f t="shared" si="2"/>
        <v>1.0000000045435207</v>
      </c>
      <c r="F60" s="327">
        <f t="shared" si="3"/>
        <v>9.5325973808736326E-5</v>
      </c>
      <c r="G60" s="326">
        <f t="shared" si="4"/>
        <v>1</v>
      </c>
      <c r="H60" s="327">
        <f t="shared" si="5"/>
        <v>0</v>
      </c>
      <c r="I60" s="325">
        <f t="shared" si="6"/>
        <v>100.68869826431519</v>
      </c>
      <c r="J60" s="328">
        <f t="shared" si="7"/>
        <v>1.560864562282904</v>
      </c>
      <c r="K60" s="336">
        <f t="shared" si="8"/>
        <v>1.0001901789616618</v>
      </c>
      <c r="L60" s="337">
        <f t="shared" si="9"/>
        <v>1.9501221834602844E-2</v>
      </c>
      <c r="M60" s="325">
        <f t="shared" si="10"/>
        <v>1.0000001347321998</v>
      </c>
      <c r="N60" s="337">
        <f t="shared" si="11"/>
        <v>5.1909957544016565E-4</v>
      </c>
      <c r="O60" s="343">
        <f t="shared" si="12"/>
        <v>1.0000000971551228</v>
      </c>
      <c r="P60" s="691">
        <f t="shared" si="13"/>
        <v>4.4080634087050432E-4</v>
      </c>
      <c r="Q60" s="336">
        <f t="shared" si="29"/>
        <v>15.12429409623978</v>
      </c>
      <c r="R60" s="692">
        <f t="shared" si="14"/>
        <v>2.0574077586601344E-4</v>
      </c>
      <c r="S60" s="329">
        <f t="shared" si="15"/>
        <v>0.99999995578300249</v>
      </c>
      <c r="T60" s="330">
        <f t="shared" si="16"/>
        <v>6.50439447977459E-4</v>
      </c>
      <c r="U60" s="331">
        <f t="shared" si="17"/>
        <v>67.683303737245225</v>
      </c>
      <c r="V60" s="332">
        <f t="shared" si="18"/>
        <v>-93.613993808306603</v>
      </c>
      <c r="W60" s="334">
        <f t="shared" si="19"/>
        <v>86.386006191693397</v>
      </c>
      <c r="Y60" s="307">
        <f t="shared" si="20"/>
        <v>1000000000</v>
      </c>
      <c r="Z60" s="307">
        <f t="shared" si="21"/>
        <v>5754.4361640000006</v>
      </c>
      <c r="AB60" s="333">
        <f t="shared" si="22"/>
        <v>57.64926042287474</v>
      </c>
      <c r="AC60" s="334">
        <f t="shared" si="23"/>
        <v>-88.343356419640656</v>
      </c>
      <c r="AE60" s="333">
        <f t="shared" si="24"/>
        <v>67.606944832281471</v>
      </c>
      <c r="AF60" s="334">
        <f t="shared" si="25"/>
        <v>-5.2841056534649473</v>
      </c>
      <c r="AH60">
        <f t="shared" si="26"/>
        <v>0</v>
      </c>
      <c r="AI60">
        <f t="shared" si="30"/>
        <v>0</v>
      </c>
    </row>
    <row r="61" spans="1:35" x14ac:dyDescent="0.25">
      <c r="A61" s="335">
        <v>83.176000000000002</v>
      </c>
      <c r="B61" s="352">
        <f t="shared" si="28"/>
        <v>8.3176E-2</v>
      </c>
      <c r="C61" s="325">
        <f t="shared" si="0"/>
        <v>1.0050670591379842</v>
      </c>
      <c r="D61" s="326">
        <f t="shared" si="1"/>
        <v>0.10045651137042828</v>
      </c>
      <c r="E61" s="326">
        <f t="shared" si="2"/>
        <v>1.0000000054624287</v>
      </c>
      <c r="F61" s="327">
        <f t="shared" si="3"/>
        <v>1.0452204372193052E-4</v>
      </c>
      <c r="G61" s="326">
        <f t="shared" si="4"/>
        <v>1</v>
      </c>
      <c r="H61" s="327">
        <f t="shared" si="5"/>
        <v>0</v>
      </c>
      <c r="I61" s="325">
        <f t="shared" si="6"/>
        <v>110.40119281199938</v>
      </c>
      <c r="J61" s="328">
        <f t="shared" si="7"/>
        <v>1.5617383297822607</v>
      </c>
      <c r="K61" s="336">
        <f t="shared" si="8"/>
        <v>1.0002286374706026</v>
      </c>
      <c r="L61" s="337">
        <f t="shared" si="9"/>
        <v>2.1381951104740105E-2</v>
      </c>
      <c r="M61" s="325">
        <f t="shared" si="10"/>
        <v>1.0000001619812253</v>
      </c>
      <c r="N61" s="337">
        <f t="shared" si="11"/>
        <v>5.6917695566010152E-4</v>
      </c>
      <c r="O61" s="343">
        <f t="shared" si="12"/>
        <v>1.0000001168043418</v>
      </c>
      <c r="P61" s="691">
        <f t="shared" si="13"/>
        <v>4.8333079870230088E-4</v>
      </c>
      <c r="Q61" s="336">
        <f t="shared" si="29"/>
        <v>15.124294159123885</v>
      </c>
      <c r="R61" s="692">
        <f t="shared" si="14"/>
        <v>2.2558853023671525E-4</v>
      </c>
      <c r="S61" s="329">
        <f t="shared" si="15"/>
        <v>0.99999994684030624</v>
      </c>
      <c r="T61" s="330">
        <f t="shared" si="16"/>
        <v>7.1318717577976564E-4</v>
      </c>
      <c r="U61" s="331">
        <f t="shared" si="17"/>
        <v>66.87642274717561</v>
      </c>
      <c r="V61" s="332">
        <f t="shared" si="18"/>
        <v>-94.064371514268785</v>
      </c>
      <c r="W61" s="334">
        <f t="shared" si="19"/>
        <v>85.935628485731215</v>
      </c>
      <c r="Y61" s="307">
        <f t="shared" si="20"/>
        <v>1000000000</v>
      </c>
      <c r="Z61" s="307">
        <f t="shared" si="21"/>
        <v>6918.2469760000004</v>
      </c>
      <c r="AB61" s="333">
        <f t="shared" si="22"/>
        <v>56.849733372849315</v>
      </c>
      <c r="AC61" s="334">
        <f t="shared" si="23"/>
        <v>-88.288530982516932</v>
      </c>
      <c r="AE61" s="333">
        <f t="shared" si="24"/>
        <v>67.599590757680716</v>
      </c>
      <c r="AF61" s="334">
        <f t="shared" si="25"/>
        <v>-5.7906080759539273</v>
      </c>
      <c r="AH61">
        <f t="shared" si="26"/>
        <v>0</v>
      </c>
      <c r="AI61">
        <f t="shared" si="30"/>
        <v>0</v>
      </c>
    </row>
    <row r="62" spans="1:35" x14ac:dyDescent="0.25">
      <c r="A62" s="335">
        <v>91.201000000000008</v>
      </c>
      <c r="B62" s="352">
        <f t="shared" si="28"/>
        <v>9.1201000000000004E-2</v>
      </c>
      <c r="C62" s="325">
        <f t="shared" si="0"/>
        <v>1.006088885984838</v>
      </c>
      <c r="D62" s="326">
        <f t="shared" si="1"/>
        <v>0.11007406799784435</v>
      </c>
      <c r="E62" s="326">
        <f t="shared" si="2"/>
        <v>1.0000000065673313</v>
      </c>
      <c r="F62" s="327">
        <f t="shared" si="3"/>
        <v>1.146065560072872E-4</v>
      </c>
      <c r="G62" s="326">
        <f t="shared" si="4"/>
        <v>1</v>
      </c>
      <c r="H62" s="327">
        <f t="shared" si="5"/>
        <v>0</v>
      </c>
      <c r="I62" s="325">
        <f t="shared" si="6"/>
        <v>121.05210269832837</v>
      </c>
      <c r="J62" s="328">
        <f t="shared" si="7"/>
        <v>1.5625353271772213</v>
      </c>
      <c r="K62" s="336">
        <f t="shared" si="8"/>
        <v>1.0002748783313524</v>
      </c>
      <c r="L62" s="337">
        <f t="shared" si="9"/>
        <v>2.3444205298421665E-2</v>
      </c>
      <c r="M62" s="325">
        <f t="shared" si="10"/>
        <v>1.0000001947456705</v>
      </c>
      <c r="N62" s="337">
        <f t="shared" si="11"/>
        <v>6.2409236317326634E-4</v>
      </c>
      <c r="O62" s="343">
        <f t="shared" si="12"/>
        <v>1.0000001404307193</v>
      </c>
      <c r="P62" s="691">
        <f t="shared" si="13"/>
        <v>5.299635889937502E-4</v>
      </c>
      <c r="Q62" s="336">
        <f t="shared" si="29"/>
        <v>15.124294234736237</v>
      </c>
      <c r="R62" s="692">
        <f t="shared" si="14"/>
        <v>2.4735379771278441E-4</v>
      </c>
      <c r="S62" s="329">
        <f t="shared" si="15"/>
        <v>0.99999993608754001</v>
      </c>
      <c r="T62" s="330">
        <f t="shared" si="16"/>
        <v>7.8199703559922419E-4</v>
      </c>
      <c r="U62" s="331">
        <f t="shared" si="17"/>
        <v>66.068026587087502</v>
      </c>
      <c r="V62" s="332">
        <f t="shared" si="18"/>
        <v>-94.5480093757741</v>
      </c>
      <c r="W62" s="334">
        <f t="shared" si="19"/>
        <v>85.4519906242259</v>
      </c>
      <c r="Y62" s="307">
        <f t="shared" si="20"/>
        <v>1000000000</v>
      </c>
      <c r="Z62" s="307">
        <f t="shared" si="21"/>
        <v>8317.6224010000005</v>
      </c>
      <c r="AB62" s="333">
        <f t="shared" si="22"/>
        <v>56.050163191415898</v>
      </c>
      <c r="AC62" s="334">
        <f t="shared" si="23"/>
        <v>-88.219183528951504</v>
      </c>
      <c r="AE62" s="333">
        <f t="shared" si="24"/>
        <v>67.590764617234143</v>
      </c>
      <c r="AF62" s="334">
        <f t="shared" si="25"/>
        <v>-6.3450181951305904</v>
      </c>
      <c r="AH62">
        <f t="shared" si="26"/>
        <v>0</v>
      </c>
      <c r="AI62">
        <f t="shared" si="30"/>
        <v>0</v>
      </c>
    </row>
    <row r="63" spans="1:35" x14ac:dyDescent="0.25">
      <c r="A63" s="335">
        <v>100</v>
      </c>
      <c r="B63" s="352">
        <f t="shared" si="28"/>
        <v>0.1</v>
      </c>
      <c r="C63" s="325">
        <f t="shared" si="0"/>
        <v>1.0073159894268957</v>
      </c>
      <c r="D63" s="326">
        <f t="shared" si="1"/>
        <v>0.12059571332773326</v>
      </c>
      <c r="E63" s="326">
        <f t="shared" si="2"/>
        <v>1.0000000078956834</v>
      </c>
      <c r="F63" s="327">
        <f t="shared" si="3"/>
        <v>1.2566370533853279E-4</v>
      </c>
      <c r="G63" s="326">
        <f t="shared" si="4"/>
        <v>1</v>
      </c>
      <c r="H63" s="327">
        <f t="shared" si="5"/>
        <v>0</v>
      </c>
      <c r="I63" s="325">
        <f t="shared" si="6"/>
        <v>132.73035141961444</v>
      </c>
      <c r="J63" s="328">
        <f t="shared" si="7"/>
        <v>1.563262183700125</v>
      </c>
      <c r="K63" s="336">
        <f t="shared" si="8"/>
        <v>1.000330467865916</v>
      </c>
      <c r="L63" s="337">
        <f t="shared" si="9"/>
        <v>2.5705131163408126E-2</v>
      </c>
      <c r="M63" s="325">
        <f t="shared" si="10"/>
        <v>1.0000002341362197</v>
      </c>
      <c r="N63" s="337">
        <f t="shared" si="11"/>
        <v>6.8430428041838908E-4</v>
      </c>
      <c r="O63" s="343">
        <f t="shared" si="12"/>
        <v>1.0000001688351676</v>
      </c>
      <c r="P63" s="691">
        <f t="shared" si="13"/>
        <v>5.8109404387912688E-4</v>
      </c>
      <c r="Q63" s="336">
        <f t="shared" si="29"/>
        <v>15.124294325640024</v>
      </c>
      <c r="R63" s="692">
        <f t="shared" si="14"/>
        <v>2.7121829446635835E-4</v>
      </c>
      <c r="S63" s="329">
        <f t="shared" si="15"/>
        <v>0.99999992316019704</v>
      </c>
      <c r="T63" s="330">
        <f t="shared" si="16"/>
        <v>8.5744351687946549E-4</v>
      </c>
      <c r="U63" s="331">
        <f t="shared" si="17"/>
        <v>65.257963605167404</v>
      </c>
      <c r="V63" s="332">
        <f t="shared" si="18"/>
        <v>-95.068536449898886</v>
      </c>
      <c r="W63" s="334">
        <f t="shared" si="19"/>
        <v>84.931463550101114</v>
      </c>
      <c r="Y63" s="307">
        <f t="shared" si="20"/>
        <v>1000000000</v>
      </c>
      <c r="Z63" s="307">
        <f t="shared" si="21"/>
        <v>10000</v>
      </c>
      <c r="AB63" s="333">
        <f t="shared" si="22"/>
        <v>55.250687415331313</v>
      </c>
      <c r="AC63" s="334">
        <f t="shared" si="23"/>
        <v>-88.134737718807784</v>
      </c>
      <c r="AE63" s="333">
        <f t="shared" si="24"/>
        <v>67.580177216886867</v>
      </c>
      <c r="AF63" s="334">
        <f t="shared" si="25"/>
        <v>-6.9515533037261701</v>
      </c>
      <c r="AH63">
        <f t="shared" si="26"/>
        <v>0</v>
      </c>
      <c r="AI63">
        <f t="shared" si="30"/>
        <v>0</v>
      </c>
    </row>
    <row r="64" spans="1:35" x14ac:dyDescent="0.25">
      <c r="A64" s="335">
        <v>109.65</v>
      </c>
      <c r="B64" s="352">
        <f t="shared" si="28"/>
        <v>0.10965000000000001</v>
      </c>
      <c r="C64" s="325">
        <f t="shared" si="0"/>
        <v>1.0087896508288465</v>
      </c>
      <c r="D64" s="326">
        <f t="shared" si="1"/>
        <v>0.13210411365464764</v>
      </c>
      <c r="E64" s="326">
        <f t="shared" si="2"/>
        <v>1.000000009493077</v>
      </c>
      <c r="F64" s="327">
        <f t="shared" si="3"/>
        <v>1.3779025275696436E-4</v>
      </c>
      <c r="G64" s="326">
        <f t="shared" si="4"/>
        <v>1</v>
      </c>
      <c r="H64" s="327">
        <f t="shared" si="5"/>
        <v>0</v>
      </c>
      <c r="I64" s="325">
        <f t="shared" si="6"/>
        <v>145.53813528433827</v>
      </c>
      <c r="J64" s="328">
        <f t="shared" si="7"/>
        <v>1.5639252213848183</v>
      </c>
      <c r="K64" s="336">
        <f t="shared" si="8"/>
        <v>1.000397312286561</v>
      </c>
      <c r="L64" s="337">
        <f t="shared" si="9"/>
        <v>2.8184420646924165E-2</v>
      </c>
      <c r="M64" s="325">
        <f t="shared" si="10"/>
        <v>1.0000002815048386</v>
      </c>
      <c r="N64" s="337">
        <f t="shared" si="11"/>
        <v>7.503396197837336E-4</v>
      </c>
      <c r="O64" s="343">
        <f t="shared" si="12"/>
        <v>1.000000202992587</v>
      </c>
      <c r="P64" s="691">
        <f t="shared" si="13"/>
        <v>6.3716960460408483E-4</v>
      </c>
      <c r="Q64" s="336">
        <f t="shared" si="29"/>
        <v>15.124294434955257</v>
      </c>
      <c r="R64" s="692">
        <f t="shared" si="14"/>
        <v>2.9739085847050955E-4</v>
      </c>
      <c r="S64" s="329">
        <f t="shared" si="15"/>
        <v>0.99999990761458701</v>
      </c>
      <c r="T64" s="330">
        <f t="shared" si="16"/>
        <v>9.4018685418164954E-4</v>
      </c>
      <c r="U64" s="331">
        <f t="shared" si="17"/>
        <v>64.445714920075957</v>
      </c>
      <c r="V64" s="332">
        <f t="shared" si="18"/>
        <v>-95.629971930374538</v>
      </c>
      <c r="W64" s="334">
        <f t="shared" si="19"/>
        <v>84.370028069625462</v>
      </c>
      <c r="Y64" s="307">
        <f t="shared" si="20"/>
        <v>1000000000</v>
      </c>
      <c r="Z64" s="307">
        <f t="shared" si="21"/>
        <v>12023.122500000001</v>
      </c>
      <c r="AB64" s="333">
        <f t="shared" si="22"/>
        <v>54.451136156835545</v>
      </c>
      <c r="AC64" s="334">
        <f t="shared" si="23"/>
        <v>-88.034457702331963</v>
      </c>
      <c r="AE64" s="333">
        <f t="shared" si="24"/>
        <v>67.567479556383446</v>
      </c>
      <c r="AF64" s="334">
        <f t="shared" si="25"/>
        <v>-7.6149821161865203</v>
      </c>
      <c r="AH64">
        <f t="shared" si="26"/>
        <v>0</v>
      </c>
      <c r="AI64">
        <f t="shared" si="30"/>
        <v>0</v>
      </c>
    </row>
    <row r="65" spans="1:35" x14ac:dyDescent="0.25">
      <c r="A65" s="335">
        <v>120.23</v>
      </c>
      <c r="B65" s="352">
        <f t="shared" si="28"/>
        <v>0.12023</v>
      </c>
      <c r="C65" s="325">
        <f t="shared" si="0"/>
        <v>1.0105583928401844</v>
      </c>
      <c r="D65" s="326">
        <f t="shared" si="1"/>
        <v>0.14468118407337321</v>
      </c>
      <c r="E65" s="326">
        <f t="shared" si="2"/>
        <v>1.0000000114134102</v>
      </c>
      <c r="F65" s="327">
        <f t="shared" si="3"/>
        <v>1.5108547257419971E-4</v>
      </c>
      <c r="G65" s="326">
        <f t="shared" si="4"/>
        <v>1</v>
      </c>
      <c r="H65" s="327">
        <f t="shared" si="5"/>
        <v>0</v>
      </c>
      <c r="I65" s="325">
        <f t="shared" si="6"/>
        <v>159.58030558973121</v>
      </c>
      <c r="J65" s="328">
        <f t="shared" si="7"/>
        <v>1.5645298483524193</v>
      </c>
      <c r="K65" s="336">
        <f t="shared" si="8"/>
        <v>1.0004776645082161</v>
      </c>
      <c r="L65" s="337">
        <f t="shared" si="9"/>
        <v>3.0902247475953826E-2</v>
      </c>
      <c r="M65" s="325">
        <f t="shared" si="10"/>
        <v>1.0000003384498093</v>
      </c>
      <c r="N65" s="337">
        <f t="shared" si="11"/>
        <v>8.2273897913180195E-4</v>
      </c>
      <c r="O65" s="343">
        <f t="shared" si="12"/>
        <v>1.0000002440554956</v>
      </c>
      <c r="P65" s="691">
        <f t="shared" si="13"/>
        <v>6.9864933392079062E-4</v>
      </c>
      <c r="Q65" s="336">
        <f t="shared" si="29"/>
        <v>15.124294566370382</v>
      </c>
      <c r="R65" s="692">
        <f t="shared" si="14"/>
        <v>3.260857520277717E-4</v>
      </c>
      <c r="S65" s="329">
        <f t="shared" si="15"/>
        <v>0.9999998889261833</v>
      </c>
      <c r="T65" s="330">
        <f t="shared" si="16"/>
        <v>1.0309044319157558E-3</v>
      </c>
      <c r="U65" s="331">
        <f t="shared" si="17"/>
        <v>63.63114688421139</v>
      </c>
      <c r="V65" s="332">
        <f t="shared" si="18"/>
        <v>-96.236213270729223</v>
      </c>
      <c r="W65" s="334">
        <f t="shared" si="19"/>
        <v>83.763786729270777</v>
      </c>
      <c r="Y65" s="307">
        <f t="shared" si="20"/>
        <v>1000000000</v>
      </c>
      <c r="Z65" s="307">
        <f t="shared" si="21"/>
        <v>14455.252900000001</v>
      </c>
      <c r="AB65" s="333">
        <f t="shared" si="22"/>
        <v>53.65178356363073</v>
      </c>
      <c r="AC65" s="334">
        <f t="shared" si="23"/>
        <v>-87.91752844660094</v>
      </c>
      <c r="AE65" s="333">
        <f t="shared" si="24"/>
        <v>67.552263832527657</v>
      </c>
      <c r="AF65" s="334">
        <f t="shared" si="25"/>
        <v>-8.3400311449954074</v>
      </c>
      <c r="AH65">
        <f t="shared" si="26"/>
        <v>0</v>
      </c>
      <c r="AI65">
        <f t="shared" si="30"/>
        <v>0</v>
      </c>
    </row>
    <row r="66" spans="1:35" x14ac:dyDescent="0.25">
      <c r="A66" s="335">
        <v>131.83000000000001</v>
      </c>
      <c r="B66" s="352">
        <f t="shared" si="28"/>
        <v>0.13183</v>
      </c>
      <c r="C66" s="325">
        <f t="shared" si="0"/>
        <v>1.0126806769942918</v>
      </c>
      <c r="D66" s="326">
        <f t="shared" si="1"/>
        <v>0.15841787471064664</v>
      </c>
      <c r="E66" s="326">
        <f t="shared" si="2"/>
        <v>1.000000013722026</v>
      </c>
      <c r="F66" s="327">
        <f t="shared" si="3"/>
        <v>1.6566246210431698E-4</v>
      </c>
      <c r="G66" s="326">
        <f t="shared" si="4"/>
        <v>1</v>
      </c>
      <c r="H66" s="327">
        <f t="shared" si="5"/>
        <v>0</v>
      </c>
      <c r="I66" s="325">
        <f t="shared" si="6"/>
        <v>174.97631367552395</v>
      </c>
      <c r="J66" s="328">
        <f t="shared" si="7"/>
        <v>1.5650812364336675</v>
      </c>
      <c r="K66" s="336">
        <f t="shared" si="8"/>
        <v>1.0005742550384</v>
      </c>
      <c r="L66" s="337">
        <f t="shared" si="9"/>
        <v>3.388156919691316E-2</v>
      </c>
      <c r="M66" s="325">
        <f t="shared" si="10"/>
        <v>1.0000004069087876</v>
      </c>
      <c r="N66" s="337">
        <f t="shared" si="11"/>
        <v>9.0211822896805907E-4</v>
      </c>
      <c r="O66" s="343">
        <f t="shared" si="12"/>
        <v>1.0000002934211336</v>
      </c>
      <c r="P66" s="691">
        <f t="shared" si="13"/>
        <v>7.660562144192922E-4</v>
      </c>
      <c r="Q66" s="336">
        <f t="shared" si="29"/>
        <v>15.124294724357039</v>
      </c>
      <c r="R66" s="692">
        <f t="shared" si="14"/>
        <v>3.5754707140374094E-4</v>
      </c>
      <c r="S66" s="329">
        <f t="shared" si="15"/>
        <v>0.99999986645908534</v>
      </c>
      <c r="T66" s="330">
        <f t="shared" si="16"/>
        <v>1.1303679546036298E-3</v>
      </c>
      <c r="U66" s="331">
        <f t="shared" si="17"/>
        <v>62.813763769844186</v>
      </c>
      <c r="V66" s="332">
        <f t="shared" si="18"/>
        <v>-96.891509526116764</v>
      </c>
      <c r="W66" s="334">
        <f t="shared" si="19"/>
        <v>83.108490473883236</v>
      </c>
      <c r="Y66" s="307">
        <f t="shared" si="20"/>
        <v>1000000000</v>
      </c>
      <c r="Z66" s="307">
        <f t="shared" si="21"/>
        <v>17379.148900000004</v>
      </c>
      <c r="AB66" s="333">
        <f t="shared" si="22"/>
        <v>52.852622095235844</v>
      </c>
      <c r="AC66" s="334">
        <f t="shared" si="23"/>
        <v>-87.782966191950436</v>
      </c>
      <c r="AE66" s="333">
        <f t="shared" si="24"/>
        <v>67.534041848502781</v>
      </c>
      <c r="AF66" s="334">
        <f t="shared" si="25"/>
        <v>-9.1319491839803835</v>
      </c>
      <c r="AH66">
        <f t="shared" si="26"/>
        <v>0</v>
      </c>
      <c r="AI66">
        <f t="shared" si="30"/>
        <v>0</v>
      </c>
    </row>
    <row r="67" spans="1:35" x14ac:dyDescent="0.25">
      <c r="A67" s="335">
        <v>144.54</v>
      </c>
      <c r="B67" s="352">
        <f t="shared" si="28"/>
        <v>0.14454</v>
      </c>
      <c r="C67" s="325">
        <f t="shared" si="0"/>
        <v>1.0152244457573003</v>
      </c>
      <c r="D67" s="326">
        <f t="shared" si="1"/>
        <v>0.17339993755522534</v>
      </c>
      <c r="E67" s="326">
        <f t="shared" si="2"/>
        <v>1.000000016495513</v>
      </c>
      <c r="F67" s="327">
        <f t="shared" si="3"/>
        <v>1.8163431865496582E-4</v>
      </c>
      <c r="G67" s="326">
        <f t="shared" si="4"/>
        <v>1</v>
      </c>
      <c r="H67" s="327">
        <f t="shared" si="5"/>
        <v>0</v>
      </c>
      <c r="I67" s="325">
        <f t="shared" si="6"/>
        <v>191.84561127102648</v>
      </c>
      <c r="J67" s="328">
        <f t="shared" si="7"/>
        <v>1.5655837784241913</v>
      </c>
      <c r="K67" s="336">
        <f t="shared" si="8"/>
        <v>1.0006902830728004</v>
      </c>
      <c r="L67" s="337">
        <f t="shared" si="9"/>
        <v>3.7145288555977658E-2</v>
      </c>
      <c r="M67" s="325">
        <f t="shared" si="10"/>
        <v>1.0000004891529168</v>
      </c>
      <c r="N67" s="337">
        <f t="shared" si="11"/>
        <v>9.8909323875990955E-4</v>
      </c>
      <c r="O67" s="343">
        <f t="shared" si="12"/>
        <v>1.000000352727219</v>
      </c>
      <c r="P67" s="691">
        <f t="shared" si="13"/>
        <v>8.3991322805399232E-4</v>
      </c>
      <c r="Q67" s="336">
        <f t="shared" si="29"/>
        <v>15.124294914156485</v>
      </c>
      <c r="R67" s="692">
        <f t="shared" si="14"/>
        <v>3.9201891280216095E-4</v>
      </c>
      <c r="S67" s="329">
        <f t="shared" si="15"/>
        <v>0.99999983946794946</v>
      </c>
      <c r="T67" s="330">
        <f t="shared" si="16"/>
        <v>1.2393491284285103E-3</v>
      </c>
      <c r="U67" s="331">
        <f t="shared" si="17"/>
        <v>61.99352790599449</v>
      </c>
      <c r="V67" s="332">
        <f t="shared" si="18"/>
        <v>-97.599770424790648</v>
      </c>
      <c r="W67" s="334">
        <f t="shared" si="19"/>
        <v>82.400229575209352</v>
      </c>
      <c r="Y67" s="307">
        <f t="shared" si="20"/>
        <v>1000000000</v>
      </c>
      <c r="Z67" s="307">
        <f t="shared" si="21"/>
        <v>20891.811599999997</v>
      </c>
      <c r="AB67" s="333">
        <f t="shared" si="22"/>
        <v>52.054176434636801</v>
      </c>
      <c r="AC67" s="334">
        <f t="shared" si="23"/>
        <v>-87.62974568305512</v>
      </c>
      <c r="AE67" s="333">
        <f t="shared" si="24"/>
        <v>67.512251239128091</v>
      </c>
      <c r="AF67" s="334">
        <f t="shared" si="25"/>
        <v>-9.9956871956966786</v>
      </c>
      <c r="AH67">
        <f t="shared" si="26"/>
        <v>0</v>
      </c>
      <c r="AI67">
        <f t="shared" si="30"/>
        <v>0</v>
      </c>
    </row>
    <row r="68" spans="1:35" x14ac:dyDescent="0.25">
      <c r="A68" s="335">
        <v>158.49</v>
      </c>
      <c r="B68" s="352">
        <f t="shared" si="28"/>
        <v>0.15849000000000002</v>
      </c>
      <c r="C68" s="325">
        <f t="shared" si="0"/>
        <v>1.0182772861549039</v>
      </c>
      <c r="D68" s="326">
        <f t="shared" si="1"/>
        <v>0.1897534049323058</v>
      </c>
      <c r="E68" s="326">
        <f t="shared" si="2"/>
        <v>1.0000000198332304</v>
      </c>
      <c r="F68" s="327">
        <f t="shared" si="3"/>
        <v>1.9916440500601767E-4</v>
      </c>
      <c r="G68" s="326">
        <f t="shared" si="4"/>
        <v>1</v>
      </c>
      <c r="H68" s="327">
        <f t="shared" si="5"/>
        <v>0</v>
      </c>
      <c r="I68" s="325">
        <f t="shared" si="6"/>
        <v>210.36074038780555</v>
      </c>
      <c r="J68" s="328">
        <f t="shared" si="7"/>
        <v>1.566042570155072</v>
      </c>
      <c r="K68" s="336">
        <f t="shared" si="8"/>
        <v>1.0008298976758598</v>
      </c>
      <c r="L68" s="337">
        <f t="shared" si="9"/>
        <v>4.0726505870905774E-2</v>
      </c>
      <c r="M68" s="325">
        <f t="shared" si="10"/>
        <v>1.0000005881285419</v>
      </c>
      <c r="N68" s="337">
        <f t="shared" si="11"/>
        <v>1.0845535980860542E-3</v>
      </c>
      <c r="O68" s="343">
        <f t="shared" si="12"/>
        <v>1.0000004240983558</v>
      </c>
      <c r="P68" s="691">
        <f t="shared" si="13"/>
        <v>9.2097579341657071E-4</v>
      </c>
      <c r="Q68" s="336">
        <f t="shared" si="29"/>
        <v>15.124295142568171</v>
      </c>
      <c r="R68" s="692">
        <f t="shared" si="14"/>
        <v>4.2985385964917504E-4</v>
      </c>
      <c r="S68" s="329">
        <f t="shared" si="15"/>
        <v>0.99999980698584745</v>
      </c>
      <c r="T68" s="330">
        <f t="shared" si="16"/>
        <v>1.3589626395425468E-3</v>
      </c>
      <c r="U68" s="331">
        <f t="shared" si="17"/>
        <v>61.168403364235587</v>
      </c>
      <c r="V68" s="332">
        <f t="shared" si="18"/>
        <v>-98.366694943966991</v>
      </c>
      <c r="W68" s="334">
        <f t="shared" si="19"/>
        <v>81.633305056033009</v>
      </c>
      <c r="Y68" s="307">
        <f t="shared" si="20"/>
        <v>1000000000</v>
      </c>
      <c r="Z68" s="307">
        <f t="shared" si="21"/>
        <v>25119.080100000003</v>
      </c>
      <c r="AB68" s="333">
        <f t="shared" si="22"/>
        <v>51.255130888544464</v>
      </c>
      <c r="AC68" s="334">
        <f t="shared" si="23"/>
        <v>-87.45631335074755</v>
      </c>
      <c r="AE68" s="333">
        <f t="shared" si="24"/>
        <v>67.486171754716892</v>
      </c>
      <c r="AF68" s="334">
        <f t="shared" si="25"/>
        <v>-10.938520807282769</v>
      </c>
      <c r="AH68">
        <f t="shared" si="26"/>
        <v>0</v>
      </c>
      <c r="AI68">
        <f t="shared" si="30"/>
        <v>0</v>
      </c>
    </row>
    <row r="69" spans="1:35" x14ac:dyDescent="0.25">
      <c r="A69" s="335">
        <v>173.78</v>
      </c>
      <c r="B69" s="352">
        <f t="shared" si="28"/>
        <v>0.17377999999999999</v>
      </c>
      <c r="C69" s="325">
        <f t="shared" si="0"/>
        <v>1.0219341790967014</v>
      </c>
      <c r="D69" s="326">
        <f t="shared" si="1"/>
        <v>0.20756020417403626</v>
      </c>
      <c r="E69" s="326">
        <f t="shared" si="2"/>
        <v>1.0000000238445599</v>
      </c>
      <c r="F69" s="327">
        <f t="shared" si="3"/>
        <v>2.1837838481537569E-4</v>
      </c>
      <c r="G69" s="326">
        <f t="shared" si="4"/>
        <v>1</v>
      </c>
      <c r="H69" s="327">
        <f t="shared" si="5"/>
        <v>0</v>
      </c>
      <c r="I69" s="325">
        <f t="shared" si="6"/>
        <v>230.65442600438331</v>
      </c>
      <c r="J69" s="328">
        <f t="shared" si="7"/>
        <v>1.5664608230280912</v>
      </c>
      <c r="K69" s="336">
        <f t="shared" si="8"/>
        <v>1.0009976632851272</v>
      </c>
      <c r="L69" s="337">
        <f t="shared" si="9"/>
        <v>4.4650521772841581E-2</v>
      </c>
      <c r="M69" s="325">
        <f t="shared" si="10"/>
        <v>1.000000707079238</v>
      </c>
      <c r="N69" s="337">
        <f t="shared" si="11"/>
        <v>1.1891836035670916E-3</v>
      </c>
      <c r="O69" s="343">
        <f t="shared" si="12"/>
        <v>1.0000005098734819</v>
      </c>
      <c r="P69" s="691">
        <f t="shared" si="13"/>
        <v>1.0098249998605005E-3</v>
      </c>
      <c r="Q69" s="336">
        <f t="shared" si="29"/>
        <v>15.124295417077487</v>
      </c>
      <c r="R69" s="692">
        <f t="shared" si="14"/>
        <v>4.7132312978284343E-4</v>
      </c>
      <c r="S69" s="329">
        <f t="shared" si="15"/>
        <v>0.9999997679483108</v>
      </c>
      <c r="T69" s="330">
        <f t="shared" si="16"/>
        <v>1.4900659437219919E-3</v>
      </c>
      <c r="U69" s="331">
        <f t="shared" si="17"/>
        <v>60.338779753231854</v>
      </c>
      <c r="V69" s="332">
        <f t="shared" si="18"/>
        <v>-99.195774935971642</v>
      </c>
      <c r="W69" s="334">
        <f t="shared" si="19"/>
        <v>80.804225064028358</v>
      </c>
      <c r="Y69" s="307">
        <f t="shared" si="20"/>
        <v>1000000000</v>
      </c>
      <c r="Z69" s="307">
        <f t="shared" si="21"/>
        <v>30199.488400000002</v>
      </c>
      <c r="AB69" s="333">
        <f t="shared" si="22"/>
        <v>50.456643679271522</v>
      </c>
      <c r="AC69" s="334">
        <f t="shared" si="23"/>
        <v>-87.261442782719442</v>
      </c>
      <c r="AE69" s="333">
        <f t="shared" si="24"/>
        <v>67.455034765603997</v>
      </c>
      <c r="AF69" s="334">
        <f t="shared" si="25"/>
        <v>-11.965186037702793</v>
      </c>
      <c r="AH69">
        <f t="shared" si="26"/>
        <v>0</v>
      </c>
      <c r="AI69">
        <f t="shared" si="30"/>
        <v>0</v>
      </c>
    </row>
    <row r="70" spans="1:35" x14ac:dyDescent="0.25">
      <c r="A70" s="335">
        <v>190.55</v>
      </c>
      <c r="B70" s="352">
        <f t="shared" si="28"/>
        <v>0.19055000000000002</v>
      </c>
      <c r="C70" s="325">
        <f t="shared" si="0"/>
        <v>1.0263147838084152</v>
      </c>
      <c r="D70" s="326">
        <f t="shared" si="1"/>
        <v>0.22693785559358995</v>
      </c>
      <c r="E70" s="326">
        <f t="shared" si="2"/>
        <v>1.0000000286686757</v>
      </c>
      <c r="F70" s="327">
        <f t="shared" si="3"/>
        <v>2.3945218720648198E-4</v>
      </c>
      <c r="G70" s="326">
        <f t="shared" si="4"/>
        <v>1</v>
      </c>
      <c r="H70" s="327">
        <f t="shared" si="5"/>
        <v>0</v>
      </c>
      <c r="I70" s="325">
        <f t="shared" si="6"/>
        <v>252.91248341746248</v>
      </c>
      <c r="J70" s="328">
        <f t="shared" si="7"/>
        <v>1.5668423795950246</v>
      </c>
      <c r="K70" s="336">
        <f t="shared" si="8"/>
        <v>1.0011993847742389</v>
      </c>
      <c r="L70" s="337">
        <f t="shared" si="9"/>
        <v>4.8952777857976498E-2</v>
      </c>
      <c r="M70" s="325">
        <f t="shared" si="10"/>
        <v>1.0000008501320212</v>
      </c>
      <c r="N70" s="337">
        <f t="shared" si="11"/>
        <v>1.3039412708557782E-3</v>
      </c>
      <c r="O70" s="343">
        <f t="shared" si="12"/>
        <v>1.0000006130285815</v>
      </c>
      <c r="P70" s="691">
        <f t="shared" si="13"/>
        <v>1.1072743727157327E-3</v>
      </c>
      <c r="Q70" s="336">
        <f t="shared" si="29"/>
        <v>15.124295747208606</v>
      </c>
      <c r="R70" s="692">
        <f t="shared" si="14"/>
        <v>5.1680642819932569E-4</v>
      </c>
      <c r="S70" s="329">
        <f t="shared" si="15"/>
        <v>0.99999972100095047</v>
      </c>
      <c r="T70" s="330">
        <f t="shared" si="16"/>
        <v>1.6338594784391532E-3</v>
      </c>
      <c r="U70" s="331">
        <f t="shared" si="17"/>
        <v>59.503207201377421</v>
      </c>
      <c r="V70" s="332">
        <f t="shared" si="18"/>
        <v>-100.0920220610644</v>
      </c>
      <c r="W70" s="334">
        <f t="shared" si="19"/>
        <v>79.907977938935602</v>
      </c>
      <c r="Y70" s="307">
        <f t="shared" si="20"/>
        <v>1000000000</v>
      </c>
      <c r="Z70" s="307">
        <f t="shared" si="21"/>
        <v>36309.302500000005</v>
      </c>
      <c r="AB70" s="333">
        <f t="shared" si="22"/>
        <v>49.658223176612893</v>
      </c>
      <c r="AC70" s="334">
        <f t="shared" si="23"/>
        <v>-87.043378377340758</v>
      </c>
      <c r="AE70" s="333">
        <f t="shared" si="24"/>
        <v>67.417882010009322</v>
      </c>
      <c r="AF70" s="334">
        <f t="shared" si="25"/>
        <v>-13.082475004920854</v>
      </c>
      <c r="AH70">
        <f t="shared" si="26"/>
        <v>0</v>
      </c>
      <c r="AI70">
        <f t="shared" si="30"/>
        <v>0</v>
      </c>
    </row>
    <row r="71" spans="1:35" x14ac:dyDescent="0.25">
      <c r="A71" s="335">
        <v>208.93</v>
      </c>
      <c r="B71" s="352">
        <f t="shared" si="28"/>
        <v>0.20893</v>
      </c>
      <c r="C71" s="325">
        <f t="shared" si="0"/>
        <v>1.0315545458802899</v>
      </c>
      <c r="D71" s="326">
        <f t="shared" si="1"/>
        <v>0.24797802222006882</v>
      </c>
      <c r="E71" s="326">
        <f t="shared" si="2"/>
        <v>1.0000000344660356</v>
      </c>
      <c r="F71" s="327">
        <f t="shared" si="3"/>
        <v>2.6254917491311388E-4</v>
      </c>
      <c r="G71" s="326">
        <f t="shared" si="4"/>
        <v>1</v>
      </c>
      <c r="H71" s="327">
        <f t="shared" si="5"/>
        <v>0</v>
      </c>
      <c r="I71" s="325">
        <f t="shared" si="6"/>
        <v>277.30745569990427</v>
      </c>
      <c r="J71" s="328">
        <f t="shared" si="7"/>
        <v>1.5671902132671451</v>
      </c>
      <c r="K71" s="336">
        <f t="shared" si="8"/>
        <v>1.0014417489362568</v>
      </c>
      <c r="L71" s="337">
        <f t="shared" si="9"/>
        <v>5.3665982981811654E-2</v>
      </c>
      <c r="M71" s="325">
        <f t="shared" si="10"/>
        <v>1.000001022045051</v>
      </c>
      <c r="N71" s="337">
        <f t="shared" si="11"/>
        <v>1.4297161820876184E-3</v>
      </c>
      <c r="O71" s="343">
        <f t="shared" si="12"/>
        <v>1.0000007369947574</v>
      </c>
      <c r="P71" s="691">
        <f t="shared" si="13"/>
        <v>1.214079326016184E-3</v>
      </c>
      <c r="Q71" s="336">
        <f t="shared" si="29"/>
        <v>15.124296143942225</v>
      </c>
      <c r="R71" s="692">
        <f t="shared" si="14"/>
        <v>5.6665633788126519E-4</v>
      </c>
      <c r="S71" s="329">
        <f t="shared" si="15"/>
        <v>0.99999966458225997</v>
      </c>
      <c r="T71" s="330">
        <f t="shared" si="16"/>
        <v>1.7914579417588723E-3</v>
      </c>
      <c r="U71" s="331">
        <f t="shared" si="17"/>
        <v>58.661251618682158</v>
      </c>
      <c r="V71" s="332">
        <f t="shared" si="18"/>
        <v>-101.05906690478032</v>
      </c>
      <c r="W71" s="334">
        <f t="shared" si="19"/>
        <v>78.940933095219677</v>
      </c>
      <c r="Y71" s="307">
        <f t="shared" si="20"/>
        <v>1000000000</v>
      </c>
      <c r="Z71" s="307">
        <f t="shared" si="21"/>
        <v>43651.744900000005</v>
      </c>
      <c r="AB71" s="333">
        <f t="shared" si="22"/>
        <v>48.860498452768709</v>
      </c>
      <c r="AC71" s="334">
        <f t="shared" si="23"/>
        <v>-86.800467388455274</v>
      </c>
      <c r="AE71" s="333">
        <f t="shared" si="24"/>
        <v>67.37365030224673</v>
      </c>
      <c r="AF71" s="334">
        <f t="shared" si="25"/>
        <v>-14.295694121147315</v>
      </c>
      <c r="AH71">
        <f t="shared" si="26"/>
        <v>0</v>
      </c>
      <c r="AI71">
        <f t="shared" si="30"/>
        <v>0</v>
      </c>
    </row>
    <row r="72" spans="1:35" x14ac:dyDescent="0.25">
      <c r="A72" s="335">
        <v>229.09</v>
      </c>
      <c r="B72" s="352">
        <f t="shared" si="28"/>
        <v>0.22909000000000002</v>
      </c>
      <c r="C72" s="325">
        <f t="shared" si="0"/>
        <v>1.0378211741364287</v>
      </c>
      <c r="D72" s="326">
        <f t="shared" si="1"/>
        <v>0.27080024346745807</v>
      </c>
      <c r="E72" s="326">
        <f t="shared" si="2"/>
        <v>1.0000000414383055</v>
      </c>
      <c r="F72" s="327">
        <f t="shared" si="3"/>
        <v>2.8788297612247825E-4</v>
      </c>
      <c r="G72" s="326">
        <f t="shared" si="4"/>
        <v>1</v>
      </c>
      <c r="H72" s="327">
        <f t="shared" si="5"/>
        <v>0</v>
      </c>
      <c r="I72" s="325">
        <f t="shared" si="6"/>
        <v>304.0649764319848</v>
      </c>
      <c r="J72" s="328">
        <f t="shared" si="7"/>
        <v>1.5675075501182401</v>
      </c>
      <c r="K72" s="336">
        <f t="shared" si="8"/>
        <v>1.0017331536576817</v>
      </c>
      <c r="L72" s="337">
        <f t="shared" si="9"/>
        <v>5.883288484413033E-2</v>
      </c>
      <c r="M72" s="325">
        <f t="shared" si="10"/>
        <v>1.0000012287984381</v>
      </c>
      <c r="N72" s="337">
        <f t="shared" si="11"/>
        <v>1.5676716364748688E-3</v>
      </c>
      <c r="O72" s="343">
        <f t="shared" si="12"/>
        <v>1.0000008860842604</v>
      </c>
      <c r="P72" s="691">
        <f t="shared" si="13"/>
        <v>1.3312277085748749E-3</v>
      </c>
      <c r="Q72" s="336">
        <f t="shared" si="29"/>
        <v>15.124296621079024</v>
      </c>
      <c r="R72" s="692">
        <f t="shared" si="14"/>
        <v>6.2133392885289213E-4</v>
      </c>
      <c r="S72" s="329">
        <f t="shared" si="15"/>
        <v>0.99999959672972993</v>
      </c>
      <c r="T72" s="330">
        <f t="shared" si="16"/>
        <v>1.9643190165716468E-3</v>
      </c>
      <c r="U72" s="331">
        <f t="shared" si="17"/>
        <v>57.811074936938986</v>
      </c>
      <c r="V72" s="332">
        <f t="shared" si="18"/>
        <v>-102.10160189768034</v>
      </c>
      <c r="W72" s="334">
        <f t="shared" si="19"/>
        <v>77.898398102319661</v>
      </c>
      <c r="Y72" s="307">
        <f t="shared" si="20"/>
        <v>1000000000</v>
      </c>
      <c r="Z72" s="307">
        <f t="shared" si="21"/>
        <v>52482.2281</v>
      </c>
      <c r="AB72" s="333">
        <f t="shared" si="22"/>
        <v>48.062926697682897</v>
      </c>
      <c r="AC72" s="334">
        <f t="shared" si="23"/>
        <v>-86.530512045826569</v>
      </c>
      <c r="AE72" s="333">
        <f t="shared" si="24"/>
        <v>67.321044354635319</v>
      </c>
      <c r="AF72" s="334">
        <f t="shared" si="25"/>
        <v>-15.611763769380888</v>
      </c>
      <c r="AH72">
        <f t="shared" si="26"/>
        <v>0</v>
      </c>
      <c r="AI72">
        <f t="shared" si="30"/>
        <v>0</v>
      </c>
    </row>
    <row r="73" spans="1:35" x14ac:dyDescent="0.25">
      <c r="A73" s="335">
        <v>251.19</v>
      </c>
      <c r="B73" s="352">
        <f t="shared" si="28"/>
        <v>0.25119000000000002</v>
      </c>
      <c r="C73" s="325">
        <f t="shared" si="0"/>
        <v>1.045303906998023</v>
      </c>
      <c r="D73" s="326">
        <f t="shared" si="1"/>
        <v>0.29548993723648609</v>
      </c>
      <c r="E73" s="326">
        <f t="shared" si="2"/>
        <v>1.0000000498189319</v>
      </c>
      <c r="F73" s="327">
        <f t="shared" si="3"/>
        <v>3.1565465261768159E-4</v>
      </c>
      <c r="G73" s="326">
        <f t="shared" si="4"/>
        <v>1</v>
      </c>
      <c r="H73" s="327">
        <f t="shared" si="5"/>
        <v>0</v>
      </c>
      <c r="I73" s="325">
        <f t="shared" si="6"/>
        <v>333.3974068942465</v>
      </c>
      <c r="J73" s="328">
        <f t="shared" si="7"/>
        <v>1.5677968988486954</v>
      </c>
      <c r="K73" s="336">
        <f t="shared" si="8"/>
        <v>1.0020833082457863</v>
      </c>
      <c r="L73" s="337">
        <f t="shared" si="9"/>
        <v>6.449337722458505E-2</v>
      </c>
      <c r="M73" s="325">
        <f t="shared" si="10"/>
        <v>1.0000014773147166</v>
      </c>
      <c r="N73" s="337">
        <f t="shared" si="11"/>
        <v>1.7189024973815069E-3</v>
      </c>
      <c r="O73" s="343">
        <f t="shared" si="12"/>
        <v>1.0000010652889217</v>
      </c>
      <c r="P73" s="691">
        <f t="shared" si="13"/>
        <v>1.459649256481409E-3</v>
      </c>
      <c r="Q73" s="336">
        <f t="shared" si="29"/>
        <v>15.124297194594581</v>
      </c>
      <c r="R73" s="692">
        <f t="shared" si="14"/>
        <v>6.8127314898602624E-4</v>
      </c>
      <c r="S73" s="329">
        <f t="shared" si="15"/>
        <v>0.99999951517159236</v>
      </c>
      <c r="T73" s="330">
        <f t="shared" si="16"/>
        <v>2.1538146500912924E-3</v>
      </c>
      <c r="U73" s="331">
        <f t="shared" si="17"/>
        <v>56.951793096018335</v>
      </c>
      <c r="V73" s="332">
        <f t="shared" si="18"/>
        <v>-103.22248052898649</v>
      </c>
      <c r="W73" s="334">
        <f t="shared" si="19"/>
        <v>76.777519471013505</v>
      </c>
      <c r="Y73" s="307">
        <f t="shared" si="20"/>
        <v>1000000000</v>
      </c>
      <c r="Z73" s="307">
        <f t="shared" si="21"/>
        <v>63096.416100000002</v>
      </c>
      <c r="AB73" s="333">
        <f t="shared" si="22"/>
        <v>47.266043778560203</v>
      </c>
      <c r="AC73" s="334">
        <f t="shared" si="23"/>
        <v>-86.231433073243451</v>
      </c>
      <c r="AE73" s="333">
        <f t="shared" si="24"/>
        <v>67.258644205657177</v>
      </c>
      <c r="AF73" s="334">
        <f t="shared" si="25"/>
        <v>-17.035645121627319</v>
      </c>
      <c r="AH73">
        <f t="shared" si="26"/>
        <v>0</v>
      </c>
      <c r="AI73">
        <f t="shared" si="30"/>
        <v>0</v>
      </c>
    </row>
    <row r="74" spans="1:35" x14ac:dyDescent="0.25">
      <c r="A74" s="335">
        <v>275.42</v>
      </c>
      <c r="B74" s="352">
        <f t="shared" si="28"/>
        <v>0.27542</v>
      </c>
      <c r="C74" s="325">
        <f t="shared" si="0"/>
        <v>1.0542289159542748</v>
      </c>
      <c r="D74" s="326">
        <f t="shared" si="1"/>
        <v>0.32213837326498401</v>
      </c>
      <c r="E74" s="326">
        <f t="shared" si="2"/>
        <v>1.0000000598936343</v>
      </c>
      <c r="F74" s="327">
        <f t="shared" si="3"/>
        <v>3.4610296524562381E-4</v>
      </c>
      <c r="G74" s="326">
        <f t="shared" si="4"/>
        <v>1</v>
      </c>
      <c r="H74" s="327">
        <f t="shared" si="5"/>
        <v>0</v>
      </c>
      <c r="I74" s="325">
        <f t="shared" si="6"/>
        <v>365.556926340953</v>
      </c>
      <c r="J74" s="328">
        <f t="shared" si="7"/>
        <v>1.5680607713310151</v>
      </c>
      <c r="K74" s="336">
        <f t="shared" si="8"/>
        <v>1.0025040818690401</v>
      </c>
      <c r="L74" s="337">
        <f t="shared" si="9"/>
        <v>7.0694662533649297E-2</v>
      </c>
      <c r="M74" s="325">
        <f t="shared" si="10"/>
        <v>1.0000017760664697</v>
      </c>
      <c r="N74" s="337">
        <f t="shared" si="11"/>
        <v>1.8847089117356376E-3</v>
      </c>
      <c r="O74" s="343">
        <f t="shared" si="12"/>
        <v>1.0000012807183143</v>
      </c>
      <c r="P74" s="691">
        <f t="shared" si="13"/>
        <v>1.6004480293112884E-3</v>
      </c>
      <c r="Q74" s="336">
        <f t="shared" si="29"/>
        <v>15.124297884041644</v>
      </c>
      <c r="R74" s="692">
        <f t="shared" si="14"/>
        <v>7.4698931118083228E-4</v>
      </c>
      <c r="S74" s="329">
        <f t="shared" si="15"/>
        <v>0.99999941712742213</v>
      </c>
      <c r="T74" s="330">
        <f t="shared" si="16"/>
        <v>2.3615740349424434E-3</v>
      </c>
      <c r="U74" s="331">
        <f t="shared" si="17"/>
        <v>56.081736347530722</v>
      </c>
      <c r="V74" s="332">
        <f t="shared" si="18"/>
        <v>-104.42449201637179</v>
      </c>
      <c r="W74" s="334">
        <f t="shared" si="19"/>
        <v>75.575507983628214</v>
      </c>
      <c r="Y74" s="307">
        <f t="shared" si="20"/>
        <v>1000000000</v>
      </c>
      <c r="Z74" s="307">
        <f t="shared" si="21"/>
        <v>75856.176400000011</v>
      </c>
      <c r="AB74" s="333">
        <f t="shared" si="22"/>
        <v>46.469831624848304</v>
      </c>
      <c r="AC74" s="334">
        <f t="shared" si="23"/>
        <v>-85.900744384424954</v>
      </c>
      <c r="AE74" s="333">
        <f t="shared" si="24"/>
        <v>67.184798135637436</v>
      </c>
      <c r="AF74" s="334">
        <f t="shared" si="25"/>
        <v>-18.572647214540225</v>
      </c>
      <c r="AH74">
        <f t="shared" si="26"/>
        <v>0</v>
      </c>
      <c r="AI74">
        <f t="shared" si="30"/>
        <v>0</v>
      </c>
    </row>
    <row r="75" spans="1:35" x14ac:dyDescent="0.25">
      <c r="A75" s="335">
        <v>302</v>
      </c>
      <c r="B75" s="352">
        <f t="shared" si="28"/>
        <v>0.30199999999999999</v>
      </c>
      <c r="C75" s="325">
        <f t="shared" si="0"/>
        <v>1.0648650888743636</v>
      </c>
      <c r="D75" s="326">
        <f t="shared" si="1"/>
        <v>0.35083490941706313</v>
      </c>
      <c r="E75" s="326">
        <f t="shared" si="2"/>
        <v>1.0000000720117892</v>
      </c>
      <c r="F75" s="327">
        <f t="shared" si="3"/>
        <v>3.7950437390080741E-4</v>
      </c>
      <c r="G75" s="326">
        <f t="shared" si="4"/>
        <v>1</v>
      </c>
      <c r="H75" s="327">
        <f t="shared" si="5"/>
        <v>0</v>
      </c>
      <c r="I75" s="325">
        <f t="shared" si="6"/>
        <v>400.8355320736938</v>
      </c>
      <c r="J75" s="328">
        <f t="shared" si="7"/>
        <v>1.568301535397143</v>
      </c>
      <c r="K75" s="336">
        <f t="shared" si="8"/>
        <v>1.0030099671879933</v>
      </c>
      <c r="L75" s="337">
        <f t="shared" si="9"/>
        <v>7.7491117046986108E-2</v>
      </c>
      <c r="M75" s="325">
        <f t="shared" si="10"/>
        <v>1.0000021354139488</v>
      </c>
      <c r="N75" s="337">
        <f t="shared" si="11"/>
        <v>2.066596307415128E-3</v>
      </c>
      <c r="O75" s="343">
        <f t="shared" si="12"/>
        <v>1.0000015398432076</v>
      </c>
      <c r="P75" s="691">
        <f t="shared" si="13"/>
        <v>1.7549024085250272E-3</v>
      </c>
      <c r="Q75" s="336">
        <f t="shared" si="29"/>
        <v>15.124298713329273</v>
      </c>
      <c r="R75" s="692">
        <f t="shared" si="14"/>
        <v>8.190790932100418E-4</v>
      </c>
      <c r="S75" s="329">
        <f t="shared" si="15"/>
        <v>0.99999929919735775</v>
      </c>
      <c r="T75" s="330">
        <f t="shared" si="16"/>
        <v>2.5894836133448233E-3</v>
      </c>
      <c r="U75" s="331">
        <f t="shared" si="17"/>
        <v>55.198700901870801</v>
      </c>
      <c r="V75" s="332">
        <f t="shared" si="18"/>
        <v>-105.70991576510644</v>
      </c>
      <c r="W75" s="334">
        <f t="shared" si="19"/>
        <v>74.290084234893556</v>
      </c>
      <c r="Y75" s="307">
        <f t="shared" si="20"/>
        <v>1000000000</v>
      </c>
      <c r="Z75" s="307">
        <f t="shared" si="21"/>
        <v>91204</v>
      </c>
      <c r="AB75" s="333">
        <f t="shared" si="22"/>
        <v>45.673986575437993</v>
      </c>
      <c r="AC75" s="334">
        <f t="shared" si="23"/>
        <v>-85.535552369707432</v>
      </c>
      <c r="AE75" s="333">
        <f t="shared" si="24"/>
        <v>67.097605964920945</v>
      </c>
      <c r="AF75" s="334">
        <f t="shared" si="25"/>
        <v>-20.227982121797769</v>
      </c>
      <c r="AH75">
        <f t="shared" si="26"/>
        <v>0</v>
      </c>
      <c r="AI75">
        <f t="shared" si="30"/>
        <v>0</v>
      </c>
    </row>
    <row r="76" spans="1:35" x14ac:dyDescent="0.25">
      <c r="A76" s="335">
        <v>331.13</v>
      </c>
      <c r="B76" s="352">
        <f t="shared" si="28"/>
        <v>0.33112999999999998</v>
      </c>
      <c r="C76" s="325">
        <f t="shared" si="0"/>
        <v>1.0775074212260749</v>
      </c>
      <c r="D76" s="326">
        <f t="shared" si="1"/>
        <v>0.38160569393107913</v>
      </c>
      <c r="E76" s="326">
        <f t="shared" si="2"/>
        <v>1.0000000865738579</v>
      </c>
      <c r="F76" s="327">
        <f t="shared" si="3"/>
        <v>4.161102056616229E-4</v>
      </c>
      <c r="G76" s="326">
        <f t="shared" si="4"/>
        <v>1</v>
      </c>
      <c r="H76" s="327">
        <f t="shared" si="5"/>
        <v>0</v>
      </c>
      <c r="I76" s="325">
        <f t="shared" si="6"/>
        <v>439.49867635407554</v>
      </c>
      <c r="J76" s="328">
        <f t="shared" si="7"/>
        <v>1.5685210051235225</v>
      </c>
      <c r="K76" s="336">
        <f t="shared" si="8"/>
        <v>1.003617538979013</v>
      </c>
      <c r="L76" s="337">
        <f t="shared" si="9"/>
        <v>8.4931349312222529E-2</v>
      </c>
      <c r="M76" s="325">
        <f t="shared" si="10"/>
        <v>1.0000025672322148</v>
      </c>
      <c r="N76" s="337">
        <f t="shared" si="11"/>
        <v>2.2659332393237808E-3</v>
      </c>
      <c r="O76" s="343">
        <f t="shared" si="12"/>
        <v>1.0000018512267039</v>
      </c>
      <c r="P76" s="691">
        <f t="shared" si="13"/>
        <v>1.9241745493540233E-3</v>
      </c>
      <c r="Q76" s="336">
        <f t="shared" si="29"/>
        <v>15.124299709862397</v>
      </c>
      <c r="R76" s="692">
        <f t="shared" si="14"/>
        <v>8.9808492846544076E-4</v>
      </c>
      <c r="S76" s="329">
        <f t="shared" si="15"/>
        <v>0.99999915748449086</v>
      </c>
      <c r="T76" s="330">
        <f t="shared" si="16"/>
        <v>2.8392583582095249E-3</v>
      </c>
      <c r="U76" s="331">
        <f t="shared" si="17"/>
        <v>54.301619718325682</v>
      </c>
      <c r="V76" s="332">
        <f t="shared" si="18"/>
        <v>-107.07769559888841</v>
      </c>
      <c r="W76" s="334">
        <f t="shared" si="19"/>
        <v>72.922304401111589</v>
      </c>
      <c r="Y76" s="307">
        <f t="shared" si="20"/>
        <v>1000000000</v>
      </c>
      <c r="Z76" s="307">
        <f t="shared" si="21"/>
        <v>109647.0769</v>
      </c>
      <c r="AB76" s="333">
        <f t="shared" si="22"/>
        <v>44.879415519873696</v>
      </c>
      <c r="AC76" s="334">
        <f t="shared" si="23"/>
        <v>-85.133254315804521</v>
      </c>
      <c r="AE76" s="333">
        <f t="shared" si="24"/>
        <v>66.995093704611293</v>
      </c>
      <c r="AF76" s="334">
        <f t="shared" si="25"/>
        <v>-22.003231887830161</v>
      </c>
      <c r="AH76">
        <f t="shared" si="26"/>
        <v>0</v>
      </c>
      <c r="AI76">
        <f t="shared" si="30"/>
        <v>0</v>
      </c>
    </row>
    <row r="77" spans="1:35" x14ac:dyDescent="0.25">
      <c r="A77" s="335">
        <v>363.08</v>
      </c>
      <c r="B77" s="352">
        <f t="shared" si="28"/>
        <v>0.36307999999999996</v>
      </c>
      <c r="C77" s="325">
        <f t="shared" ref="C77:C140" si="31">SQRT(1+(A77/pole1)^2)</f>
        <v>1.0925175977601798</v>
      </c>
      <c r="D77" s="326">
        <f t="shared" ref="D77:D140" si="32">ATAN(A77/pole1)</f>
        <v>0.41450183003626473</v>
      </c>
      <c r="E77" s="326">
        <f t="shared" ref="E77:E140" si="33">SQRT(1+(A77/Zero1)^2)</f>
        <v>1.0000001040864896</v>
      </c>
      <c r="F77" s="327">
        <f t="shared" ref="F77:F140" si="34">ATAN(A77/Zero1)</f>
        <v>4.5625975208448278E-4</v>
      </c>
      <c r="G77" s="326">
        <f t="shared" ref="G77:G140" si="35">IF(VIN_nom&gt;Vout, 1, SQRT(1+(A77/z_RHP)^2))</f>
        <v>1</v>
      </c>
      <c r="H77" s="327">
        <f t="shared" ref="H77:H140" si="36">IF(VIN_nom&gt;Vout, 0, -ATAN(A77/z_RHP))</f>
        <v>0</v>
      </c>
      <c r="I77" s="325">
        <f t="shared" ref="I77:I140" si="37">SQRT(1+(A77/Pole2)^2)</f>
        <v>481.90471993687754</v>
      </c>
      <c r="J77" s="328">
        <f t="shared" ref="J77:J140" si="38">ATAN(A77/Pole2)</f>
        <v>1.5687212263107075</v>
      </c>
      <c r="K77" s="336">
        <f t="shared" ref="K77:K140" si="39">SQRT(1+(A77/Zero2)^2)</f>
        <v>1.0043477300482497</v>
      </c>
      <c r="L77" s="337">
        <f t="shared" ref="L77:L140" si="40">ATAN(A77/Zero2)</f>
        <v>9.3080996693994458E-2</v>
      </c>
      <c r="M77" s="325">
        <f t="shared" ref="M77:M140" si="41">SQRT(1+(A77/pole4)^2)</f>
        <v>1.0000030865451655</v>
      </c>
      <c r="N77" s="337">
        <f t="shared" ref="N77:N140" si="42">ATAN(A77/pole4)</f>
        <v>2.4845672566764353E-3</v>
      </c>
      <c r="O77" s="343">
        <f t="shared" ref="O77:O140" si="43">IF(VOUT_setting=1,1,SQRT(1+(A77*zterm1)^2))</f>
        <v>1.0000022257025347</v>
      </c>
      <c r="P77" s="691">
        <f t="shared" ref="P77:P140" si="44">IF(VOUT_setting=1,0,ATAN(((A77*zterm1))))</f>
        <v>2.10983336141863E-3</v>
      </c>
      <c r="Q77" s="336">
        <f t="shared" si="29"/>
        <v>15.12430090831278</v>
      </c>
      <c r="R77" s="692">
        <f t="shared" ref="R77:R140" si="45">IF(VOUT_setting=1,0,ATAN(A77*$Q$4/(1+Afbr-$Q$5*(A77)^2)))</f>
        <v>9.84739102031576E-4</v>
      </c>
      <c r="S77" s="329">
        <f t="shared" ref="S77:S140" si="46">SQRT((1-(Z77/pterm2))^2+(A77/pterm1)^2)</f>
        <v>0.99999898705865431</v>
      </c>
      <c r="T77" s="330">
        <f t="shared" ref="T77:T140" si="47">IF((ATAN((A77/pterm1)/(1-A77^2/pterm2))&gt;0),ATAN((A77/pterm1)/(1-A77^2/pterm2)),PI()+ATAN((A77/pterm1)/(1-A77^2/pterm2)))</f>
        <v>3.1132134828150931E-3</v>
      </c>
      <c r="U77" s="331">
        <f t="shared" ref="U77:U140" si="48">20*LOG10(((E77*K77*G77*O77)/(C77*I77*S77*M77*Q77))*Adc)</f>
        <v>53.387701012345651</v>
      </c>
      <c r="V77" s="332">
        <f t="shared" ref="V77:V140" si="49">((F77+L77+H77+P77)-(D77+J77+T77+N77+R77))*radconv</f>
        <v>-108.5272871225299</v>
      </c>
      <c r="W77" s="334">
        <f t="shared" ref="W77:W140" si="50">IF(V77&gt;0,V77,V77+180)</f>
        <v>71.472712877470101</v>
      </c>
      <c r="Y77" s="307">
        <f t="shared" ref="Y77:Y140" si="51">IF(U77&lt;0,A77,1000000000)</f>
        <v>1000000000</v>
      </c>
      <c r="Z77" s="307">
        <f t="shared" ref="Z77:Z140" si="52">A77^2</f>
        <v>131827.0864</v>
      </c>
      <c r="AB77" s="333">
        <f t="shared" ref="AB77:AB140" si="53">20*LOG10((K77/(I77*M77))*AEA)</f>
        <v>44.085656039236781</v>
      </c>
      <c r="AC77" s="334">
        <f t="shared" ref="AC77:AC140" si="54">(L77-(J77+N77))*radconv</f>
        <v>-84.690312551250102</v>
      </c>
      <c r="AE77" s="333">
        <f t="shared" ref="AE77:AE140" si="55">20*LOG10((E77*G77/(C77*S77))*Acs*Am)</f>
        <v>66.87493191488943</v>
      </c>
      <c r="AF77" s="334">
        <f t="shared" ref="AF77:AF140" si="56">(F77+H77-(D77+T77))*radconv</f>
        <v>-23.901437723970723</v>
      </c>
      <c r="AH77">
        <f t="shared" ref="AH77:AH140" si="57">SUM((U78&lt;0)*(U77&gt;0))*A77</f>
        <v>0</v>
      </c>
      <c r="AI77">
        <f t="shared" ref="AI77:AI89" si="58">IF(AH77&gt;0,W75,0)</f>
        <v>0</v>
      </c>
    </row>
    <row r="78" spans="1:35" x14ac:dyDescent="0.25">
      <c r="A78" s="335">
        <v>398.11</v>
      </c>
      <c r="B78" s="352">
        <f t="shared" ref="B78:B141" si="59">A78/1000</f>
        <v>0.39811000000000002</v>
      </c>
      <c r="C78" s="325">
        <f t="shared" si="31"/>
        <v>1.1102940325442689</v>
      </c>
      <c r="D78" s="326">
        <f t="shared" si="32"/>
        <v>0.44950495230796045</v>
      </c>
      <c r="E78" s="326">
        <f t="shared" si="33"/>
        <v>1.0000001251399213</v>
      </c>
      <c r="F78" s="327">
        <f t="shared" si="34"/>
        <v>5.002797382199555E-4</v>
      </c>
      <c r="G78" s="326">
        <f t="shared" si="35"/>
        <v>1</v>
      </c>
      <c r="H78" s="327">
        <f t="shared" si="36"/>
        <v>0</v>
      </c>
      <c r="I78" s="325">
        <f t="shared" si="37"/>
        <v>528.39875113307141</v>
      </c>
      <c r="J78" s="328">
        <f t="shared" si="38"/>
        <v>1.5689038155147526</v>
      </c>
      <c r="K78" s="336">
        <f t="shared" si="39"/>
        <v>1.005224853050444</v>
      </c>
      <c r="L78" s="337">
        <f t="shared" si="40"/>
        <v>0.10200200761253005</v>
      </c>
      <c r="M78" s="325">
        <f t="shared" si="41"/>
        <v>1.000003710855305</v>
      </c>
      <c r="N78" s="337">
        <f t="shared" si="42"/>
        <v>2.7242774564105142E-3</v>
      </c>
      <c r="O78" s="343">
        <f t="shared" si="43"/>
        <v>1.0000026758917606</v>
      </c>
      <c r="P78" s="691">
        <f t="shared" si="44"/>
        <v>2.3133896315555083E-3</v>
      </c>
      <c r="Q78" s="336">
        <f t="shared" si="29"/>
        <v>15.124302349072321</v>
      </c>
      <c r="R78" s="692">
        <f t="shared" si="45"/>
        <v>1.0797467758616398E-3</v>
      </c>
      <c r="S78" s="329">
        <f t="shared" si="46"/>
        <v>0.99999878217643334</v>
      </c>
      <c r="T78" s="330">
        <f t="shared" si="47"/>
        <v>3.4135784910583112E-3</v>
      </c>
      <c r="U78" s="331">
        <f t="shared" si="48"/>
        <v>52.455079596595375</v>
      </c>
      <c r="V78" s="332">
        <f t="shared" si="49"/>
        <v>-110.05434611055406</v>
      </c>
      <c r="W78" s="334">
        <f t="shared" si="50"/>
        <v>69.945653889445936</v>
      </c>
      <c r="Y78" s="307">
        <f t="shared" si="51"/>
        <v>1000000000</v>
      </c>
      <c r="Z78" s="307">
        <f t="shared" si="52"/>
        <v>158491.57210000002</v>
      </c>
      <c r="AB78" s="333">
        <f t="shared" si="53"/>
        <v>43.293220868666459</v>
      </c>
      <c r="AC78" s="334">
        <f t="shared" si="54"/>
        <v>-84.203372249598914</v>
      </c>
      <c r="AE78" s="333">
        <f t="shared" si="55"/>
        <v>66.734742586853656</v>
      </c>
      <c r="AF78" s="334">
        <f t="shared" si="56"/>
        <v>-25.921656390093659</v>
      </c>
      <c r="AH78">
        <f t="shared" si="57"/>
        <v>0</v>
      </c>
      <c r="AI78">
        <f t="shared" si="58"/>
        <v>0</v>
      </c>
    </row>
    <row r="79" spans="1:35" x14ac:dyDescent="0.25">
      <c r="A79" s="335">
        <v>436.52</v>
      </c>
      <c r="B79" s="352">
        <f t="shared" si="59"/>
        <v>0.43651999999999996</v>
      </c>
      <c r="C79" s="325">
        <f t="shared" si="31"/>
        <v>1.1312965243007729</v>
      </c>
      <c r="D79" s="326">
        <f t="shared" si="32"/>
        <v>0.48657078015056909</v>
      </c>
      <c r="E79" s="326">
        <f t="shared" si="33"/>
        <v>1.0000001504520093</v>
      </c>
      <c r="F79" s="327">
        <f t="shared" si="34"/>
        <v>5.4854715441118602E-4</v>
      </c>
      <c r="G79" s="326">
        <f t="shared" si="35"/>
        <v>1</v>
      </c>
      <c r="H79" s="327">
        <f t="shared" si="36"/>
        <v>0</v>
      </c>
      <c r="I79" s="325">
        <f t="shared" si="37"/>
        <v>579.37894891207895</v>
      </c>
      <c r="J79" s="328">
        <f t="shared" si="38"/>
        <v>1.5690703398594323</v>
      </c>
      <c r="K79" s="336">
        <f t="shared" si="39"/>
        <v>1.0062783870300955</v>
      </c>
      <c r="L79" s="337">
        <f t="shared" si="40"/>
        <v>0.11176505364303607</v>
      </c>
      <c r="M79" s="325">
        <f t="shared" si="41"/>
        <v>1.0000044614494574</v>
      </c>
      <c r="N79" s="337">
        <f t="shared" si="42"/>
        <v>2.9871166265665453E-3</v>
      </c>
      <c r="O79" s="343">
        <f t="shared" si="43"/>
        <v>1.0000032171443269</v>
      </c>
      <c r="P79" s="691">
        <f t="shared" si="44"/>
        <v>2.536586565475619E-3</v>
      </c>
      <c r="Q79" s="336">
        <f t="shared" ref="Q79:Q142" si="60">IF(VOUT_setting=1,1,SQRT((1+Afbr-$Q$5*(A79)^2)^2+(A79*$Q$4)^2))</f>
        <v>15.124304081266382</v>
      </c>
      <c r="R79" s="692">
        <f t="shared" si="45"/>
        <v>1.1839215974027472E-3</v>
      </c>
      <c r="S79" s="329">
        <f t="shared" si="46"/>
        <v>0.99999853585274445</v>
      </c>
      <c r="T79" s="330">
        <f t="shared" si="47"/>
        <v>3.7429259132326334E-3</v>
      </c>
      <c r="U79" s="331">
        <f t="shared" si="48"/>
        <v>51.501390167001098</v>
      </c>
      <c r="V79" s="332">
        <f t="shared" si="49"/>
        <v>-111.65256622979764</v>
      </c>
      <c r="W79" s="334">
        <f t="shared" si="50"/>
        <v>68.347433770202358</v>
      </c>
      <c r="Y79" s="307">
        <f t="shared" si="51"/>
        <v>1000000000</v>
      </c>
      <c r="Z79" s="307">
        <f t="shared" si="52"/>
        <v>190549.71039999998</v>
      </c>
      <c r="AB79" s="333">
        <f t="shared" si="53"/>
        <v>42.502294317286726</v>
      </c>
      <c r="AC79" s="334">
        <f t="shared" si="54"/>
        <v>-83.668591633524883</v>
      </c>
      <c r="AE79" s="333">
        <f t="shared" si="55"/>
        <v>66.571976002192216</v>
      </c>
      <c r="AF79" s="334">
        <f t="shared" si="56"/>
        <v>-28.061476590127075</v>
      </c>
      <c r="AH79">
        <f t="shared" si="57"/>
        <v>0</v>
      </c>
      <c r="AI79">
        <f t="shared" si="58"/>
        <v>0</v>
      </c>
    </row>
    <row r="80" spans="1:35" x14ac:dyDescent="0.25">
      <c r="A80" s="335">
        <v>478.63</v>
      </c>
      <c r="B80" s="352">
        <f t="shared" si="59"/>
        <v>0.47863</v>
      </c>
      <c r="C80" s="325">
        <f t="shared" si="31"/>
        <v>1.1560386230118398</v>
      </c>
      <c r="D80" s="326">
        <f t="shared" si="32"/>
        <v>0.52560011195468126</v>
      </c>
      <c r="E80" s="326">
        <f t="shared" si="33"/>
        <v>1.0000001808795731</v>
      </c>
      <c r="F80" s="327">
        <f t="shared" si="34"/>
        <v>6.0146412349941785E-4</v>
      </c>
      <c r="G80" s="326">
        <f t="shared" si="35"/>
        <v>1</v>
      </c>
      <c r="H80" s="327">
        <f t="shared" si="36"/>
        <v>0</v>
      </c>
      <c r="I80" s="325">
        <f t="shared" si="37"/>
        <v>635.27003764722167</v>
      </c>
      <c r="J80" s="328">
        <f t="shared" si="38"/>
        <v>1.5692221924052332</v>
      </c>
      <c r="K80" s="336">
        <f t="shared" si="39"/>
        <v>1.0075433781619105</v>
      </c>
      <c r="L80" s="337">
        <f t="shared" si="40"/>
        <v>0.1224439676852658</v>
      </c>
      <c r="M80" s="325">
        <f t="shared" si="41"/>
        <v>1.0000053637350963</v>
      </c>
      <c r="N80" s="337">
        <f t="shared" si="42"/>
        <v>3.2752743768078652E-3</v>
      </c>
      <c r="O80" s="343">
        <f t="shared" si="43"/>
        <v>1.0000038677815972</v>
      </c>
      <c r="P80" s="691">
        <f t="shared" si="44"/>
        <v>2.7812835636744212E-3</v>
      </c>
      <c r="Q80" s="336">
        <f t="shared" si="60"/>
        <v>15.124306163530033</v>
      </c>
      <c r="R80" s="692">
        <f t="shared" si="45"/>
        <v>1.2981314554231498E-3</v>
      </c>
      <c r="S80" s="329">
        <f t="shared" si="46"/>
        <v>0.99999823975057878</v>
      </c>
      <c r="T80" s="330">
        <f t="shared" si="47"/>
        <v>4.1039998311281495E-3</v>
      </c>
      <c r="U80" s="331">
        <f t="shared" si="48"/>
        <v>50.524470742594865</v>
      </c>
      <c r="V80" s="332">
        <f t="shared" si="49"/>
        <v>-113.31231597996961</v>
      </c>
      <c r="W80" s="334">
        <f t="shared" si="50"/>
        <v>66.687684020030389</v>
      </c>
      <c r="Y80" s="307">
        <f t="shared" si="51"/>
        <v>1000000000</v>
      </c>
      <c r="Z80" s="307">
        <f t="shared" si="52"/>
        <v>229086.67689999999</v>
      </c>
      <c r="AB80" s="333">
        <f t="shared" si="53"/>
        <v>41.713285424736235</v>
      </c>
      <c r="AC80" s="334">
        <f t="shared" si="54"/>
        <v>-83.08194566135731</v>
      </c>
      <c r="AE80" s="333">
        <f t="shared" si="55"/>
        <v>66.384061014837158</v>
      </c>
      <c r="AF80" s="334">
        <f t="shared" si="56"/>
        <v>-30.315348674888135</v>
      </c>
      <c r="AH80">
        <f t="shared" si="57"/>
        <v>0</v>
      </c>
      <c r="AI80">
        <f t="shared" si="58"/>
        <v>0</v>
      </c>
    </row>
    <row r="81" spans="1:35" x14ac:dyDescent="0.25">
      <c r="A81" s="335">
        <v>524.80999999999995</v>
      </c>
      <c r="B81" s="352">
        <f t="shared" si="59"/>
        <v>0.52481</v>
      </c>
      <c r="C81" s="325">
        <f t="shared" si="31"/>
        <v>1.1851060042938131</v>
      </c>
      <c r="D81" s="326">
        <f t="shared" si="32"/>
        <v>0.56645929132510808</v>
      </c>
      <c r="E81" s="326">
        <f t="shared" si="33"/>
        <v>1.0000002174672626</v>
      </c>
      <c r="F81" s="327">
        <f t="shared" si="34"/>
        <v>6.5949559984613214E-4</v>
      </c>
      <c r="G81" s="326">
        <f t="shared" si="35"/>
        <v>1</v>
      </c>
      <c r="H81" s="327">
        <f t="shared" si="36"/>
        <v>0</v>
      </c>
      <c r="I81" s="325">
        <f t="shared" si="37"/>
        <v>696.56310503399641</v>
      </c>
      <c r="J81" s="328">
        <f t="shared" si="38"/>
        <v>1.569360706193871</v>
      </c>
      <c r="K81" s="336">
        <f t="shared" si="39"/>
        <v>1.0090623695895966</v>
      </c>
      <c r="L81" s="337">
        <f t="shared" si="40"/>
        <v>0.13412274910937386</v>
      </c>
      <c r="M81" s="325">
        <f t="shared" si="41"/>
        <v>1.0000064486893476</v>
      </c>
      <c r="N81" s="337">
        <f t="shared" si="42"/>
        <v>3.5912824152591403E-3</v>
      </c>
      <c r="O81" s="343">
        <f t="shared" si="43"/>
        <v>1.0000046501412374</v>
      </c>
      <c r="P81" s="691">
        <f t="shared" si="44"/>
        <v>3.0496305407992988E-3</v>
      </c>
      <c r="Q81" s="336">
        <f t="shared" si="60"/>
        <v>15.124308667352111</v>
      </c>
      <c r="R81" s="692">
        <f t="shared" si="45"/>
        <v>1.4233798446398004E-3</v>
      </c>
      <c r="S81" s="329">
        <f t="shared" si="46"/>
        <v>0.99999788370565379</v>
      </c>
      <c r="T81" s="330">
        <f t="shared" si="47"/>
        <v>4.4999731342073076E-3</v>
      </c>
      <c r="U81" s="331">
        <f t="shared" si="48"/>
        <v>49.521816248592252</v>
      </c>
      <c r="V81" s="332">
        <f t="shared" si="49"/>
        <v>-115.02143550639892</v>
      </c>
      <c r="W81" s="334">
        <f t="shared" si="50"/>
        <v>64.978564493601084</v>
      </c>
      <c r="Y81" s="307">
        <f t="shared" si="51"/>
        <v>1000000000</v>
      </c>
      <c r="Z81" s="307">
        <f t="shared" si="52"/>
        <v>275425.53609999997</v>
      </c>
      <c r="AB81" s="333">
        <f t="shared" si="53"/>
        <v>40.926319251829987</v>
      </c>
      <c r="AC81" s="334">
        <f t="shared" si="54"/>
        <v>-82.438842957554058</v>
      </c>
      <c r="AE81" s="333">
        <f t="shared" si="55"/>
        <v>66.168367336225231</v>
      </c>
      <c r="AF81" s="334">
        <f t="shared" si="56"/>
        <v>-32.675769850271472</v>
      </c>
      <c r="AH81">
        <f t="shared" si="57"/>
        <v>0</v>
      </c>
      <c r="AI81">
        <f t="shared" si="58"/>
        <v>0</v>
      </c>
    </row>
    <row r="82" spans="1:35" x14ac:dyDescent="0.25">
      <c r="A82" s="335">
        <v>575.44000000000005</v>
      </c>
      <c r="B82" s="352">
        <f t="shared" si="59"/>
        <v>0.57544000000000006</v>
      </c>
      <c r="C82" s="325">
        <f t="shared" si="31"/>
        <v>1.2191319858686946</v>
      </c>
      <c r="D82" s="326">
        <f t="shared" si="32"/>
        <v>0.60893836420524738</v>
      </c>
      <c r="E82" s="326">
        <f t="shared" si="33"/>
        <v>1.0000002614506762</v>
      </c>
      <c r="F82" s="327">
        <f t="shared" si="34"/>
        <v>7.2311910376641542E-4</v>
      </c>
      <c r="G82" s="326">
        <f t="shared" si="35"/>
        <v>1</v>
      </c>
      <c r="H82" s="327">
        <f t="shared" si="36"/>
        <v>0</v>
      </c>
      <c r="I82" s="325">
        <f t="shared" si="37"/>
        <v>763.76251152401778</v>
      </c>
      <c r="J82" s="328">
        <f t="shared" si="38"/>
        <v>1.5694870189005889</v>
      </c>
      <c r="K82" s="336">
        <f t="shared" si="39"/>
        <v>1.0108853842194174</v>
      </c>
      <c r="L82" s="337">
        <f t="shared" si="40"/>
        <v>0.14688464745756824</v>
      </c>
      <c r="M82" s="325">
        <f t="shared" si="41"/>
        <v>1.0000077529514457</v>
      </c>
      <c r="N82" s="337">
        <f t="shared" si="42"/>
        <v>3.9377408131508604E-3</v>
      </c>
      <c r="O82" s="343">
        <f t="shared" si="43"/>
        <v>1.0000055906439036</v>
      </c>
      <c r="P82" s="691">
        <f t="shared" si="44"/>
        <v>3.3438354796774517E-3</v>
      </c>
      <c r="Q82" s="336">
        <f t="shared" si="60"/>
        <v>15.124311677288741</v>
      </c>
      <c r="R82" s="692">
        <f t="shared" si="45"/>
        <v>1.5606973775875767E-3</v>
      </c>
      <c r="S82" s="329">
        <f t="shared" si="46"/>
        <v>0.99999745569632004</v>
      </c>
      <c r="T82" s="330">
        <f t="shared" si="47"/>
        <v>4.9341045640352533E-3</v>
      </c>
      <c r="U82" s="331">
        <f t="shared" si="48"/>
        <v>48.49166564359372</v>
      </c>
      <c r="V82" s="332">
        <f t="shared" si="49"/>
        <v>-116.76343153130549</v>
      </c>
      <c r="W82" s="334">
        <f t="shared" si="50"/>
        <v>63.236568468694514</v>
      </c>
      <c r="Y82" s="307">
        <f t="shared" si="51"/>
        <v>1000000000</v>
      </c>
      <c r="Z82" s="307">
        <f t="shared" si="52"/>
        <v>331131.19360000006</v>
      </c>
      <c r="AB82" s="333">
        <f t="shared" si="53"/>
        <v>40.142028653886172</v>
      </c>
      <c r="AC82" s="334">
        <f t="shared" si="54"/>
        <v>-81.734727831792853</v>
      </c>
      <c r="AE82" s="333">
        <f t="shared" si="55"/>
        <v>65.922500888716257</v>
      </c>
      <c r="AF82" s="334">
        <f t="shared" si="56"/>
        <v>-35.130869987168097</v>
      </c>
      <c r="AH82">
        <f t="shared" si="57"/>
        <v>0</v>
      </c>
      <c r="AI82">
        <f t="shared" si="58"/>
        <v>0</v>
      </c>
    </row>
    <row r="83" spans="1:35" x14ac:dyDescent="0.25">
      <c r="A83" s="335">
        <v>630.96</v>
      </c>
      <c r="B83" s="352">
        <f t="shared" si="59"/>
        <v>0.63096000000000008</v>
      </c>
      <c r="C83" s="325">
        <f t="shared" si="31"/>
        <v>1.2588269572170518</v>
      </c>
      <c r="D83" s="326">
        <f t="shared" si="32"/>
        <v>0.65279308203941844</v>
      </c>
      <c r="E83" s="326">
        <f t="shared" si="33"/>
        <v>1.0000003143354184</v>
      </c>
      <c r="F83" s="327">
        <f t="shared" si="34"/>
        <v>7.9288755322250799E-4</v>
      </c>
      <c r="G83" s="326">
        <f t="shared" si="35"/>
        <v>1</v>
      </c>
      <c r="H83" s="327">
        <f t="shared" si="36"/>
        <v>0</v>
      </c>
      <c r="I83" s="325">
        <f t="shared" si="37"/>
        <v>837.45225353930698</v>
      </c>
      <c r="J83" s="328">
        <f t="shared" si="38"/>
        <v>1.569602228584021</v>
      </c>
      <c r="K83" s="336">
        <f t="shared" si="39"/>
        <v>1.0130729957016826</v>
      </c>
      <c r="L83" s="337">
        <f t="shared" si="40"/>
        <v>0.16082379958672874</v>
      </c>
      <c r="M83" s="325">
        <f t="shared" si="41"/>
        <v>1.0000093211669074</v>
      </c>
      <c r="N83" s="337">
        <f t="shared" si="42"/>
        <v>4.3176601312668742E-3</v>
      </c>
      <c r="O83" s="343">
        <f t="shared" si="43"/>
        <v>1.0000067214836448</v>
      </c>
      <c r="P83" s="691">
        <f t="shared" si="44"/>
        <v>3.6664549626048686E-3</v>
      </c>
      <c r="Q83" s="336">
        <f t="shared" si="60"/>
        <v>15.124315296373366</v>
      </c>
      <c r="R83" s="692">
        <f t="shared" si="45"/>
        <v>1.7112773922355257E-3</v>
      </c>
      <c r="S83" s="329">
        <f t="shared" si="46"/>
        <v>0.99999694107464143</v>
      </c>
      <c r="T83" s="330">
        <f t="shared" si="47"/>
        <v>5.4101674771608217E-3</v>
      </c>
      <c r="U83" s="331">
        <f t="shared" si="48"/>
        <v>47.432100595678072</v>
      </c>
      <c r="V83" s="332">
        <f t="shared" si="49"/>
        <v>-118.51925781462418</v>
      </c>
      <c r="W83" s="334">
        <f t="shared" si="50"/>
        <v>61.480742185375817</v>
      </c>
      <c r="Y83" s="307">
        <f t="shared" si="51"/>
        <v>1000000000</v>
      </c>
      <c r="Z83" s="307">
        <f t="shared" si="52"/>
        <v>398110.52160000004</v>
      </c>
      <c r="AB83" s="333">
        <f t="shared" si="53"/>
        <v>39.360757107578898</v>
      </c>
      <c r="AC83" s="334">
        <f t="shared" si="54"/>
        <v>-80.964442046024203</v>
      </c>
      <c r="AE83" s="333">
        <f t="shared" si="55"/>
        <v>65.644199643258602</v>
      </c>
      <c r="AF83" s="334">
        <f t="shared" si="56"/>
        <v>-37.666839191708767</v>
      </c>
      <c r="AH83">
        <f t="shared" si="57"/>
        <v>0</v>
      </c>
      <c r="AI83">
        <f t="shared" si="58"/>
        <v>0</v>
      </c>
    </row>
    <row r="84" spans="1:35" x14ac:dyDescent="0.25">
      <c r="A84" s="335">
        <v>691.83</v>
      </c>
      <c r="B84" s="352">
        <f t="shared" si="59"/>
        <v>0.69183000000000006</v>
      </c>
      <c r="C84" s="325">
        <f t="shared" si="31"/>
        <v>1.3049484171762713</v>
      </c>
      <c r="D84" s="326">
        <f t="shared" si="32"/>
        <v>0.69771252776662573</v>
      </c>
      <c r="E84" s="326">
        <f t="shared" si="33"/>
        <v>1.0000003779100402</v>
      </c>
      <c r="F84" s="327">
        <f t="shared" si="34"/>
        <v>8.6937899818843466E-4</v>
      </c>
      <c r="G84" s="326">
        <f t="shared" si="35"/>
        <v>1</v>
      </c>
      <c r="H84" s="327">
        <f t="shared" si="36"/>
        <v>0</v>
      </c>
      <c r="I84" s="325">
        <f t="shared" si="37"/>
        <v>918.24287289036135</v>
      </c>
      <c r="J84" s="328">
        <f t="shared" si="38"/>
        <v>1.5697072900844682</v>
      </c>
      <c r="K84" s="336">
        <f t="shared" si="39"/>
        <v>1.0156965645802924</v>
      </c>
      <c r="L84" s="337">
        <f t="shared" si="40"/>
        <v>0.17603385574653982</v>
      </c>
      <c r="M84" s="325">
        <f t="shared" si="41"/>
        <v>1.0000112063711153</v>
      </c>
      <c r="N84" s="337">
        <f t="shared" si="42"/>
        <v>4.734187673491025E-3</v>
      </c>
      <c r="O84" s="343">
        <f t="shared" si="43"/>
        <v>1.0000080809045389</v>
      </c>
      <c r="P84" s="691">
        <f t="shared" si="44"/>
        <v>4.0201617185782468E-3</v>
      </c>
      <c r="Q84" s="336">
        <f t="shared" si="60"/>
        <v>15.124319647002292</v>
      </c>
      <c r="R84" s="692">
        <f t="shared" si="45"/>
        <v>1.8763674631947318E-3</v>
      </c>
      <c r="S84" s="329">
        <f t="shared" si="46"/>
        <v>0.99999632244103664</v>
      </c>
      <c r="T84" s="330">
        <f t="shared" si="47"/>
        <v>5.9321069073106558E-3</v>
      </c>
      <c r="U84" s="331">
        <f t="shared" si="48"/>
        <v>46.342067926080112</v>
      </c>
      <c r="V84" s="332">
        <f t="shared" si="49"/>
        <v>-120.26608065107391</v>
      </c>
      <c r="W84" s="334">
        <f t="shared" si="50"/>
        <v>59.733919348926094</v>
      </c>
      <c r="Y84" s="307">
        <f t="shared" si="51"/>
        <v>1000000000</v>
      </c>
      <c r="Z84" s="307">
        <f t="shared" si="52"/>
        <v>478628.74890000006</v>
      </c>
      <c r="AB84" s="333">
        <f t="shared" si="53"/>
        <v>38.583255410937397</v>
      </c>
      <c r="AC84" s="334">
        <f t="shared" si="54"/>
        <v>-80.122854871733765</v>
      </c>
      <c r="AE84" s="333">
        <f t="shared" si="55"/>
        <v>65.331659361174161</v>
      </c>
      <c r="AF84" s="334">
        <f t="shared" si="56"/>
        <v>-40.266056142458382</v>
      </c>
      <c r="AH84">
        <f t="shared" si="57"/>
        <v>0</v>
      </c>
      <c r="AI84">
        <f t="shared" si="58"/>
        <v>0</v>
      </c>
    </row>
    <row r="85" spans="1:35" x14ac:dyDescent="0.25">
      <c r="A85" s="335">
        <v>758.58</v>
      </c>
      <c r="B85" s="352">
        <f t="shared" si="59"/>
        <v>0.75858000000000003</v>
      </c>
      <c r="C85" s="325">
        <f t="shared" si="31"/>
        <v>1.3583327537444614</v>
      </c>
      <c r="D85" s="326">
        <f t="shared" si="32"/>
        <v>0.74336318272103163</v>
      </c>
      <c r="E85" s="326">
        <f t="shared" si="33"/>
        <v>1.0000004543519636</v>
      </c>
      <c r="F85" s="327">
        <f t="shared" si="34"/>
        <v>9.5325945223126852E-4</v>
      </c>
      <c r="G85" s="326">
        <f t="shared" si="35"/>
        <v>1</v>
      </c>
      <c r="H85" s="327">
        <f t="shared" si="36"/>
        <v>0</v>
      </c>
      <c r="I85" s="325">
        <f t="shared" si="37"/>
        <v>1006.8378200168243</v>
      </c>
      <c r="J85" s="328">
        <f t="shared" si="38"/>
        <v>1.5698031180133731</v>
      </c>
      <c r="K85" s="336">
        <f t="shared" si="39"/>
        <v>1.0188421904967073</v>
      </c>
      <c r="L85" s="337">
        <f t="shared" si="40"/>
        <v>0.19261886691782767</v>
      </c>
      <c r="M85" s="325">
        <f t="shared" si="41"/>
        <v>1.0000134731301189</v>
      </c>
      <c r="N85" s="337">
        <f t="shared" si="42"/>
        <v>5.1909495951258881E-3</v>
      </c>
      <c r="O85" s="343">
        <f t="shared" si="43"/>
        <v>1.0000097154655712</v>
      </c>
      <c r="P85" s="691">
        <f t="shared" si="44"/>
        <v>4.4080351434824683E-3</v>
      </c>
      <c r="Q85" s="336">
        <f t="shared" si="60"/>
        <v>15.124324878183399</v>
      </c>
      <c r="R85" s="692">
        <f t="shared" si="45"/>
        <v>2.0574050082542111E-3</v>
      </c>
      <c r="S85" s="329">
        <f t="shared" si="46"/>
        <v>0.9999955786143534</v>
      </c>
      <c r="T85" s="330">
        <f t="shared" si="47"/>
        <v>6.5044683572880397E-3</v>
      </c>
      <c r="U85" s="331">
        <f t="shared" si="48"/>
        <v>45.220629651325652</v>
      </c>
      <c r="V85" s="332">
        <f t="shared" si="49"/>
        <v>-121.97921751334491</v>
      </c>
      <c r="W85" s="334">
        <f t="shared" si="50"/>
        <v>58.020782486655094</v>
      </c>
      <c r="Y85" s="307">
        <f t="shared" si="51"/>
        <v>1000000000</v>
      </c>
      <c r="Z85" s="307">
        <f t="shared" si="52"/>
        <v>575443.61640000006</v>
      </c>
      <c r="AB85" s="333">
        <f t="shared" si="53"/>
        <v>37.810055380151468</v>
      </c>
      <c r="AC85" s="334">
        <f t="shared" si="54"/>
        <v>-79.20426479362969</v>
      </c>
      <c r="AE85" s="333">
        <f t="shared" si="55"/>
        <v>64.983409923979551</v>
      </c>
      <c r="AF85" s="334">
        <f t="shared" si="56"/>
        <v>-42.909633905813948</v>
      </c>
      <c r="AH85">
        <f t="shared" si="57"/>
        <v>0</v>
      </c>
      <c r="AI85">
        <f t="shared" si="58"/>
        <v>0</v>
      </c>
    </row>
    <row r="86" spans="1:35" x14ac:dyDescent="0.25">
      <c r="A86" s="335">
        <v>831.76</v>
      </c>
      <c r="B86" s="352">
        <f t="shared" si="59"/>
        <v>0.83175999999999994</v>
      </c>
      <c r="C86" s="325">
        <f t="shared" si="31"/>
        <v>1.4198518712977204</v>
      </c>
      <c r="D86" s="326">
        <f t="shared" si="32"/>
        <v>0.78936137459350086</v>
      </c>
      <c r="E86" s="326">
        <f t="shared" si="33"/>
        <v>1.0000005462427359</v>
      </c>
      <c r="F86" s="327">
        <f t="shared" si="34"/>
        <v>1.0452200603963634E-3</v>
      </c>
      <c r="G86" s="326">
        <f t="shared" si="35"/>
        <v>1</v>
      </c>
      <c r="H86" s="327">
        <f t="shared" si="36"/>
        <v>0</v>
      </c>
      <c r="I86" s="325">
        <f t="shared" si="37"/>
        <v>1103.9670907374123</v>
      </c>
      <c r="J86" s="328">
        <f t="shared" si="38"/>
        <v>1.5698905025677587</v>
      </c>
      <c r="K86" s="336">
        <f t="shared" si="39"/>
        <v>1.0226107380767286</v>
      </c>
      <c r="L86" s="337">
        <f t="shared" si="40"/>
        <v>0.21067872098814128</v>
      </c>
      <c r="M86" s="325">
        <f t="shared" si="41"/>
        <v>1.0000161979926536</v>
      </c>
      <c r="N86" s="337">
        <f t="shared" si="42"/>
        <v>5.6917087084368372E-3</v>
      </c>
      <c r="O86" s="343">
        <f t="shared" si="43"/>
        <v>1.0000116803666523</v>
      </c>
      <c r="P86" s="691">
        <f t="shared" si="44"/>
        <v>4.8332707271557512E-3</v>
      </c>
      <c r="Q86" s="336">
        <f t="shared" si="60"/>
        <v>15.124331166579982</v>
      </c>
      <c r="R86" s="692">
        <f t="shared" si="45"/>
        <v>2.2558816767119234E-3</v>
      </c>
      <c r="S86" s="329">
        <f t="shared" si="46"/>
        <v>0.99999468448461648</v>
      </c>
      <c r="T86" s="330">
        <f t="shared" si="47"/>
        <v>7.1319691449476851E-3</v>
      </c>
      <c r="U86" s="331">
        <f t="shared" si="48"/>
        <v>44.068027126915787</v>
      </c>
      <c r="V86" s="332">
        <f t="shared" si="49"/>
        <v>-123.63135637104934</v>
      </c>
      <c r="W86" s="334">
        <f t="shared" si="50"/>
        <v>56.368643628950664</v>
      </c>
      <c r="Y86" s="307">
        <f t="shared" si="51"/>
        <v>1000000000</v>
      </c>
      <c r="Z86" s="307">
        <f t="shared" si="52"/>
        <v>691824.69759999996</v>
      </c>
      <c r="AB86" s="333">
        <f t="shared" si="53"/>
        <v>37.042168138239035</v>
      </c>
      <c r="AC86" s="334">
        <f t="shared" si="54"/>
        <v>-78.203209525541055</v>
      </c>
      <c r="AE86" s="333">
        <f t="shared" si="55"/>
        <v>64.598681186171959</v>
      </c>
      <c r="AF86" s="334">
        <f t="shared" si="56"/>
        <v>-45.575820360430683</v>
      </c>
      <c r="AH86">
        <f t="shared" si="57"/>
        <v>0</v>
      </c>
      <c r="AI86">
        <f t="shared" si="58"/>
        <v>0</v>
      </c>
    </row>
    <row r="87" spans="1:35" x14ac:dyDescent="0.25">
      <c r="A87" s="335">
        <v>912.01</v>
      </c>
      <c r="B87" s="352">
        <f t="shared" si="59"/>
        <v>0.91200999999999999</v>
      </c>
      <c r="C87" s="325">
        <f t="shared" si="31"/>
        <v>1.49046457529901</v>
      </c>
      <c r="D87" s="326">
        <f t="shared" si="32"/>
        <v>0.8353317156327954</v>
      </c>
      <c r="E87" s="326">
        <f t="shared" si="33"/>
        <v>1.000000656732924</v>
      </c>
      <c r="F87" s="327">
        <f t="shared" si="34"/>
        <v>1.1460650633181709E-3</v>
      </c>
      <c r="G87" s="326">
        <f t="shared" si="35"/>
        <v>1</v>
      </c>
      <c r="H87" s="327">
        <f t="shared" si="36"/>
        <v>0</v>
      </c>
      <c r="I87" s="325">
        <f t="shared" si="37"/>
        <v>1210.4801348095982</v>
      </c>
      <c r="J87" s="328">
        <f t="shared" si="38"/>
        <v>1.5699702082283968</v>
      </c>
      <c r="K87" s="336">
        <f t="shared" si="39"/>
        <v>1.0271237618126583</v>
      </c>
      <c r="L87" s="337">
        <f t="shared" si="40"/>
        <v>0.2303238707431709</v>
      </c>
      <c r="M87" s="325">
        <f t="shared" si="41"/>
        <v>1.0000194743793196</v>
      </c>
      <c r="N87" s="337">
        <f t="shared" si="42"/>
        <v>6.240843417679165E-3</v>
      </c>
      <c r="O87" s="343">
        <f t="shared" si="43"/>
        <v>1.0000140429743098</v>
      </c>
      <c r="P87" s="691">
        <f t="shared" si="44"/>
        <v>5.2995867714745876E-3</v>
      </c>
      <c r="Q87" s="336">
        <f t="shared" si="60"/>
        <v>15.124338727794848</v>
      </c>
      <c r="R87" s="692">
        <f t="shared" si="45"/>
        <v>2.4735331975344883E-3</v>
      </c>
      <c r="S87" s="329">
        <f t="shared" si="46"/>
        <v>0.99999360941023974</v>
      </c>
      <c r="T87" s="330">
        <f t="shared" si="47"/>
        <v>7.8200987384584916E-3</v>
      </c>
      <c r="U87" s="331">
        <f t="shared" si="48"/>
        <v>42.88467050716342</v>
      </c>
      <c r="V87" s="332">
        <f t="shared" si="49"/>
        <v>-125.19511012818356</v>
      </c>
      <c r="W87" s="334">
        <f t="shared" si="50"/>
        <v>54.804889871816442</v>
      </c>
      <c r="Y87" s="307">
        <f t="shared" si="51"/>
        <v>1000000000</v>
      </c>
      <c r="Z87" s="307">
        <f t="shared" si="52"/>
        <v>831762.24009999994</v>
      </c>
      <c r="AB87" s="333">
        <f t="shared" si="53"/>
        <v>36.280357446271964</v>
      </c>
      <c r="AC87" s="334">
        <f t="shared" si="54"/>
        <v>-77.113655254611984</v>
      </c>
      <c r="AE87" s="333">
        <f t="shared" si="55"/>
        <v>64.177119079698954</v>
      </c>
      <c r="AF87" s="334">
        <f t="shared" si="56"/>
        <v>-48.243375816221246</v>
      </c>
      <c r="AH87">
        <f t="shared" si="57"/>
        <v>0</v>
      </c>
      <c r="AI87">
        <f t="shared" si="58"/>
        <v>0</v>
      </c>
    </row>
    <row r="88" spans="1:35" x14ac:dyDescent="0.25">
      <c r="A88" s="335">
        <v>1000</v>
      </c>
      <c r="B88" s="352">
        <f t="shared" si="59"/>
        <v>1</v>
      </c>
      <c r="C88" s="325">
        <f t="shared" si="31"/>
        <v>1.5711620716872585</v>
      </c>
      <c r="D88" s="326">
        <f t="shared" si="32"/>
        <v>0.88088138897461754</v>
      </c>
      <c r="E88" s="326">
        <f t="shared" si="33"/>
        <v>1.0000007895680385</v>
      </c>
      <c r="F88" s="327">
        <f t="shared" si="34"/>
        <v>1.2566363985333933E-3</v>
      </c>
      <c r="G88" s="326">
        <f t="shared" si="35"/>
        <v>1</v>
      </c>
      <c r="H88" s="327">
        <f t="shared" si="36"/>
        <v>0</v>
      </c>
      <c r="I88" s="325">
        <f t="shared" si="37"/>
        <v>1327.2662200167056</v>
      </c>
      <c r="J88" s="328">
        <f t="shared" si="38"/>
        <v>1.5700428983722277</v>
      </c>
      <c r="K88" s="336">
        <f t="shared" si="39"/>
        <v>1.0325233624883468</v>
      </c>
      <c r="L88" s="337">
        <f t="shared" si="40"/>
        <v>0.25165722227344905</v>
      </c>
      <c r="M88" s="325">
        <f t="shared" si="41"/>
        <v>1.0000234133506267</v>
      </c>
      <c r="N88" s="337">
        <f t="shared" si="42"/>
        <v>6.842937061680196E-3</v>
      </c>
      <c r="O88" s="343">
        <f t="shared" si="43"/>
        <v>1.0000168833756682</v>
      </c>
      <c r="P88" s="691">
        <f t="shared" si="44"/>
        <v>5.810875688090673E-3</v>
      </c>
      <c r="Q88" s="336">
        <f t="shared" si="60"/>
        <v>15.124347818144223</v>
      </c>
      <c r="R88" s="692">
        <f t="shared" si="45"/>
        <v>2.7121766439196274E-3</v>
      </c>
      <c r="S88" s="329">
        <f t="shared" si="46"/>
        <v>0.99999231696826918</v>
      </c>
      <c r="T88" s="330">
        <f t="shared" si="47"/>
        <v>8.574604410008459E-3</v>
      </c>
      <c r="U88" s="331">
        <f t="shared" si="48"/>
        <v>41.67221627747211</v>
      </c>
      <c r="V88" s="332">
        <f t="shared" si="49"/>
        <v>-126.64253871310413</v>
      </c>
      <c r="W88" s="334">
        <f t="shared" si="50"/>
        <v>53.35746128689587</v>
      </c>
      <c r="Y88" s="307">
        <f t="shared" si="51"/>
        <v>1000000000</v>
      </c>
      <c r="Z88" s="307">
        <f t="shared" si="52"/>
        <v>1000000</v>
      </c>
      <c r="AB88" s="333">
        <f t="shared" si="53"/>
        <v>35.525857950260963</v>
      </c>
      <c r="AC88" s="334">
        <f t="shared" si="54"/>
        <v>-75.9300065108322</v>
      </c>
      <c r="AE88" s="333">
        <f t="shared" si="55"/>
        <v>63.719144895562614</v>
      </c>
      <c r="AF88" s="334">
        <f t="shared" si="56"/>
        <v>-50.890074579687045</v>
      </c>
      <c r="AH88">
        <f t="shared" si="57"/>
        <v>0</v>
      </c>
      <c r="AI88">
        <f t="shared" si="58"/>
        <v>0</v>
      </c>
    </row>
    <row r="89" spans="1:35" x14ac:dyDescent="0.25">
      <c r="A89" s="335">
        <v>1096.5</v>
      </c>
      <c r="B89" s="352">
        <f t="shared" si="59"/>
        <v>1.0965</v>
      </c>
      <c r="C89" s="325">
        <f t="shared" si="31"/>
        <v>1.6630261458974773</v>
      </c>
      <c r="D89" s="326">
        <f t="shared" si="32"/>
        <v>0.92565238457942456</v>
      </c>
      <c r="E89" s="326">
        <f t="shared" si="33"/>
        <v>1.0000009493072493</v>
      </c>
      <c r="F89" s="327">
        <f t="shared" si="34"/>
        <v>1.3779016642553354E-3</v>
      </c>
      <c r="G89" s="326">
        <f t="shared" si="35"/>
        <v>1</v>
      </c>
      <c r="H89" s="327">
        <f t="shared" si="36"/>
        <v>0</v>
      </c>
      <c r="I89" s="325">
        <f t="shared" si="37"/>
        <v>1455.3473407418023</v>
      </c>
      <c r="J89" s="328">
        <f t="shared" si="38"/>
        <v>1.5701092055485146</v>
      </c>
      <c r="K89" s="336">
        <f t="shared" si="39"/>
        <v>1.038979423770046</v>
      </c>
      <c r="L89" s="337">
        <f t="shared" si="40"/>
        <v>0.2747871724533073</v>
      </c>
      <c r="M89" s="325">
        <f t="shared" si="41"/>
        <v>1.0000281500916031</v>
      </c>
      <c r="N89" s="337">
        <f t="shared" si="42"/>
        <v>7.5032567945536128E-3</v>
      </c>
      <c r="O89" s="343">
        <f t="shared" si="43"/>
        <v>1.0000202990547198</v>
      </c>
      <c r="P89" s="691">
        <f t="shared" si="44"/>
        <v>6.3716106832546185E-3</v>
      </c>
      <c r="Q89" s="336">
        <f t="shared" si="60"/>
        <v>15.12435874962488</v>
      </c>
      <c r="R89" s="692">
        <f t="shared" si="45"/>
        <v>2.9739002782186788E-3</v>
      </c>
      <c r="S89" s="329">
        <f t="shared" si="46"/>
        <v>0.9999907628298953</v>
      </c>
      <c r="T89" s="330">
        <f t="shared" si="47"/>
        <v>9.4020916580136657E-3</v>
      </c>
      <c r="U89" s="331">
        <f t="shared" si="48"/>
        <v>40.432620488401774</v>
      </c>
      <c r="V89" s="332">
        <f t="shared" si="49"/>
        <v>-127.94744338685136</v>
      </c>
      <c r="W89" s="334">
        <f t="shared" si="50"/>
        <v>52.052556613148639</v>
      </c>
      <c r="Y89" s="307">
        <f t="shared" si="51"/>
        <v>1000000000</v>
      </c>
      <c r="Z89" s="307">
        <f t="shared" si="52"/>
        <v>1202312.25</v>
      </c>
      <c r="AB89" s="333">
        <f t="shared" si="53"/>
        <v>34.779785697307304</v>
      </c>
      <c r="AC89" s="334">
        <f t="shared" si="54"/>
        <v>-74.64639063888724</v>
      </c>
      <c r="AE89" s="333">
        <f t="shared" si="55"/>
        <v>63.225597969716432</v>
      </c>
      <c r="AF89" s="334">
        <f t="shared" si="56"/>
        <v>-53.495727214402827</v>
      </c>
      <c r="AH89">
        <f t="shared" si="57"/>
        <v>0</v>
      </c>
      <c r="AI89">
        <f t="shared" si="58"/>
        <v>0</v>
      </c>
    </row>
    <row r="90" spans="1:35" x14ac:dyDescent="0.25">
      <c r="A90" s="335">
        <v>1202.3</v>
      </c>
      <c r="B90" s="352">
        <f t="shared" si="59"/>
        <v>1.2022999999999999</v>
      </c>
      <c r="C90" s="325">
        <f t="shared" si="31"/>
        <v>1.7671520970119239</v>
      </c>
      <c r="D90" s="326">
        <f t="shared" si="32"/>
        <v>0.96929340839563083</v>
      </c>
      <c r="E90" s="326">
        <f t="shared" si="33"/>
        <v>1.0000011413403671</v>
      </c>
      <c r="F90" s="327">
        <f t="shared" si="34"/>
        <v>1.5108535876392514E-3</v>
      </c>
      <c r="G90" s="326">
        <f t="shared" si="35"/>
        <v>1</v>
      </c>
      <c r="H90" s="327">
        <f t="shared" si="36"/>
        <v>0</v>
      </c>
      <c r="I90" s="325">
        <f t="shared" si="37"/>
        <v>1595.7720367305601</v>
      </c>
      <c r="J90" s="328">
        <f t="shared" si="38"/>
        <v>1.5701696708299893</v>
      </c>
      <c r="K90" s="336">
        <f t="shared" si="39"/>
        <v>1.0466879754642391</v>
      </c>
      <c r="L90" s="337">
        <f t="shared" si="40"/>
        <v>0.29980342644610286</v>
      </c>
      <c r="M90" s="325">
        <f t="shared" si="41"/>
        <v>1.0000338444139401</v>
      </c>
      <c r="N90" s="337">
        <f t="shared" si="42"/>
        <v>8.2272060179223866E-3</v>
      </c>
      <c r="O90" s="343">
        <f t="shared" si="43"/>
        <v>1.0000244052547229</v>
      </c>
      <c r="P90" s="691">
        <f t="shared" si="44"/>
        <v>6.9863808064263141E-3</v>
      </c>
      <c r="Q90" s="336">
        <f t="shared" si="60"/>
        <v>15.124371891075924</v>
      </c>
      <c r="R90" s="692">
        <f t="shared" si="45"/>
        <v>3.2608465698890201E-3</v>
      </c>
      <c r="S90" s="329">
        <f t="shared" si="46"/>
        <v>0.99998889460039542</v>
      </c>
      <c r="T90" s="330">
        <f t="shared" si="47"/>
        <v>1.030933845137828E-2</v>
      </c>
      <c r="U90" s="331">
        <f t="shared" si="48"/>
        <v>39.169241865866667</v>
      </c>
      <c r="V90" s="332">
        <f t="shared" si="49"/>
        <v>-129.08508864013146</v>
      </c>
      <c r="W90" s="334">
        <f t="shared" si="50"/>
        <v>50.91491135986854</v>
      </c>
      <c r="Y90" s="307">
        <f t="shared" si="51"/>
        <v>1000000000</v>
      </c>
      <c r="Z90" s="307">
        <f t="shared" si="52"/>
        <v>1445525.2899999998</v>
      </c>
      <c r="AB90" s="333">
        <f t="shared" si="53"/>
        <v>34.04385812545528</v>
      </c>
      <c r="AC90" s="334">
        <f t="shared" si="54"/>
        <v>-73.258008504802675</v>
      </c>
      <c r="AE90" s="333">
        <f t="shared" si="55"/>
        <v>62.69811880093684</v>
      </c>
      <c r="AF90" s="334">
        <f t="shared" si="56"/>
        <v>-56.040537523757749</v>
      </c>
      <c r="AH90">
        <f t="shared" si="57"/>
        <v>0</v>
      </c>
      <c r="AI90">
        <f t="shared" ref="AI90:AI153" si="61">IF(AH90&gt;0,W90,0)</f>
        <v>0</v>
      </c>
    </row>
    <row r="91" spans="1:35" x14ac:dyDescent="0.25">
      <c r="A91" s="335">
        <v>1318.3</v>
      </c>
      <c r="B91" s="352">
        <f t="shared" si="59"/>
        <v>1.3183</v>
      </c>
      <c r="C91" s="325">
        <f t="shared" si="31"/>
        <v>1.8847321708300351</v>
      </c>
      <c r="D91" s="326">
        <f t="shared" si="32"/>
        <v>1.0115123991175949</v>
      </c>
      <c r="E91" s="326">
        <f t="shared" si="33"/>
        <v>1.0000013722016512</v>
      </c>
      <c r="F91" s="327">
        <f t="shared" si="34"/>
        <v>1.6566231207174151E-3</v>
      </c>
      <c r="G91" s="326">
        <f t="shared" si="35"/>
        <v>1</v>
      </c>
      <c r="H91" s="327">
        <f t="shared" si="36"/>
        <v>0</v>
      </c>
      <c r="I91" s="325">
        <f t="shared" si="37"/>
        <v>1749.7348469832607</v>
      </c>
      <c r="J91" s="328">
        <f t="shared" si="38"/>
        <v>1.5702248115986586</v>
      </c>
      <c r="K91" s="336">
        <f t="shared" si="39"/>
        <v>1.0558806677673958</v>
      </c>
      <c r="L91" s="337">
        <f t="shared" si="40"/>
        <v>0.32679288273420815</v>
      </c>
      <c r="M91" s="325">
        <f t="shared" si="41"/>
        <v>1.0000406900591881</v>
      </c>
      <c r="N91" s="337">
        <f t="shared" si="42"/>
        <v>9.0209400288222153E-3</v>
      </c>
      <c r="O91" s="343">
        <f t="shared" si="43"/>
        <v>1.0000293416871948</v>
      </c>
      <c r="P91" s="691">
        <f t="shared" si="44"/>
        <v>7.6604137965430794E-3</v>
      </c>
      <c r="Q91" s="336">
        <f t="shared" si="60"/>
        <v>15.124387689652929</v>
      </c>
      <c r="R91" s="692">
        <f t="shared" si="45"/>
        <v>3.5754562784918922E-3</v>
      </c>
      <c r="S91" s="329">
        <f t="shared" si="46"/>
        <v>0.99998664877352128</v>
      </c>
      <c r="T91" s="330">
        <f t="shared" si="47"/>
        <v>1.1304067290367939E-2</v>
      </c>
      <c r="U91" s="331">
        <f t="shared" si="48"/>
        <v>37.885647714643142</v>
      </c>
      <c r="V91" s="332">
        <f t="shared" si="49"/>
        <v>-130.03436197854742</v>
      </c>
      <c r="W91" s="334">
        <f t="shared" si="50"/>
        <v>49.965638021452577</v>
      </c>
      <c r="Y91" s="307">
        <f t="shared" si="51"/>
        <v>1000000000</v>
      </c>
      <c r="Z91" s="307">
        <f t="shared" si="52"/>
        <v>1737914.89</v>
      </c>
      <c r="AB91" s="333">
        <f t="shared" si="53"/>
        <v>33.319722923929454</v>
      </c>
      <c r="AC91" s="334">
        <f t="shared" si="54"/>
        <v>-71.760263508634395</v>
      </c>
      <c r="AE91" s="333">
        <f t="shared" si="55"/>
        <v>62.138626048162948</v>
      </c>
      <c r="AF91" s="334">
        <f t="shared" si="56"/>
        <v>-58.50814929545502</v>
      </c>
      <c r="AH91">
        <f t="shared" si="57"/>
        <v>0</v>
      </c>
      <c r="AI91">
        <f t="shared" si="61"/>
        <v>0</v>
      </c>
    </row>
    <row r="92" spans="1:35" x14ac:dyDescent="0.25">
      <c r="A92" s="335">
        <v>1445.4</v>
      </c>
      <c r="B92" s="352">
        <f t="shared" si="59"/>
        <v>1.4454</v>
      </c>
      <c r="C92" s="325">
        <f t="shared" si="31"/>
        <v>2.016945097498132</v>
      </c>
      <c r="D92" s="326">
        <f t="shared" si="32"/>
        <v>1.0520413291341613</v>
      </c>
      <c r="E92" s="326">
        <f t="shared" si="33"/>
        <v>1.0000016495499615</v>
      </c>
      <c r="F92" s="327">
        <f t="shared" si="34"/>
        <v>1.8163412090937291E-3</v>
      </c>
      <c r="G92" s="326">
        <f t="shared" si="35"/>
        <v>1</v>
      </c>
      <c r="H92" s="327">
        <f t="shared" si="36"/>
        <v>0</v>
      </c>
      <c r="I92" s="325">
        <f t="shared" si="37"/>
        <v>1918.4303105391612</v>
      </c>
      <c r="J92" s="328">
        <f t="shared" si="38"/>
        <v>1.5702750672840395</v>
      </c>
      <c r="K92" s="336">
        <f t="shared" si="39"/>
        <v>1.0668196959337273</v>
      </c>
      <c r="L92" s="337">
        <f t="shared" si="40"/>
        <v>0.35580745124703689</v>
      </c>
      <c r="M92" s="325">
        <f t="shared" si="41"/>
        <v>1.0000489141073559</v>
      </c>
      <c r="N92" s="337">
        <f t="shared" si="42"/>
        <v>9.8906130865702904E-3</v>
      </c>
      <c r="O92" s="343">
        <f t="shared" si="43"/>
        <v>1.0000352721060612</v>
      </c>
      <c r="P92" s="691">
        <f t="shared" si="44"/>
        <v>8.398936757048418E-3</v>
      </c>
      <c r="Q92" s="336">
        <f t="shared" si="60"/>
        <v>15.124406669469041</v>
      </c>
      <c r="R92" s="692">
        <f t="shared" si="45"/>
        <v>3.9201701017393667E-3</v>
      </c>
      <c r="S92" s="329">
        <f t="shared" si="46"/>
        <v>0.99998395093513526</v>
      </c>
      <c r="T92" s="330">
        <f t="shared" si="47"/>
        <v>1.2394002336435011E-2</v>
      </c>
      <c r="U92" s="331">
        <f t="shared" si="48"/>
        <v>36.58680208516892</v>
      </c>
      <c r="V92" s="332">
        <f t="shared" si="49"/>
        <v>-130.77752823599138</v>
      </c>
      <c r="W92" s="334">
        <f t="shared" si="50"/>
        <v>49.222471764008617</v>
      </c>
      <c r="Y92" s="307">
        <f t="shared" si="51"/>
        <v>1000000000</v>
      </c>
      <c r="Z92" s="307">
        <f t="shared" si="52"/>
        <v>2089181.1600000001</v>
      </c>
      <c r="AB92" s="333">
        <f t="shared" si="53"/>
        <v>32.609699501477103</v>
      </c>
      <c r="AC92" s="334">
        <f t="shared" si="54"/>
        <v>-70.150559221050869</v>
      </c>
      <c r="AE92" s="333">
        <f t="shared" si="55"/>
        <v>61.54976323188496</v>
      </c>
      <c r="AF92" s="334">
        <f t="shared" si="56"/>
        <v>-60.883583442006859</v>
      </c>
      <c r="AH92">
        <f t="shared" si="57"/>
        <v>0</v>
      </c>
      <c r="AI92">
        <f t="shared" si="61"/>
        <v>0</v>
      </c>
    </row>
    <row r="93" spans="1:35" x14ac:dyDescent="0.25">
      <c r="A93" s="335">
        <v>1584.9</v>
      </c>
      <c r="B93" s="352">
        <f t="shared" si="59"/>
        <v>1.5849000000000002</v>
      </c>
      <c r="C93" s="325">
        <f t="shared" si="31"/>
        <v>2.1653782925622012</v>
      </c>
      <c r="D93" s="326">
        <f t="shared" si="32"/>
        <v>1.0907581121664895</v>
      </c>
      <c r="E93" s="326">
        <f t="shared" si="33"/>
        <v>1.0000019833210967</v>
      </c>
      <c r="F93" s="327">
        <f t="shared" si="34"/>
        <v>1.991641443017847E-3</v>
      </c>
      <c r="G93" s="326">
        <f t="shared" si="35"/>
        <v>1</v>
      </c>
      <c r="H93" s="327">
        <f t="shared" si="36"/>
        <v>0</v>
      </c>
      <c r="I93" s="325">
        <f t="shared" si="37"/>
        <v>2103.583872739704</v>
      </c>
      <c r="J93" s="328">
        <f t="shared" si="38"/>
        <v>1.5703209475858129</v>
      </c>
      <c r="K93" s="336">
        <f t="shared" si="39"/>
        <v>1.0798372137443706</v>
      </c>
      <c r="L93" s="337">
        <f t="shared" si="40"/>
        <v>0.38694687517860621</v>
      </c>
      <c r="M93" s="325">
        <f t="shared" si="41"/>
        <v>1.0000588111421003</v>
      </c>
      <c r="N93" s="337">
        <f t="shared" si="42"/>
        <v>1.0845115025006279E-2</v>
      </c>
      <c r="O93" s="343">
        <f t="shared" si="43"/>
        <v>1.000042408945325</v>
      </c>
      <c r="P93" s="691">
        <f t="shared" si="44"/>
        <v>9.2095001616366492E-3</v>
      </c>
      <c r="Q93" s="336">
        <f t="shared" si="60"/>
        <v>15.124429510451739</v>
      </c>
      <c r="R93" s="692">
        <f t="shared" si="45"/>
        <v>4.298513512619213E-3</v>
      </c>
      <c r="S93" s="329">
        <f t="shared" si="46"/>
        <v>0.99998070456992272</v>
      </c>
      <c r="T93" s="330">
        <f t="shared" si="47"/>
        <v>1.3590300154611504E-2</v>
      </c>
      <c r="U93" s="331">
        <f t="shared" si="48"/>
        <v>35.27507124830062</v>
      </c>
      <c r="V93" s="332">
        <f t="shared" si="49"/>
        <v>-131.30273108419391</v>
      </c>
      <c r="W93" s="334">
        <f t="shared" si="50"/>
        <v>48.697268915806092</v>
      </c>
      <c r="Y93" s="307">
        <f t="shared" si="51"/>
        <v>1000000000</v>
      </c>
      <c r="Z93" s="307">
        <f t="shared" si="52"/>
        <v>2511908.0100000002</v>
      </c>
      <c r="AB93" s="333">
        <f t="shared" si="53"/>
        <v>31.91468274056874</v>
      </c>
      <c r="AC93" s="334">
        <f t="shared" si="54"/>
        <v>-68.423719331593887</v>
      </c>
      <c r="AE93" s="333">
        <f t="shared" si="55"/>
        <v>60.933000286014646</v>
      </c>
      <c r="AF93" s="334">
        <f t="shared" si="56"/>
        <v>-63.160390561155332</v>
      </c>
      <c r="AH93">
        <f t="shared" si="57"/>
        <v>0</v>
      </c>
      <c r="AI93">
        <f t="shared" si="61"/>
        <v>0</v>
      </c>
    </row>
    <row r="94" spans="1:35" x14ac:dyDescent="0.25">
      <c r="A94" s="335">
        <v>1737.8</v>
      </c>
      <c r="B94" s="352">
        <f t="shared" si="59"/>
        <v>1.7378</v>
      </c>
      <c r="C94" s="325">
        <f t="shared" si="31"/>
        <v>2.3312972012604685</v>
      </c>
      <c r="D94" s="326">
        <f t="shared" si="32"/>
        <v>1.1274709566589012</v>
      </c>
      <c r="E94" s="326">
        <f t="shared" si="33"/>
        <v>1.0000023844531807</v>
      </c>
      <c r="F94" s="327">
        <f t="shared" si="34"/>
        <v>2.1837804114535103E-3</v>
      </c>
      <c r="G94" s="326">
        <f t="shared" si="35"/>
        <v>1</v>
      </c>
      <c r="H94" s="327">
        <f t="shared" si="36"/>
        <v>0</v>
      </c>
      <c r="I94" s="325">
        <f t="shared" si="37"/>
        <v>2306.52279926758</v>
      </c>
      <c r="J94" s="328">
        <f t="shared" si="38"/>
        <v>1.5703627737289372</v>
      </c>
      <c r="K94" s="336">
        <f t="shared" si="39"/>
        <v>1.0952772207201673</v>
      </c>
      <c r="L94" s="337">
        <f t="shared" si="40"/>
        <v>0.42019143850192042</v>
      </c>
      <c r="M94" s="325">
        <f t="shared" si="41"/>
        <v>1.0000707054491809</v>
      </c>
      <c r="N94" s="337">
        <f t="shared" si="42"/>
        <v>1.1891281123723221E-2</v>
      </c>
      <c r="O94" s="343">
        <f t="shared" si="43"/>
        <v>1.0000509860613906</v>
      </c>
      <c r="P94" s="691">
        <f t="shared" si="44"/>
        <v>1.0097910196628722E-2</v>
      </c>
      <c r="Q94" s="336">
        <f t="shared" si="60"/>
        <v>15.124456961115285</v>
      </c>
      <c r="R94" s="692">
        <f t="shared" si="45"/>
        <v>4.7131982313905535E-3</v>
      </c>
      <c r="S94" s="329">
        <f t="shared" si="46"/>
        <v>0.99997680348216145</v>
      </c>
      <c r="T94" s="330">
        <f t="shared" si="47"/>
        <v>1.4901547607260673E-2</v>
      </c>
      <c r="U94" s="331">
        <f t="shared" si="48"/>
        <v>33.957143692170263</v>
      </c>
      <c r="V94" s="332">
        <f t="shared" si="49"/>
        <v>-131.60076405298369</v>
      </c>
      <c r="W94" s="334">
        <f t="shared" si="50"/>
        <v>48.399235947016308</v>
      </c>
      <c r="Y94" s="307">
        <f t="shared" si="51"/>
        <v>1000000000</v>
      </c>
      <c r="Z94" s="307">
        <f t="shared" si="52"/>
        <v>3019948.84</v>
      </c>
      <c r="AB94" s="333">
        <f t="shared" si="53"/>
        <v>31.237936354437437</v>
      </c>
      <c r="AC94" s="334">
        <f t="shared" si="54"/>
        <v>-66.581283522907768</v>
      </c>
      <c r="AE94" s="333">
        <f t="shared" si="55"/>
        <v>60.291760384385135</v>
      </c>
      <c r="AF94" s="334">
        <f t="shared" si="56"/>
        <v>-65.328001799930192</v>
      </c>
      <c r="AH94">
        <f t="shared" si="57"/>
        <v>0</v>
      </c>
      <c r="AI94">
        <f t="shared" si="61"/>
        <v>0</v>
      </c>
    </row>
    <row r="95" spans="1:35" x14ac:dyDescent="0.25">
      <c r="A95" s="335">
        <v>1905.5</v>
      </c>
      <c r="B95" s="352">
        <f t="shared" si="59"/>
        <v>1.9055</v>
      </c>
      <c r="C95" s="325">
        <f t="shared" si="31"/>
        <v>2.5163870025040662</v>
      </c>
      <c r="D95" s="326">
        <f t="shared" si="32"/>
        <v>1.162119844197935</v>
      </c>
      <c r="E95" s="326">
        <f t="shared" si="33"/>
        <v>1.0000028668634982</v>
      </c>
      <c r="F95" s="327">
        <f t="shared" si="34"/>
        <v>2.3945173413275301E-3</v>
      </c>
      <c r="G95" s="326">
        <f t="shared" si="35"/>
        <v>1</v>
      </c>
      <c r="H95" s="327">
        <f t="shared" si="36"/>
        <v>0</v>
      </c>
      <c r="I95" s="325">
        <f t="shared" si="37"/>
        <v>2529.1052621112517</v>
      </c>
      <c r="J95" s="328">
        <f t="shared" si="38"/>
        <v>1.5704009300350079</v>
      </c>
      <c r="K95" s="336">
        <f t="shared" si="39"/>
        <v>1.1135622152495213</v>
      </c>
      <c r="L95" s="337">
        <f t="shared" si="40"/>
        <v>0.45555048250514862</v>
      </c>
      <c r="M95" s="325">
        <f t="shared" si="41"/>
        <v>1.0000850096249372</v>
      </c>
      <c r="N95" s="337">
        <f t="shared" si="42"/>
        <v>1.3038681158536222E-2</v>
      </c>
      <c r="O95" s="343">
        <f t="shared" si="43"/>
        <v>1.0000613009980246</v>
      </c>
      <c r="P95" s="691">
        <f t="shared" si="44"/>
        <v>1.1072295758167122E-2</v>
      </c>
      <c r="Q95" s="336">
        <f t="shared" si="60"/>
        <v>15.124489973839134</v>
      </c>
      <c r="R95" s="692">
        <f t="shared" si="45"/>
        <v>5.168020689295681E-3</v>
      </c>
      <c r="S95" s="329">
        <f t="shared" si="46"/>
        <v>0.99997211260077745</v>
      </c>
      <c r="T95" s="330">
        <f t="shared" si="47"/>
        <v>1.6339765686961737E-2</v>
      </c>
      <c r="U95" s="331">
        <f t="shared" si="48"/>
        <v>32.637164753194497</v>
      </c>
      <c r="V95" s="332">
        <f t="shared" si="49"/>
        <v>-131.66856317586456</v>
      </c>
      <c r="W95" s="334">
        <f t="shared" si="50"/>
        <v>48.331436824135437</v>
      </c>
      <c r="Y95" s="307">
        <f t="shared" si="51"/>
        <v>1000000000</v>
      </c>
      <c r="Z95" s="307">
        <f t="shared" si="52"/>
        <v>3630930.25</v>
      </c>
      <c r="AB95" s="333">
        <f t="shared" si="53"/>
        <v>30.581437669813305</v>
      </c>
      <c r="AC95" s="334">
        <f t="shared" si="54"/>
        <v>-64.623286906375711</v>
      </c>
      <c r="AE95" s="333">
        <f t="shared" si="55"/>
        <v>59.628209499661054</v>
      </c>
      <c r="AF95" s="334">
        <f t="shared" si="56"/>
        <v>-67.383566312406046</v>
      </c>
      <c r="AH95">
        <f t="shared" si="57"/>
        <v>0</v>
      </c>
      <c r="AI95">
        <f t="shared" si="61"/>
        <v>0</v>
      </c>
    </row>
    <row r="96" spans="1:35" x14ac:dyDescent="0.25">
      <c r="A96" s="335">
        <v>2089.3000000000002</v>
      </c>
      <c r="B96" s="352">
        <f t="shared" si="59"/>
        <v>2.0893000000000002</v>
      </c>
      <c r="C96" s="325">
        <f t="shared" si="31"/>
        <v>2.7222193358781941</v>
      </c>
      <c r="D96" s="326">
        <f t="shared" si="32"/>
        <v>1.1946409962569686</v>
      </c>
      <c r="E96" s="326">
        <f t="shared" si="33"/>
        <v>1.0000034465976813</v>
      </c>
      <c r="F96" s="327">
        <f t="shared" si="34"/>
        <v>2.6254857767965666E-3</v>
      </c>
      <c r="G96" s="326">
        <f t="shared" si="35"/>
        <v>1</v>
      </c>
      <c r="H96" s="327">
        <f t="shared" si="36"/>
        <v>0</v>
      </c>
      <c r="I96" s="325">
        <f t="shared" si="37"/>
        <v>2773.0567067183165</v>
      </c>
      <c r="J96" s="328">
        <f t="shared" si="38"/>
        <v>1.5704357138946083</v>
      </c>
      <c r="K96" s="336">
        <f t="shared" si="39"/>
        <v>1.1351465329422847</v>
      </c>
      <c r="L96" s="337">
        <f t="shared" si="40"/>
        <v>0.49294395538235852</v>
      </c>
      <c r="M96" s="325">
        <f t="shared" si="41"/>
        <v>1.0001021993349908</v>
      </c>
      <c r="N96" s="337">
        <f t="shared" si="42"/>
        <v>1.4296197524502861E-2</v>
      </c>
      <c r="O96" s="343">
        <f t="shared" si="43"/>
        <v>1.0000736967873063</v>
      </c>
      <c r="P96" s="691">
        <f t="shared" si="44"/>
        <v>1.214020276413354E-2</v>
      </c>
      <c r="Q96" s="336">
        <f t="shared" si="60"/>
        <v>15.124529646640532</v>
      </c>
      <c r="R96" s="692">
        <f t="shared" si="45"/>
        <v>5.6665059158626709E-3</v>
      </c>
      <c r="S96" s="329">
        <f t="shared" si="46"/>
        <v>0.9999664763010202</v>
      </c>
      <c r="T96" s="330">
        <f t="shared" si="47"/>
        <v>1.7916122868772179E-2</v>
      </c>
      <c r="U96" s="331">
        <f t="shared" si="48"/>
        <v>31.321152613395064</v>
      </c>
      <c r="V96" s="332">
        <f t="shared" si="49"/>
        <v>-131.50790273740188</v>
      </c>
      <c r="W96" s="334">
        <f t="shared" si="50"/>
        <v>48.492097262598122</v>
      </c>
      <c r="Y96" s="307">
        <f t="shared" si="51"/>
        <v>1000000000</v>
      </c>
      <c r="Z96" s="307">
        <f t="shared" si="52"/>
        <v>4365174.4900000012</v>
      </c>
      <c r="AB96" s="333">
        <f t="shared" si="53"/>
        <v>29.948200281753369</v>
      </c>
      <c r="AC96" s="334">
        <f t="shared" si="54"/>
        <v>-62.554842075599922</v>
      </c>
      <c r="AE96" s="333">
        <f t="shared" si="55"/>
        <v>58.945349870515535</v>
      </c>
      <c r="AF96" s="334">
        <f t="shared" si="56"/>
        <v>-69.323976169478854</v>
      </c>
      <c r="AH96">
        <f t="shared" si="57"/>
        <v>0</v>
      </c>
      <c r="AI96">
        <f t="shared" si="61"/>
        <v>0</v>
      </c>
    </row>
    <row r="97" spans="1:35" x14ac:dyDescent="0.25">
      <c r="A97" s="335">
        <v>2290.9</v>
      </c>
      <c r="B97" s="352">
        <f t="shared" si="59"/>
        <v>2.2909000000000002</v>
      </c>
      <c r="C97" s="325">
        <f t="shared" si="31"/>
        <v>2.9508098801162292</v>
      </c>
      <c r="D97" s="326">
        <f t="shared" si="32"/>
        <v>1.2250594803635528</v>
      </c>
      <c r="E97" s="326">
        <f t="shared" si="33"/>
        <v>1.0000041438220404</v>
      </c>
      <c r="F97" s="327">
        <f t="shared" si="34"/>
        <v>2.8788218878713725E-3</v>
      </c>
      <c r="G97" s="326">
        <f t="shared" si="35"/>
        <v>1</v>
      </c>
      <c r="H97" s="327">
        <f t="shared" si="36"/>
        <v>0</v>
      </c>
      <c r="I97" s="325">
        <f t="shared" si="37"/>
        <v>3040.6334848610659</v>
      </c>
      <c r="J97" s="328">
        <f t="shared" si="38"/>
        <v>1.5704674479533638</v>
      </c>
      <c r="K97" s="336">
        <f t="shared" si="39"/>
        <v>1.1605736140790164</v>
      </c>
      <c r="L97" s="337">
        <f t="shared" si="40"/>
        <v>0.53229837487604226</v>
      </c>
      <c r="M97" s="325">
        <f t="shared" si="41"/>
        <v>1.0001228723705067</v>
      </c>
      <c r="N97" s="337">
        <f t="shared" si="42"/>
        <v>1.5675445159619543E-2</v>
      </c>
      <c r="O97" s="343">
        <f t="shared" si="43"/>
        <v>1.0000886045399076</v>
      </c>
      <c r="P97" s="691">
        <f t="shared" si="44"/>
        <v>1.3311498645794839E-2</v>
      </c>
      <c r="Q97" s="336">
        <f t="shared" si="60"/>
        <v>15.124577359509901</v>
      </c>
      <c r="R97" s="692">
        <f t="shared" si="45"/>
        <v>6.2132635351094612E-3</v>
      </c>
      <c r="S97" s="329">
        <f t="shared" si="46"/>
        <v>0.99995969910080262</v>
      </c>
      <c r="T97" s="330">
        <f t="shared" si="47"/>
        <v>1.9645224886281919E-2</v>
      </c>
      <c r="U97" s="331">
        <f t="shared" si="48"/>
        <v>30.01308662624945</v>
      </c>
      <c r="V97" s="332">
        <f t="shared" si="49"/>
        <v>-131.12552640071888</v>
      </c>
      <c r="W97" s="334">
        <f t="shared" si="50"/>
        <v>48.874473599281117</v>
      </c>
      <c r="Y97" s="307">
        <f t="shared" si="51"/>
        <v>1000000000</v>
      </c>
      <c r="Z97" s="307">
        <f t="shared" si="52"/>
        <v>5248222.8100000005</v>
      </c>
      <c r="AB97" s="333">
        <f t="shared" si="53"/>
        <v>29.340329584461173</v>
      </c>
      <c r="AC97" s="334">
        <f t="shared" si="54"/>
        <v>-60.380843226969411</v>
      </c>
      <c r="AE97" s="333">
        <f t="shared" si="55"/>
        <v>58.245052505130076</v>
      </c>
      <c r="AF97" s="334">
        <f t="shared" si="56"/>
        <v>-71.151382088048038</v>
      </c>
      <c r="AH97">
        <f t="shared" si="57"/>
        <v>0</v>
      </c>
      <c r="AI97">
        <f t="shared" si="61"/>
        <v>0</v>
      </c>
    </row>
    <row r="98" spans="1:35" x14ac:dyDescent="0.25">
      <c r="A98" s="335">
        <v>2511.9</v>
      </c>
      <c r="B98" s="352">
        <f t="shared" si="59"/>
        <v>2.5119000000000002</v>
      </c>
      <c r="C98" s="325">
        <f t="shared" si="31"/>
        <v>3.2040639504437456</v>
      </c>
      <c r="D98" s="326">
        <f t="shared" si="32"/>
        <v>1.2533898585565959</v>
      </c>
      <c r="E98" s="326">
        <f t="shared" si="33"/>
        <v>1.0000049818809074</v>
      </c>
      <c r="F98" s="327">
        <f t="shared" si="34"/>
        <v>3.1565361473576306E-3</v>
      </c>
      <c r="G98" s="326">
        <f t="shared" si="35"/>
        <v>1</v>
      </c>
      <c r="H98" s="327">
        <f t="shared" si="36"/>
        <v>0</v>
      </c>
      <c r="I98" s="325">
        <f t="shared" si="37"/>
        <v>3333.9592217633344</v>
      </c>
      <c r="J98" s="328">
        <f t="shared" si="38"/>
        <v>1.5704963831097829</v>
      </c>
      <c r="K98" s="336">
        <f t="shared" si="39"/>
        <v>1.1904182737516815</v>
      </c>
      <c r="L98" s="337">
        <f t="shared" si="40"/>
        <v>0.57343777925421013</v>
      </c>
      <c r="M98" s="325">
        <f t="shared" si="41"/>
        <v>1.0001477206700713</v>
      </c>
      <c r="N98" s="337">
        <f t="shared" si="42"/>
        <v>1.718734929337791E-2</v>
      </c>
      <c r="O98" s="343">
        <f t="shared" si="43"/>
        <v>1.0001065232753052</v>
      </c>
      <c r="P98" s="691">
        <f t="shared" si="44"/>
        <v>1.4595466430222533E-2</v>
      </c>
      <c r="Q98" s="336">
        <f t="shared" si="60"/>
        <v>15.124634709894536</v>
      </c>
      <c r="R98" s="692">
        <f t="shared" si="45"/>
        <v>6.812631630475274E-3</v>
      </c>
      <c r="S98" s="329">
        <f t="shared" si="46"/>
        <v>0.99995155492439447</v>
      </c>
      <c r="T98" s="330">
        <f t="shared" si="47"/>
        <v>2.1540828684358977E-2</v>
      </c>
      <c r="U98" s="331">
        <f t="shared" si="48"/>
        <v>28.718486255939133</v>
      </c>
      <c r="V98" s="332">
        <f t="shared" si="49"/>
        <v>-130.53338041763755</v>
      </c>
      <c r="W98" s="334">
        <f t="shared" si="50"/>
        <v>49.466619582362455</v>
      </c>
      <c r="Y98" s="307">
        <f t="shared" si="51"/>
        <v>1000000000</v>
      </c>
      <c r="Z98" s="307">
        <f t="shared" si="52"/>
        <v>6309641.6100000003</v>
      </c>
      <c r="AB98" s="333">
        <f t="shared" si="53"/>
        <v>28.760727437624141</v>
      </c>
      <c r="AC98" s="334">
        <f t="shared" si="54"/>
        <v>-58.112012570060955</v>
      </c>
      <c r="AE98" s="333">
        <f t="shared" si="55"/>
        <v>57.529931592357229</v>
      </c>
      <c r="AF98" s="334">
        <f t="shared" si="56"/>
        <v>-72.86729143475921</v>
      </c>
      <c r="AH98">
        <f t="shared" si="57"/>
        <v>0</v>
      </c>
      <c r="AI98">
        <f t="shared" si="61"/>
        <v>0</v>
      </c>
    </row>
    <row r="99" spans="1:35" x14ac:dyDescent="0.25">
      <c r="A99" s="335">
        <v>2754.2</v>
      </c>
      <c r="B99" s="352">
        <f t="shared" si="59"/>
        <v>2.7542</v>
      </c>
      <c r="C99" s="325">
        <f t="shared" si="31"/>
        <v>3.4842302913861083</v>
      </c>
      <c r="D99" s="326">
        <f t="shared" si="32"/>
        <v>1.2796949538666258</v>
      </c>
      <c r="E99" s="326">
        <f t="shared" si="33"/>
        <v>1.0000059893456696</v>
      </c>
      <c r="F99" s="327">
        <f t="shared" si="34"/>
        <v>3.4610159711740791E-3</v>
      </c>
      <c r="G99" s="326">
        <f t="shared" si="35"/>
        <v>1</v>
      </c>
      <c r="H99" s="327">
        <f t="shared" si="36"/>
        <v>0</v>
      </c>
      <c r="I99" s="325">
        <f t="shared" si="37"/>
        <v>3655.5557224017925</v>
      </c>
      <c r="J99" s="328">
        <f t="shared" si="38"/>
        <v>1.5705227705729674</v>
      </c>
      <c r="K99" s="336">
        <f t="shared" si="39"/>
        <v>1.2253340019801551</v>
      </c>
      <c r="L99" s="337">
        <f t="shared" si="40"/>
        <v>0.61615932446572586</v>
      </c>
      <c r="M99" s="325">
        <f t="shared" si="41"/>
        <v>1.0001775910353987</v>
      </c>
      <c r="N99" s="337">
        <f t="shared" si="42"/>
        <v>1.8844880325143584E-2</v>
      </c>
      <c r="O99" s="343">
        <f t="shared" si="43"/>
        <v>1.0001280637132675</v>
      </c>
      <c r="P99" s="691">
        <f t="shared" si="44"/>
        <v>1.6003127683794718E-2</v>
      </c>
      <c r="Q99" s="336">
        <f t="shared" si="60"/>
        <v>15.12470365290822</v>
      </c>
      <c r="R99" s="692">
        <f t="shared" si="45"/>
        <v>7.4697614784770376E-3</v>
      </c>
      <c r="S99" s="329">
        <f t="shared" si="46"/>
        <v>0.9999417673265738</v>
      </c>
      <c r="T99" s="330">
        <f t="shared" si="47"/>
        <v>2.3619275939648826E-2</v>
      </c>
      <c r="U99" s="331">
        <f t="shared" si="48"/>
        <v>27.441590075442722</v>
      </c>
      <c r="V99" s="332">
        <f t="shared" si="49"/>
        <v>-129.74790711048752</v>
      </c>
      <c r="W99" s="334">
        <f t="shared" si="50"/>
        <v>50.252092889512483</v>
      </c>
      <c r="Y99" s="307">
        <f t="shared" si="51"/>
        <v>1000000000</v>
      </c>
      <c r="Z99" s="307">
        <f t="shared" si="52"/>
        <v>7585617.6399999987</v>
      </c>
      <c r="AB99" s="333">
        <f t="shared" si="53"/>
        <v>28.211703534449583</v>
      </c>
      <c r="AC99" s="334">
        <f t="shared" si="54"/>
        <v>-55.760729755281702</v>
      </c>
      <c r="AE99" s="333">
        <f t="shared" si="55"/>
        <v>56.801911832136476</v>
      </c>
      <c r="AF99" s="334">
        <f t="shared" si="56"/>
        <v>-74.476103224368714</v>
      </c>
      <c r="AH99">
        <f t="shared" si="57"/>
        <v>0</v>
      </c>
      <c r="AI99">
        <f t="shared" si="61"/>
        <v>0</v>
      </c>
    </row>
    <row r="100" spans="1:35" x14ac:dyDescent="0.25">
      <c r="A100" s="335">
        <v>3020</v>
      </c>
      <c r="B100" s="352">
        <f t="shared" si="59"/>
        <v>3.02</v>
      </c>
      <c r="C100" s="325">
        <f t="shared" si="31"/>
        <v>3.7939116687583301</v>
      </c>
      <c r="D100" s="326">
        <f t="shared" si="32"/>
        <v>1.3040645483750919</v>
      </c>
      <c r="E100" s="326">
        <f t="shared" si="33"/>
        <v>1.0000072011532537</v>
      </c>
      <c r="F100" s="327">
        <f t="shared" si="34"/>
        <v>3.7950257021632516E-3</v>
      </c>
      <c r="G100" s="326">
        <f t="shared" si="35"/>
        <v>1</v>
      </c>
      <c r="H100" s="327">
        <f t="shared" si="36"/>
        <v>0</v>
      </c>
      <c r="I100" s="325">
        <f t="shared" si="37"/>
        <v>4008.3429715133057</v>
      </c>
      <c r="J100" s="328">
        <f t="shared" si="38"/>
        <v>1.5705468471427111</v>
      </c>
      <c r="K100" s="336">
        <f t="shared" si="39"/>
        <v>1.2660566448014567</v>
      </c>
      <c r="L100" s="337">
        <f t="shared" si="40"/>
        <v>0.6602253020916018</v>
      </c>
      <c r="M100" s="325">
        <f t="shared" si="41"/>
        <v>1.0002135188277446</v>
      </c>
      <c r="N100" s="337">
        <f t="shared" si="42"/>
        <v>2.0663051215021721E-2</v>
      </c>
      <c r="O100" s="343">
        <f t="shared" si="43"/>
        <v>1.0001539725855424</v>
      </c>
      <c r="P100" s="691">
        <f t="shared" si="44"/>
        <v>1.7547240913621379E-2</v>
      </c>
      <c r="Q100" s="336">
        <f t="shared" si="60"/>
        <v>15.124786579223432</v>
      </c>
      <c r="R100" s="692">
        <f t="shared" si="45"/>
        <v>8.1906173929791968E-3</v>
      </c>
      <c r="S100" s="329">
        <f t="shared" si="46"/>
        <v>0.99992999864344978</v>
      </c>
      <c r="T100" s="330">
        <f t="shared" si="47"/>
        <v>2.5899497241683795E-2</v>
      </c>
      <c r="U100" s="331">
        <f t="shared" si="48"/>
        <v>26.185704662842237</v>
      </c>
      <c r="V100" s="332">
        <f t="shared" si="49"/>
        <v>-128.78928102878592</v>
      </c>
      <c r="W100" s="334">
        <f t="shared" si="50"/>
        <v>51.210718971214078</v>
      </c>
      <c r="Y100" s="307">
        <f t="shared" si="51"/>
        <v>1000000000</v>
      </c>
      <c r="Z100" s="307">
        <f t="shared" si="52"/>
        <v>9120400</v>
      </c>
      <c r="AB100" s="333">
        <f t="shared" si="53"/>
        <v>27.695135244409514</v>
      </c>
      <c r="AC100" s="334">
        <f t="shared" si="54"/>
        <v>-53.341488218691737</v>
      </c>
      <c r="AE100" s="333">
        <f t="shared" si="55"/>
        <v>56.06241732290529</v>
      </c>
      <c r="AF100" s="334">
        <f t="shared" si="56"/>
        <v>-75.983887848932355</v>
      </c>
      <c r="AH100">
        <f t="shared" si="57"/>
        <v>0</v>
      </c>
      <c r="AI100">
        <f t="shared" si="61"/>
        <v>0</v>
      </c>
    </row>
    <row r="101" spans="1:35" x14ac:dyDescent="0.25">
      <c r="A101" s="335">
        <v>3311.3</v>
      </c>
      <c r="B101" s="352">
        <f t="shared" si="59"/>
        <v>3.3113000000000001</v>
      </c>
      <c r="C101" s="325">
        <f t="shared" si="31"/>
        <v>4.135483560567808</v>
      </c>
      <c r="D101" s="326">
        <f t="shared" si="32"/>
        <v>1.3265658699162155</v>
      </c>
      <c r="E101" s="326">
        <f t="shared" si="33"/>
        <v>1.0000086573486873</v>
      </c>
      <c r="F101" s="327">
        <f t="shared" si="34"/>
        <v>4.1610782808478696E-3</v>
      </c>
      <c r="G101" s="326">
        <f t="shared" si="35"/>
        <v>1</v>
      </c>
      <c r="H101" s="327">
        <f t="shared" si="36"/>
        <v>0</v>
      </c>
      <c r="I101" s="325">
        <f t="shared" si="37"/>
        <v>4394.9755006937694</v>
      </c>
      <c r="J101" s="328">
        <f t="shared" si="38"/>
        <v>1.5705687942390336</v>
      </c>
      <c r="K101" s="336">
        <f t="shared" si="39"/>
        <v>1.3133226772690134</v>
      </c>
      <c r="L101" s="337">
        <f t="shared" si="40"/>
        <v>0.70528397163115164</v>
      </c>
      <c r="M101" s="325">
        <f t="shared" si="41"/>
        <v>1.0002566906059762</v>
      </c>
      <c r="N101" s="337">
        <f t="shared" si="42"/>
        <v>2.2655494239216135E-2</v>
      </c>
      <c r="O101" s="343">
        <f t="shared" si="43"/>
        <v>1.0001851057096953</v>
      </c>
      <c r="P101" s="691">
        <f t="shared" si="44"/>
        <v>1.9239395040826026E-2</v>
      </c>
      <c r="Q101" s="336">
        <f t="shared" si="60"/>
        <v>15.124886228999545</v>
      </c>
      <c r="R101" s="692">
        <f t="shared" si="45"/>
        <v>8.9806205306605831E-3</v>
      </c>
      <c r="S101" s="329">
        <f t="shared" si="46"/>
        <v>0.99991586249817277</v>
      </c>
      <c r="T101" s="330">
        <f t="shared" si="47"/>
        <v>2.8398727640836088E-2</v>
      </c>
      <c r="U101" s="331">
        <f t="shared" si="48"/>
        <v>24.955431134960826</v>
      </c>
      <c r="V101" s="332">
        <f t="shared" si="49"/>
        <v>-127.68278888428279</v>
      </c>
      <c r="W101" s="334">
        <f t="shared" si="50"/>
        <v>52.317211115717214</v>
      </c>
      <c r="Y101" s="307">
        <f t="shared" si="51"/>
        <v>1000000000</v>
      </c>
      <c r="Z101" s="307">
        <f t="shared" si="52"/>
        <v>10964707.690000001</v>
      </c>
      <c r="AB101" s="333">
        <f t="shared" si="53"/>
        <v>27.213294797322348</v>
      </c>
      <c r="AC101" s="334">
        <f t="shared" si="54"/>
        <v>-50.875232672981213</v>
      </c>
      <c r="AE101" s="333">
        <f t="shared" si="55"/>
        <v>55.313771095933468</v>
      </c>
      <c r="AF101" s="334">
        <f t="shared" si="56"/>
        <v>-77.395340694382085</v>
      </c>
      <c r="AH101">
        <f t="shared" si="57"/>
        <v>0</v>
      </c>
      <c r="AI101">
        <f t="shared" si="61"/>
        <v>0</v>
      </c>
    </row>
    <row r="102" spans="1:35" x14ac:dyDescent="0.25">
      <c r="A102" s="335">
        <v>3630.8</v>
      </c>
      <c r="B102" s="352">
        <f t="shared" si="59"/>
        <v>3.6308000000000002</v>
      </c>
      <c r="C102" s="325">
        <f t="shared" si="31"/>
        <v>4.5121469547840967</v>
      </c>
      <c r="D102" s="326">
        <f t="shared" si="32"/>
        <v>1.347316768268163</v>
      </c>
      <c r="E102" s="326">
        <f t="shared" si="33"/>
        <v>1.0000104085953438</v>
      </c>
      <c r="F102" s="327">
        <f t="shared" si="34"/>
        <v>4.5625661775222709E-3</v>
      </c>
      <c r="G102" s="326">
        <f t="shared" si="35"/>
        <v>1</v>
      </c>
      <c r="H102" s="327">
        <f t="shared" si="36"/>
        <v>0</v>
      </c>
      <c r="I102" s="325">
        <f t="shared" si="37"/>
        <v>4819.0369276178035</v>
      </c>
      <c r="J102" s="328">
        <f t="shared" si="38"/>
        <v>1.5705888164516066</v>
      </c>
      <c r="K102" s="336">
        <f t="shared" si="39"/>
        <v>1.3680044902364787</v>
      </c>
      <c r="L102" s="337">
        <f t="shared" si="40"/>
        <v>0.7510221456329601</v>
      </c>
      <c r="M102" s="325">
        <f t="shared" si="41"/>
        <v>1.0003086073736247</v>
      </c>
      <c r="N102" s="337">
        <f t="shared" si="42"/>
        <v>2.4840613079938834E-2</v>
      </c>
      <c r="O102" s="343">
        <f t="shared" si="43"/>
        <v>1.0002225457378444</v>
      </c>
      <c r="P102" s="691">
        <f t="shared" si="44"/>
        <v>2.1095235173355899E-2</v>
      </c>
      <c r="Q102" s="336">
        <f t="shared" si="60"/>
        <v>15.125006068924824</v>
      </c>
      <c r="R102" s="692">
        <f t="shared" si="45"/>
        <v>9.8470894588063487E-3</v>
      </c>
      <c r="S102" s="329">
        <f t="shared" si="46"/>
        <v>0.99989887072510442</v>
      </c>
      <c r="T102" s="330">
        <f t="shared" si="47"/>
        <v>3.1140234294791902E-2</v>
      </c>
      <c r="U102" s="331">
        <f t="shared" si="48"/>
        <v>23.752506383385949</v>
      </c>
      <c r="V102" s="332">
        <f t="shared" si="49"/>
        <v>-126.4548551265882</v>
      </c>
      <c r="W102" s="334">
        <f t="shared" si="50"/>
        <v>53.5451448734118</v>
      </c>
      <c r="Y102" s="307">
        <f t="shared" si="51"/>
        <v>1000000000</v>
      </c>
      <c r="Z102" s="307">
        <f t="shared" si="52"/>
        <v>13182708.640000001</v>
      </c>
      <c r="AB102" s="333">
        <f t="shared" si="53"/>
        <v>26.767089657162675</v>
      </c>
      <c r="AC102" s="334">
        <f t="shared" si="54"/>
        <v>-48.380973612777375</v>
      </c>
      <c r="AE102" s="333">
        <f t="shared" si="55"/>
        <v>54.55679517199804</v>
      </c>
      <c r="AF102" s="334">
        <f t="shared" si="56"/>
        <v>-78.718352791339086</v>
      </c>
      <c r="AH102">
        <f t="shared" si="57"/>
        <v>0</v>
      </c>
      <c r="AI102">
        <f t="shared" si="61"/>
        <v>0</v>
      </c>
    </row>
    <row r="103" spans="1:35" x14ac:dyDescent="0.25">
      <c r="A103" s="335">
        <v>3981.1</v>
      </c>
      <c r="B103" s="352">
        <f t="shared" si="59"/>
        <v>3.9811000000000001</v>
      </c>
      <c r="C103" s="325">
        <f t="shared" si="31"/>
        <v>4.9269954201664765</v>
      </c>
      <c r="D103" s="326">
        <f t="shared" si="32"/>
        <v>1.3664129062991035</v>
      </c>
      <c r="E103" s="326">
        <f t="shared" si="33"/>
        <v>1.0000125139146128</v>
      </c>
      <c r="F103" s="327">
        <f t="shared" si="34"/>
        <v>5.0027560635419379E-3</v>
      </c>
      <c r="G103" s="326">
        <f t="shared" si="35"/>
        <v>1</v>
      </c>
      <c r="H103" s="327">
        <f t="shared" si="36"/>
        <v>0</v>
      </c>
      <c r="I103" s="325">
        <f t="shared" si="37"/>
        <v>5283.9781433971648</v>
      </c>
      <c r="J103" s="328">
        <f t="shared" si="38"/>
        <v>1.5706070754432007</v>
      </c>
      <c r="K103" s="336">
        <f t="shared" si="39"/>
        <v>1.4309788674290997</v>
      </c>
      <c r="L103" s="337">
        <f t="shared" si="40"/>
        <v>0.79704655477334263</v>
      </c>
      <c r="M103" s="325">
        <f t="shared" si="41"/>
        <v>1.0003710173920786</v>
      </c>
      <c r="N103" s="337">
        <f t="shared" si="42"/>
        <v>2.7236105330870692E-2</v>
      </c>
      <c r="O103" s="343">
        <f t="shared" si="43"/>
        <v>1.0002675537415853</v>
      </c>
      <c r="P103" s="691">
        <f t="shared" si="44"/>
        <v>2.312981197638236E-2</v>
      </c>
      <c r="Q103" s="336">
        <f t="shared" si="60"/>
        <v>15.125150137488916</v>
      </c>
      <c r="R103" s="692">
        <f t="shared" si="45"/>
        <v>1.079707022562631E-2</v>
      </c>
      <c r="S103" s="329">
        <f t="shared" si="46"/>
        <v>0.99987845594466185</v>
      </c>
      <c r="T103" s="330">
        <f t="shared" si="47"/>
        <v>3.414646183762024E-2</v>
      </c>
      <c r="U103" s="331">
        <f t="shared" si="48"/>
        <v>22.579388533123858</v>
      </c>
      <c r="V103" s="332">
        <f t="shared" si="49"/>
        <v>-125.13515695237183</v>
      </c>
      <c r="W103" s="334">
        <f t="shared" si="50"/>
        <v>54.86484304762817</v>
      </c>
      <c r="Y103" s="307">
        <f t="shared" si="51"/>
        <v>1000000000</v>
      </c>
      <c r="Z103" s="307">
        <f t="shared" si="52"/>
        <v>15849157.209999999</v>
      </c>
      <c r="AB103" s="333">
        <f t="shared" si="53"/>
        <v>26.35744653518454</v>
      </c>
      <c r="AC103" s="334">
        <f t="shared" si="54"/>
        <v>-45.88226697058613</v>
      </c>
      <c r="AE103" s="333">
        <f t="shared" si="55"/>
        <v>53.793012339295046</v>
      </c>
      <c r="AF103" s="334">
        <f t="shared" si="56"/>
        <v>-79.959504034736227</v>
      </c>
      <c r="AH103">
        <f t="shared" si="57"/>
        <v>0</v>
      </c>
      <c r="AI103">
        <f t="shared" si="61"/>
        <v>0</v>
      </c>
    </row>
    <row r="104" spans="1:35" x14ac:dyDescent="0.25">
      <c r="A104" s="335">
        <v>4365.2</v>
      </c>
      <c r="B104" s="352">
        <f t="shared" si="59"/>
        <v>4.3651999999999997</v>
      </c>
      <c r="C104" s="325">
        <f t="shared" si="31"/>
        <v>5.3836031233274371</v>
      </c>
      <c r="D104" s="326">
        <f t="shared" si="32"/>
        <v>1.3839620451738317</v>
      </c>
      <c r="E104" s="326">
        <f t="shared" si="33"/>
        <v>1.0000150450888714</v>
      </c>
      <c r="F104" s="327">
        <f t="shared" si="34"/>
        <v>5.4854170752813292E-3</v>
      </c>
      <c r="G104" s="326">
        <f t="shared" si="35"/>
        <v>1</v>
      </c>
      <c r="H104" s="327">
        <f t="shared" si="36"/>
        <v>0</v>
      </c>
      <c r="I104" s="325">
        <f t="shared" si="37"/>
        <v>5793.7809454834023</v>
      </c>
      <c r="J104" s="328">
        <f t="shared" si="38"/>
        <v>1.5706237279316717</v>
      </c>
      <c r="K104" s="336">
        <f t="shared" si="39"/>
        <v>1.5032029870876007</v>
      </c>
      <c r="L104" s="337">
        <f t="shared" si="40"/>
        <v>0.84297287307328306</v>
      </c>
      <c r="M104" s="325">
        <f t="shared" si="41"/>
        <v>1.0004460464622436</v>
      </c>
      <c r="N104" s="337">
        <f t="shared" si="42"/>
        <v>2.9862375238883233E-2</v>
      </c>
      <c r="O104" s="343">
        <f t="shared" si="43"/>
        <v>1.000321663216595</v>
      </c>
      <c r="P104" s="691">
        <f t="shared" si="44"/>
        <v>2.5360481760722194E-2</v>
      </c>
      <c r="Q104" s="336">
        <f t="shared" si="60"/>
        <v>15.125323346213257</v>
      </c>
      <c r="R104" s="692">
        <f t="shared" si="45"/>
        <v>1.183869192691967E-2</v>
      </c>
      <c r="S104" s="329">
        <f t="shared" si="46"/>
        <v>0.99985392973658582</v>
      </c>
      <c r="T104" s="330">
        <f t="shared" si="47"/>
        <v>3.7443333681963571E-2</v>
      </c>
      <c r="U104" s="331">
        <f t="shared" si="48"/>
        <v>21.437192003342183</v>
      </c>
      <c r="V104" s="332">
        <f t="shared" si="49"/>
        <v>-123.7538076007139</v>
      </c>
      <c r="W104" s="334">
        <f t="shared" si="50"/>
        <v>56.246192399286102</v>
      </c>
      <c r="Y104" s="307">
        <f t="shared" si="51"/>
        <v>1000000000</v>
      </c>
      <c r="Z104" s="307">
        <f t="shared" si="52"/>
        <v>19054971.039999999</v>
      </c>
      <c r="AB104" s="333">
        <f t="shared" si="53"/>
        <v>25.984462133529213</v>
      </c>
      <c r="AC104" s="334">
        <f t="shared" si="54"/>
        <v>-43.402311059490451</v>
      </c>
      <c r="AE104" s="333">
        <f t="shared" si="55"/>
        <v>53.023429828319465</v>
      </c>
      <c r="AF104" s="334">
        <f t="shared" si="56"/>
        <v>-81.126238031048501</v>
      </c>
      <c r="AH104">
        <f t="shared" si="57"/>
        <v>0</v>
      </c>
      <c r="AI104">
        <f t="shared" si="61"/>
        <v>0</v>
      </c>
    </row>
    <row r="105" spans="1:35" x14ac:dyDescent="0.25">
      <c r="A105" s="335">
        <v>4786.3</v>
      </c>
      <c r="B105" s="352">
        <f t="shared" si="59"/>
        <v>4.7862999999999998</v>
      </c>
      <c r="C105" s="325">
        <f t="shared" si="31"/>
        <v>5.885790498268781</v>
      </c>
      <c r="D105" s="326">
        <f t="shared" si="32"/>
        <v>1.4000674107364681</v>
      </c>
      <c r="E105" s="326">
        <f t="shared" si="33"/>
        <v>1.000018087795371</v>
      </c>
      <c r="F105" s="327">
        <f t="shared" si="34"/>
        <v>6.0145694334542907E-3</v>
      </c>
      <c r="G105" s="326">
        <f t="shared" si="35"/>
        <v>1</v>
      </c>
      <c r="H105" s="327">
        <f t="shared" si="36"/>
        <v>0</v>
      </c>
      <c r="I105" s="325">
        <f t="shared" si="37"/>
        <v>6352.6925845054275</v>
      </c>
      <c r="J105" s="328">
        <f t="shared" si="38"/>
        <v>1.5706389132272121</v>
      </c>
      <c r="K105" s="336">
        <f t="shared" si="39"/>
        <v>1.5856752151028515</v>
      </c>
      <c r="L105" s="337">
        <f t="shared" si="40"/>
        <v>0.88841077998553064</v>
      </c>
      <c r="M105" s="325">
        <f t="shared" si="41"/>
        <v>1.0005362311761745</v>
      </c>
      <c r="N105" s="337">
        <f t="shared" si="42"/>
        <v>3.2741156542623197E-2</v>
      </c>
      <c r="O105" s="343">
        <f t="shared" si="43"/>
        <v>1.0003867041376604</v>
      </c>
      <c r="P105" s="691">
        <f t="shared" si="44"/>
        <v>2.7805739048864662E-2</v>
      </c>
      <c r="Q105" s="336">
        <f t="shared" si="60"/>
        <v>15.125531557141068</v>
      </c>
      <c r="R105" s="692">
        <f t="shared" si="45"/>
        <v>1.2980623757310409E-2</v>
      </c>
      <c r="S105" s="329">
        <f t="shared" si="46"/>
        <v>0.99982447295260191</v>
      </c>
      <c r="T105" s="330">
        <f t="shared" si="47"/>
        <v>4.105855087088512E-2</v>
      </c>
      <c r="U105" s="331">
        <f t="shared" si="48"/>
        <v>20.326518075860921</v>
      </c>
      <c r="V105" s="332">
        <f t="shared" si="49"/>
        <v>-122.3411322916091</v>
      </c>
      <c r="W105" s="334">
        <f t="shared" si="50"/>
        <v>57.6588677083909</v>
      </c>
      <c r="Y105" s="307">
        <f t="shared" si="51"/>
        <v>1000000000</v>
      </c>
      <c r="Z105" s="307">
        <f t="shared" si="52"/>
        <v>22908667.690000001</v>
      </c>
      <c r="AB105" s="333">
        <f t="shared" si="53"/>
        <v>25.64769596947173</v>
      </c>
      <c r="AC105" s="334">
        <f t="shared" si="54"/>
        <v>-40.964722832915598</v>
      </c>
      <c r="AE105" s="333">
        <f t="shared" si="55"/>
        <v>52.249076893333992</v>
      </c>
      <c r="AF105" s="334">
        <f t="shared" si="56"/>
        <v>-82.225825996665023</v>
      </c>
      <c r="AH105">
        <f t="shared" si="57"/>
        <v>0</v>
      </c>
      <c r="AI105">
        <f t="shared" si="61"/>
        <v>0</v>
      </c>
    </row>
    <row r="106" spans="1:35" x14ac:dyDescent="0.25">
      <c r="A106" s="335">
        <v>5248.1</v>
      </c>
      <c r="B106" s="352">
        <f t="shared" si="59"/>
        <v>5.2481</v>
      </c>
      <c r="C106" s="325">
        <f t="shared" si="31"/>
        <v>6.4379829249016156</v>
      </c>
      <c r="D106" s="326">
        <f t="shared" si="32"/>
        <v>1.4148366968614545</v>
      </c>
      <c r="E106" s="326">
        <f t="shared" si="33"/>
        <v>1.0000217464921615</v>
      </c>
      <c r="F106" s="327">
        <f t="shared" si="34"/>
        <v>6.594861344588282E-3</v>
      </c>
      <c r="G106" s="326">
        <f t="shared" si="35"/>
        <v>1</v>
      </c>
      <c r="H106" s="327">
        <f t="shared" si="36"/>
        <v>0</v>
      </c>
      <c r="I106" s="325">
        <f t="shared" si="37"/>
        <v>6965.6239440168065</v>
      </c>
      <c r="J106" s="328">
        <f t="shared" si="38"/>
        <v>1.5706527646371529</v>
      </c>
      <c r="K106" s="336">
        <f t="shared" si="39"/>
        <v>1.6794899738245439</v>
      </c>
      <c r="L106" s="337">
        <f t="shared" si="40"/>
        <v>0.9330094336989857</v>
      </c>
      <c r="M106" s="325">
        <f t="shared" si="41"/>
        <v>1.0006446632187016</v>
      </c>
      <c r="N106" s="337">
        <f t="shared" si="42"/>
        <v>3.5897550990509522E-2</v>
      </c>
      <c r="O106" s="343">
        <f t="shared" si="43"/>
        <v>1.0004649071356144</v>
      </c>
      <c r="P106" s="691">
        <f t="shared" si="44"/>
        <v>3.0486951028391877E-2</v>
      </c>
      <c r="Q106" s="336">
        <f t="shared" si="60"/>
        <v>15.125781917032262</v>
      </c>
      <c r="R106" s="692">
        <f t="shared" si="45"/>
        <v>1.4232887803218991E-2</v>
      </c>
      <c r="S106" s="329">
        <f t="shared" si="46"/>
        <v>0.99978909028251517</v>
      </c>
      <c r="T106" s="330">
        <f t="shared" si="47"/>
        <v>4.5024187529471328E-2</v>
      </c>
      <c r="U106" s="331">
        <f t="shared" si="48"/>
        <v>19.246770615449069</v>
      </c>
      <c r="V106" s="332">
        <f t="shared" si="49"/>
        <v>-120.92577040978608</v>
      </c>
      <c r="W106" s="334">
        <f t="shared" si="50"/>
        <v>59.074229590213918</v>
      </c>
      <c r="Y106" s="307">
        <f t="shared" si="51"/>
        <v>1000000000</v>
      </c>
      <c r="Z106" s="307">
        <f t="shared" si="52"/>
        <v>27542553.610000003</v>
      </c>
      <c r="AB106" s="333">
        <f t="shared" si="53"/>
        <v>25.345974555649235</v>
      </c>
      <c r="AC106" s="334">
        <f t="shared" si="54"/>
        <v>-38.591049908129172</v>
      </c>
      <c r="AE106" s="333">
        <f t="shared" si="55"/>
        <v>51.470515642102725</v>
      </c>
      <c r="AF106" s="334">
        <f t="shared" si="56"/>
        <v>-83.26600972546224</v>
      </c>
      <c r="AH106">
        <f t="shared" si="57"/>
        <v>0</v>
      </c>
      <c r="AI106">
        <f t="shared" si="61"/>
        <v>0</v>
      </c>
    </row>
    <row r="107" spans="1:35" x14ac:dyDescent="0.25">
      <c r="A107" s="335">
        <v>5370.3</v>
      </c>
      <c r="B107" s="352">
        <f t="shared" si="59"/>
        <v>5.3703000000000003</v>
      </c>
      <c r="C107" s="325">
        <f t="shared" si="31"/>
        <v>6.58431231520564</v>
      </c>
      <c r="D107" s="326">
        <f t="shared" si="32"/>
        <v>1.4183301607043195</v>
      </c>
      <c r="E107" s="326">
        <f t="shared" si="33"/>
        <v>1.0000227709883616</v>
      </c>
      <c r="F107" s="327">
        <f t="shared" si="34"/>
        <v>6.7484155580010054E-3</v>
      </c>
      <c r="G107" s="326">
        <f t="shared" si="35"/>
        <v>1</v>
      </c>
      <c r="H107" s="327">
        <f t="shared" si="36"/>
        <v>0</v>
      </c>
      <c r="I107" s="325">
        <f t="shared" si="37"/>
        <v>7127.8158284350066</v>
      </c>
      <c r="J107" s="328">
        <f t="shared" si="38"/>
        <v>1.5706560313625579</v>
      </c>
      <c r="K107" s="336">
        <f t="shared" si="39"/>
        <v>1.7048347955409717</v>
      </c>
      <c r="L107" s="337">
        <f t="shared" si="40"/>
        <v>0.94398269442797011</v>
      </c>
      <c r="M107" s="325">
        <f t="shared" si="41"/>
        <v>1.0006750239667948</v>
      </c>
      <c r="N107" s="337">
        <f t="shared" si="42"/>
        <v>3.6732668591497854E-2</v>
      </c>
      <c r="O107" s="343">
        <f t="shared" si="43"/>
        <v>1.000486804236792</v>
      </c>
      <c r="P107" s="691">
        <f t="shared" si="44"/>
        <v>3.1196372764211971E-2</v>
      </c>
      <c r="Q107" s="336">
        <f t="shared" si="60"/>
        <v>15.125852021404867</v>
      </c>
      <c r="R107" s="692">
        <f t="shared" si="45"/>
        <v>1.456425081000535E-2</v>
      </c>
      <c r="S107" s="329">
        <f t="shared" si="46"/>
        <v>0.99977918989953074</v>
      </c>
      <c r="T107" s="330">
        <f t="shared" si="47"/>
        <v>4.6073749044710816E-2</v>
      </c>
      <c r="U107" s="331">
        <f t="shared" si="48"/>
        <v>18.98170859061252</v>
      </c>
      <c r="V107" s="332">
        <f t="shared" si="49"/>
        <v>-120.57492176693357</v>
      </c>
      <c r="W107" s="334">
        <f t="shared" si="50"/>
        <v>59.425078233066429</v>
      </c>
      <c r="Y107" s="307">
        <f t="shared" si="51"/>
        <v>1000000000</v>
      </c>
      <c r="Z107" s="307">
        <f t="shared" si="52"/>
        <v>28840122.090000004</v>
      </c>
      <c r="AB107" s="333">
        <f t="shared" si="53"/>
        <v>25.27587981546592</v>
      </c>
      <c r="AC107" s="334">
        <f t="shared" si="54"/>
        <v>-38.01036426371045</v>
      </c>
      <c r="AE107" s="333">
        <f t="shared" si="55"/>
        <v>51.275398509030595</v>
      </c>
      <c r="AF107" s="334">
        <f t="shared" si="56"/>
        <v>-83.51750789663491</v>
      </c>
      <c r="AH107">
        <f t="shared" si="57"/>
        <v>0</v>
      </c>
      <c r="AI107">
        <f t="shared" si="61"/>
        <v>0</v>
      </c>
    </row>
    <row r="108" spans="1:35" x14ac:dyDescent="0.25">
      <c r="A108" s="335">
        <v>5432.85</v>
      </c>
      <c r="B108" s="352">
        <f t="shared" si="59"/>
        <v>5.4328500000000002</v>
      </c>
      <c r="C108" s="325">
        <f t="shared" si="31"/>
        <v>6.6592433846423695</v>
      </c>
      <c r="D108" s="326">
        <f t="shared" si="32"/>
        <v>1.4200589283511593</v>
      </c>
      <c r="E108" s="326">
        <f t="shared" si="33"/>
        <v>1.0000233045166442</v>
      </c>
      <c r="F108" s="327">
        <f t="shared" si="34"/>
        <v>6.8270145846533814E-3</v>
      </c>
      <c r="G108" s="326">
        <f t="shared" si="35"/>
        <v>1</v>
      </c>
      <c r="H108" s="327">
        <f t="shared" si="36"/>
        <v>0</v>
      </c>
      <c r="I108" s="325">
        <f t="shared" si="37"/>
        <v>7210.8363061259452</v>
      </c>
      <c r="J108" s="328">
        <f t="shared" si="38"/>
        <v>1.5706576466251143</v>
      </c>
      <c r="K108" s="336">
        <f t="shared" si="39"/>
        <v>1.7178856000195781</v>
      </c>
      <c r="L108" s="337">
        <f t="shared" si="40"/>
        <v>0.94947390944509857</v>
      </c>
      <c r="M108" s="325">
        <f t="shared" si="41"/>
        <v>1.0006908346225225</v>
      </c>
      <c r="N108" s="337">
        <f t="shared" si="42"/>
        <v>3.7160116965380997E-2</v>
      </c>
      <c r="O108" s="343">
        <f t="shared" si="43"/>
        <v>1.0004982074391298</v>
      </c>
      <c r="P108" s="691">
        <f t="shared" si="44"/>
        <v>3.1559489375389216E-2</v>
      </c>
      <c r="Q108" s="336">
        <f t="shared" si="60"/>
        <v>15.125888529654437</v>
      </c>
      <c r="R108" s="692">
        <f t="shared" si="45"/>
        <v>1.4733863018450638E-2</v>
      </c>
      <c r="S108" s="329">
        <f t="shared" si="46"/>
        <v>0.99977403533802045</v>
      </c>
      <c r="T108" s="330">
        <f t="shared" si="47"/>
        <v>4.6611015360590813E-2</v>
      </c>
      <c r="U108" s="331">
        <f t="shared" si="48"/>
        <v>18.849064929903328</v>
      </c>
      <c r="V108" s="332">
        <f t="shared" si="49"/>
        <v>-120.39912566156528</v>
      </c>
      <c r="W108" s="334">
        <f t="shared" si="50"/>
        <v>59.600874338434721</v>
      </c>
      <c r="Y108" s="307">
        <f t="shared" si="51"/>
        <v>1000000000</v>
      </c>
      <c r="Z108" s="307">
        <f t="shared" si="52"/>
        <v>29515859.122500002</v>
      </c>
      <c r="AB108" s="333">
        <f t="shared" si="53"/>
        <v>25.24139801035501</v>
      </c>
      <c r="AC108" s="334">
        <f t="shared" si="54"/>
        <v>-37.720324354009229</v>
      </c>
      <c r="AE108" s="333">
        <f t="shared" si="55"/>
        <v>51.177158619753591</v>
      </c>
      <c r="AF108" s="334">
        <f t="shared" si="56"/>
        <v>-83.642838686574265</v>
      </c>
      <c r="AH108">
        <f t="shared" si="57"/>
        <v>0</v>
      </c>
      <c r="AI108">
        <f t="shared" si="61"/>
        <v>0</v>
      </c>
    </row>
    <row r="109" spans="1:35" x14ac:dyDescent="0.25">
      <c r="A109" s="335">
        <v>5495.4</v>
      </c>
      <c r="B109" s="352">
        <f t="shared" si="59"/>
        <v>5.4954000000000001</v>
      </c>
      <c r="C109" s="325">
        <f t="shared" si="31"/>
        <v>6.7341939132111239</v>
      </c>
      <c r="D109" s="326">
        <f t="shared" si="32"/>
        <v>1.4217492191275076</v>
      </c>
      <c r="E109" s="326">
        <f t="shared" si="33"/>
        <v>1.0000238442228713</v>
      </c>
      <c r="F109" s="327">
        <f t="shared" si="34"/>
        <v>6.9056135269525802E-3</v>
      </c>
      <c r="G109" s="326">
        <f t="shared" si="35"/>
        <v>1</v>
      </c>
      <c r="H109" s="327">
        <f t="shared" si="36"/>
        <v>0</v>
      </c>
      <c r="I109" s="325">
        <f t="shared" si="37"/>
        <v>7293.8567838352674</v>
      </c>
      <c r="J109" s="328">
        <f t="shared" si="38"/>
        <v>1.5706592251170368</v>
      </c>
      <c r="K109" s="336">
        <f t="shared" si="39"/>
        <v>1.7309874226633644</v>
      </c>
      <c r="L109" s="337">
        <f t="shared" si="40"/>
        <v>0.95488215961348066</v>
      </c>
      <c r="M109" s="325">
        <f t="shared" si="41"/>
        <v>1.0007068281107896</v>
      </c>
      <c r="N109" s="337">
        <f t="shared" si="42"/>
        <v>3.7587551754235955E-2</v>
      </c>
      <c r="O109" s="343">
        <f t="shared" si="43"/>
        <v>1.0005097425578142</v>
      </c>
      <c r="P109" s="691">
        <f t="shared" si="44"/>
        <v>3.1922597661524332E-2</v>
      </c>
      <c r="Q109" s="336">
        <f t="shared" si="60"/>
        <v>15.125925460578355</v>
      </c>
      <c r="R109" s="692">
        <f t="shared" si="45"/>
        <v>1.4903474415544548E-2</v>
      </c>
      <c r="S109" s="329">
        <f t="shared" si="46"/>
        <v>0.99976882197778272</v>
      </c>
      <c r="T109" s="330">
        <f t="shared" si="47"/>
        <v>4.7148303456260442E-2</v>
      </c>
      <c r="U109" s="331">
        <f t="shared" si="48"/>
        <v>18.718401989126225</v>
      </c>
      <c r="V109" s="332">
        <f t="shared" si="49"/>
        <v>-120.22587732765193</v>
      </c>
      <c r="W109" s="334">
        <f t="shared" si="50"/>
        <v>59.774122672348071</v>
      </c>
      <c r="Y109" s="307">
        <f t="shared" si="51"/>
        <v>1000000000</v>
      </c>
      <c r="Z109" s="307">
        <f t="shared" si="52"/>
        <v>30199421.159999996</v>
      </c>
      <c r="AB109" s="333">
        <f t="shared" si="53"/>
        <v>25.207820752305203</v>
      </c>
      <c r="AC109" s="334">
        <f t="shared" si="54"/>
        <v>-37.435035094827633</v>
      </c>
      <c r="AE109" s="333">
        <f t="shared" si="55"/>
        <v>51.079994001914073</v>
      </c>
      <c r="AF109" s="334">
        <f t="shared" si="56"/>
        <v>-83.765966166946171</v>
      </c>
      <c r="AH109">
        <f t="shared" si="57"/>
        <v>0</v>
      </c>
      <c r="AI109">
        <f t="shared" si="61"/>
        <v>0</v>
      </c>
    </row>
    <row r="110" spans="1:35" x14ac:dyDescent="0.25">
      <c r="A110" s="335">
        <v>5559.4</v>
      </c>
      <c r="B110" s="352">
        <f t="shared" si="59"/>
        <v>5.5593999999999992</v>
      </c>
      <c r="C110" s="325">
        <f t="shared" si="31"/>
        <v>6.8109013750063898</v>
      </c>
      <c r="D110" s="326">
        <f t="shared" si="32"/>
        <v>1.4234401831913355</v>
      </c>
      <c r="E110" s="326">
        <f t="shared" si="33"/>
        <v>1.0000244028346883</v>
      </c>
      <c r="F110" s="327">
        <f t="shared" si="34"/>
        <v>6.9860344187610808E-3</v>
      </c>
      <c r="G110" s="326">
        <f t="shared" si="35"/>
        <v>1</v>
      </c>
      <c r="H110" s="327">
        <f t="shared" si="36"/>
        <v>0</v>
      </c>
      <c r="I110" s="325">
        <f t="shared" si="37"/>
        <v>7378.801797017466</v>
      </c>
      <c r="J110" s="328">
        <f t="shared" si="38"/>
        <v>1.5706608034361496</v>
      </c>
      <c r="K110" s="336">
        <f t="shared" si="39"/>
        <v>1.7444445714713082</v>
      </c>
      <c r="L110" s="337">
        <f t="shared" si="40"/>
        <v>0.96033153253587034</v>
      </c>
      <c r="M110" s="325">
        <f t="shared" si="41"/>
        <v>1.0007233815813896</v>
      </c>
      <c r="N110" s="337">
        <f t="shared" si="42"/>
        <v>3.8024880880061111E-2</v>
      </c>
      <c r="O110" s="343">
        <f t="shared" si="43"/>
        <v>1.0005216816113822</v>
      </c>
      <c r="P110" s="691">
        <f t="shared" si="44"/>
        <v>3.2294114609667503E-2</v>
      </c>
      <c r="Q110" s="336">
        <f t="shared" si="60"/>
        <v>15.125963685096808</v>
      </c>
      <c r="R110" s="692">
        <f t="shared" si="45"/>
        <v>1.507701680206305E-2</v>
      </c>
      <c r="S110" s="329">
        <f t="shared" si="46"/>
        <v>0.9997634269372957</v>
      </c>
      <c r="T110" s="330">
        <f t="shared" si="47"/>
        <v>4.7698069475613968E-2</v>
      </c>
      <c r="U110" s="331">
        <f t="shared" si="48"/>
        <v>18.586705239214282</v>
      </c>
      <c r="V110" s="332">
        <f t="shared" si="49"/>
        <v>-120.05123229447533</v>
      </c>
      <c r="W110" s="334">
        <f t="shared" si="50"/>
        <v>59.948767705524673</v>
      </c>
      <c r="Y110" s="307">
        <f t="shared" si="51"/>
        <v>1000000000</v>
      </c>
      <c r="Z110" s="307">
        <f t="shared" si="52"/>
        <v>30906928.359999996</v>
      </c>
      <c r="AB110" s="333">
        <f t="shared" si="53"/>
        <v>25.174370054231112</v>
      </c>
      <c r="AC110" s="334">
        <f t="shared" si="54"/>
        <v>-37.147956569245622</v>
      </c>
      <c r="AE110" s="333">
        <f t="shared" si="55"/>
        <v>50.981666252191644</v>
      </c>
      <c r="AF110" s="334">
        <f t="shared" si="56"/>
        <v>-83.889742766196591</v>
      </c>
      <c r="AH110">
        <f t="shared" si="57"/>
        <v>0</v>
      </c>
      <c r="AI110">
        <f t="shared" si="61"/>
        <v>0</v>
      </c>
    </row>
    <row r="111" spans="1:35" x14ac:dyDescent="0.25">
      <c r="A111" s="335">
        <v>5623.4</v>
      </c>
      <c r="B111" s="352">
        <f t="shared" si="59"/>
        <v>5.6233999999999993</v>
      </c>
      <c r="C111" s="325">
        <f t="shared" si="31"/>
        <v>6.8876278778031574</v>
      </c>
      <c r="D111" s="326">
        <f t="shared" si="32"/>
        <v>1.4250934780366766</v>
      </c>
      <c r="E111" s="326">
        <f t="shared" si="33"/>
        <v>1.0000249679141757</v>
      </c>
      <c r="F111" s="327">
        <f t="shared" si="34"/>
        <v>7.0664552202035812E-3</v>
      </c>
      <c r="G111" s="326">
        <f t="shared" si="35"/>
        <v>1</v>
      </c>
      <c r="H111" s="327">
        <f t="shared" si="36"/>
        <v>0</v>
      </c>
      <c r="I111" s="325">
        <f t="shared" si="37"/>
        <v>7463.746810217629</v>
      </c>
      <c r="J111" s="328">
        <f t="shared" si="38"/>
        <v>1.5706623458295157</v>
      </c>
      <c r="K111" s="336">
        <f t="shared" si="39"/>
        <v>1.7579527287353924</v>
      </c>
      <c r="L111" s="337">
        <f t="shared" si="40"/>
        <v>0.96569731650412893</v>
      </c>
      <c r="M111" s="325">
        <f t="shared" si="41"/>
        <v>1.0007401264407523</v>
      </c>
      <c r="N111" s="337">
        <f t="shared" si="42"/>
        <v>3.8462195454325797E-2</v>
      </c>
      <c r="O111" s="343">
        <f t="shared" si="43"/>
        <v>1.0005337587584913</v>
      </c>
      <c r="P111" s="691">
        <f t="shared" si="44"/>
        <v>3.2665622640144568E-2</v>
      </c>
      <c r="Q111" s="336">
        <f t="shared" si="60"/>
        <v>15.126002352106564</v>
      </c>
      <c r="R111" s="692">
        <f t="shared" si="45"/>
        <v>1.5250558319409259E-2</v>
      </c>
      <c r="S111" s="329">
        <f t="shared" si="46"/>
        <v>0.99975797040599224</v>
      </c>
      <c r="T111" s="330">
        <f t="shared" si="47"/>
        <v>4.8247858826195832E-2</v>
      </c>
      <c r="U111" s="331">
        <f t="shared" si="48"/>
        <v>18.456972472902855</v>
      </c>
      <c r="V111" s="332">
        <f t="shared" si="49"/>
        <v>-119.87921717931707</v>
      </c>
      <c r="W111" s="334">
        <f t="shared" si="50"/>
        <v>60.120782820682933</v>
      </c>
      <c r="Y111" s="307">
        <f t="shared" si="51"/>
        <v>1000000000</v>
      </c>
      <c r="Z111" s="307">
        <f t="shared" si="52"/>
        <v>31622627.559999995</v>
      </c>
      <c r="AB111" s="333">
        <f t="shared" si="53"/>
        <v>25.141804004915244</v>
      </c>
      <c r="AC111" s="334">
        <f t="shared" si="54"/>
        <v>-36.865664445818034</v>
      </c>
      <c r="AE111" s="333">
        <f t="shared" si="55"/>
        <v>50.884416893761681</v>
      </c>
      <c r="AF111" s="334">
        <f t="shared" si="56"/>
        <v>-84.011362420166208</v>
      </c>
      <c r="AH111">
        <f t="shared" si="57"/>
        <v>0</v>
      </c>
      <c r="AI111">
        <f t="shared" si="61"/>
        <v>0</v>
      </c>
    </row>
    <row r="112" spans="1:35" x14ac:dyDescent="0.25">
      <c r="A112" s="335">
        <v>5688.9</v>
      </c>
      <c r="B112" s="352">
        <f t="shared" si="59"/>
        <v>5.6888999999999994</v>
      </c>
      <c r="C112" s="325">
        <f t="shared" si="31"/>
        <v>6.9661717171068398</v>
      </c>
      <c r="D112" s="326">
        <f t="shared" si="32"/>
        <v>1.4267478076877997</v>
      </c>
      <c r="E112" s="326">
        <f t="shared" si="33"/>
        <v>1.0000255529345281</v>
      </c>
      <c r="F112" s="327">
        <f t="shared" si="34"/>
        <v>7.1487607895267856E-3</v>
      </c>
      <c r="G112" s="326">
        <f t="shared" si="35"/>
        <v>1</v>
      </c>
      <c r="H112" s="327">
        <f t="shared" si="36"/>
        <v>0</v>
      </c>
      <c r="I112" s="325">
        <f t="shared" si="37"/>
        <v>7550.6827221826361</v>
      </c>
      <c r="J112" s="328">
        <f t="shared" si="38"/>
        <v>1.5706638884393576</v>
      </c>
      <c r="K112" s="336">
        <f t="shared" si="39"/>
        <v>1.7718290817260911</v>
      </c>
      <c r="L112" s="337">
        <f t="shared" si="40"/>
        <v>0.97110398684632115</v>
      </c>
      <c r="M112" s="325">
        <f t="shared" si="41"/>
        <v>1.0007574619175708</v>
      </c>
      <c r="N112" s="337">
        <f t="shared" si="42"/>
        <v>3.8909744348009076E-2</v>
      </c>
      <c r="O112" s="343">
        <f t="shared" si="43"/>
        <v>1.0005462619448378</v>
      </c>
      <c r="P112" s="691">
        <f t="shared" si="44"/>
        <v>3.3045828549785099E-2</v>
      </c>
      <c r="Q112" s="336">
        <f t="shared" si="60"/>
        <v>15.126042383539991</v>
      </c>
      <c r="R112" s="692">
        <f t="shared" si="45"/>
        <v>1.5428166305668393E-2</v>
      </c>
      <c r="S112" s="329">
        <f t="shared" si="46"/>
        <v>0.99975232235296085</v>
      </c>
      <c r="T112" s="330">
        <f t="shared" si="47"/>
        <v>4.8810558302205174E-2</v>
      </c>
      <c r="U112" s="331">
        <f t="shared" si="48"/>
        <v>18.326177904468064</v>
      </c>
      <c r="V112" s="332">
        <f t="shared" si="49"/>
        <v>-119.70587147940176</v>
      </c>
      <c r="W112" s="334">
        <f t="shared" si="50"/>
        <v>60.294128520598235</v>
      </c>
      <c r="Y112" s="307">
        <f t="shared" si="51"/>
        <v>1000000000</v>
      </c>
      <c r="Z112" s="307">
        <f t="shared" si="52"/>
        <v>32363583.209999997</v>
      </c>
      <c r="AB112" s="333">
        <f t="shared" si="53"/>
        <v>25.109359739472165</v>
      </c>
      <c r="AC112" s="334">
        <f t="shared" si="54"/>
        <v>-36.58161610143447</v>
      </c>
      <c r="AE112" s="333">
        <f t="shared" si="55"/>
        <v>50.785981035532771</v>
      </c>
      <c r="AF112" s="334">
        <f t="shared" si="56"/>
        <v>-84.133673070595577</v>
      </c>
      <c r="AH112">
        <f t="shared" si="57"/>
        <v>0</v>
      </c>
      <c r="AI112">
        <f t="shared" si="61"/>
        <v>0</v>
      </c>
    </row>
    <row r="113" spans="1:35" x14ac:dyDescent="0.25">
      <c r="A113" s="335">
        <v>5754.4</v>
      </c>
      <c r="B113" s="352">
        <f t="shared" si="59"/>
        <v>5.7543999999999995</v>
      </c>
      <c r="C113" s="325">
        <f t="shared" si="31"/>
        <v>7.0447341963210146</v>
      </c>
      <c r="D113" s="326">
        <f t="shared" si="32"/>
        <v>1.4283652437013359</v>
      </c>
      <c r="E113" s="326">
        <f t="shared" si="33"/>
        <v>1.0000261447292524</v>
      </c>
      <c r="F113" s="327">
        <f t="shared" si="34"/>
        <v>7.2310662619940866E-3</v>
      </c>
      <c r="G113" s="326">
        <f t="shared" si="35"/>
        <v>1</v>
      </c>
      <c r="H113" s="327">
        <f t="shared" si="36"/>
        <v>0</v>
      </c>
      <c r="I113" s="325">
        <f t="shared" si="37"/>
        <v>7637.6186341652028</v>
      </c>
      <c r="J113" s="328">
        <f t="shared" si="38"/>
        <v>1.5706653959313963</v>
      </c>
      <c r="K113" s="336">
        <f t="shared" si="39"/>
        <v>1.7857564231562835</v>
      </c>
      <c r="L113" s="337">
        <f t="shared" si="40"/>
        <v>0.97642647614408939</v>
      </c>
      <c r="M113" s="325">
        <f t="shared" si="41"/>
        <v>1.0007749978391534</v>
      </c>
      <c r="N113" s="337">
        <f t="shared" si="42"/>
        <v>3.935727764712129E-2</v>
      </c>
      <c r="O113" s="343">
        <f t="shared" si="43"/>
        <v>1.0005589097630567</v>
      </c>
      <c r="P113" s="691">
        <f t="shared" si="44"/>
        <v>3.3426024902206232E-2</v>
      </c>
      <c r="Q113" s="336">
        <f t="shared" si="60"/>
        <v>15.126082878442341</v>
      </c>
      <c r="R113" s="692">
        <f t="shared" si="45"/>
        <v>1.5605773360348145E-2</v>
      </c>
      <c r="S113" s="329">
        <f t="shared" si="46"/>
        <v>0.99974660996489462</v>
      </c>
      <c r="T113" s="330">
        <f t="shared" si="47"/>
        <v>4.9373282783855749E-2</v>
      </c>
      <c r="U113" s="331">
        <f t="shared" si="48"/>
        <v>18.197331259592715</v>
      </c>
      <c r="V113" s="332">
        <f t="shared" si="49"/>
        <v>-119.53523417520029</v>
      </c>
      <c r="W113" s="334">
        <f t="shared" si="50"/>
        <v>60.464765824799713</v>
      </c>
      <c r="Y113" s="307">
        <f t="shared" si="51"/>
        <v>1000000000</v>
      </c>
      <c r="Z113" s="307">
        <f t="shared" si="52"/>
        <v>33113119.359999996</v>
      </c>
      <c r="AB113" s="333">
        <f t="shared" si="53"/>
        <v>25.077780497276546</v>
      </c>
      <c r="AC113" s="334">
        <f t="shared" si="54"/>
        <v>-36.302388070011901</v>
      </c>
      <c r="AE113" s="333">
        <f t="shared" si="55"/>
        <v>50.688627089495526</v>
      </c>
      <c r="AF113" s="334">
        <f t="shared" si="56"/>
        <v>-84.253871309565085</v>
      </c>
      <c r="AH113">
        <f t="shared" si="57"/>
        <v>0</v>
      </c>
      <c r="AI113">
        <f t="shared" si="61"/>
        <v>0</v>
      </c>
    </row>
    <row r="114" spans="1:35" x14ac:dyDescent="0.25">
      <c r="A114" s="335">
        <v>5821.4</v>
      </c>
      <c r="B114" s="352">
        <f t="shared" si="59"/>
        <v>5.8213999999999997</v>
      </c>
      <c r="C114" s="325">
        <f t="shared" si="31"/>
        <v>7.1251144585902404</v>
      </c>
      <c r="D114" s="326">
        <f t="shared" si="32"/>
        <v>1.4299828131731147</v>
      </c>
      <c r="E114" s="326">
        <f t="shared" si="33"/>
        <v>1.0000267570853707</v>
      </c>
      <c r="F114" s="327">
        <f t="shared" si="34"/>
        <v>7.3152564912387519E-3</v>
      </c>
      <c r="G114" s="326">
        <f t="shared" si="35"/>
        <v>1</v>
      </c>
      <c r="H114" s="327">
        <f t="shared" si="36"/>
        <v>0</v>
      </c>
      <c r="I114" s="325">
        <f t="shared" si="37"/>
        <v>7726.5454449130093</v>
      </c>
      <c r="J114" s="328">
        <f t="shared" si="38"/>
        <v>1.5706669028485909</v>
      </c>
      <c r="K114" s="336">
        <f t="shared" si="39"/>
        <v>1.8000542307995859</v>
      </c>
      <c r="L114" s="337">
        <f t="shared" si="40"/>
        <v>0.98178548610185179</v>
      </c>
      <c r="M114" s="325">
        <f t="shared" si="41"/>
        <v>1.0007931427185732</v>
      </c>
      <c r="N114" s="337">
        <f t="shared" si="42"/>
        <v>3.9815043480029441E-2</v>
      </c>
      <c r="O114" s="343">
        <f t="shared" si="43"/>
        <v>1.000571996858318</v>
      </c>
      <c r="P114" s="691">
        <f t="shared" si="44"/>
        <v>3.3814918039090411E-2</v>
      </c>
      <c r="Q114" s="336">
        <f t="shared" si="60"/>
        <v>15.126124780216129</v>
      </c>
      <c r="R114" s="692">
        <f t="shared" si="45"/>
        <v>1.5787446777162168E-2</v>
      </c>
      <c r="S114" s="329">
        <f t="shared" si="46"/>
        <v>0.99974070023548955</v>
      </c>
      <c r="T114" s="330">
        <f t="shared" si="47"/>
        <v>4.9948920256305249E-2</v>
      </c>
      <c r="U114" s="331">
        <f t="shared" si="48"/>
        <v>18.067494799735019</v>
      </c>
      <c r="V114" s="332">
        <f t="shared" si="49"/>
        <v>-119.36346485358111</v>
      </c>
      <c r="W114" s="334">
        <f t="shared" si="50"/>
        <v>60.636535146418893</v>
      </c>
      <c r="Y114" s="307">
        <f t="shared" si="51"/>
        <v>1000000000</v>
      </c>
      <c r="Z114" s="307">
        <f t="shared" si="52"/>
        <v>33888697.959999993</v>
      </c>
      <c r="AB114" s="333">
        <f t="shared" si="53"/>
        <v>25.046342503315863</v>
      </c>
      <c r="AC114" s="334">
        <f t="shared" si="54"/>
        <v>-36.021653806969006</v>
      </c>
      <c r="AE114" s="333">
        <f t="shared" si="55"/>
        <v>50.590139076104336</v>
      </c>
      <c r="AF114" s="334">
        <f t="shared" si="56"/>
        <v>-84.374709066394274</v>
      </c>
      <c r="AH114">
        <f t="shared" si="57"/>
        <v>0</v>
      </c>
      <c r="AI114">
        <f t="shared" si="61"/>
        <v>0</v>
      </c>
    </row>
    <row r="115" spans="1:35" x14ac:dyDescent="0.25">
      <c r="A115" s="335">
        <v>5888.4</v>
      </c>
      <c r="B115" s="352">
        <f t="shared" si="59"/>
        <v>5.8883999999999999</v>
      </c>
      <c r="C115" s="325">
        <f t="shared" si="31"/>
        <v>7.2055129479727293</v>
      </c>
      <c r="D115" s="326">
        <f t="shared" si="32"/>
        <v>1.4315642893061467</v>
      </c>
      <c r="E115" s="326">
        <f t="shared" si="33"/>
        <v>1.0000273765296648</v>
      </c>
      <c r="F115" s="327">
        <f t="shared" si="34"/>
        <v>7.3994466167806973E-3</v>
      </c>
      <c r="G115" s="326">
        <f t="shared" si="35"/>
        <v>1</v>
      </c>
      <c r="H115" s="327">
        <f t="shared" si="36"/>
        <v>0</v>
      </c>
      <c r="I115" s="325">
        <f t="shared" si="37"/>
        <v>7815.4722556779625</v>
      </c>
      <c r="J115" s="328">
        <f t="shared" si="38"/>
        <v>1.5706683754734647</v>
      </c>
      <c r="K115" s="336">
        <f t="shared" si="39"/>
        <v>1.814402918577608</v>
      </c>
      <c r="L115" s="337">
        <f t="shared" si="40"/>
        <v>0.98705988514565624</v>
      </c>
      <c r="M115" s="325">
        <f t="shared" si="41"/>
        <v>1.000811497306124</v>
      </c>
      <c r="N115" s="337">
        <f t="shared" si="42"/>
        <v>4.0272792618275197E-2</v>
      </c>
      <c r="O115" s="343">
        <f t="shared" si="43"/>
        <v>1.000585235273987</v>
      </c>
      <c r="P115" s="691">
        <f t="shared" si="44"/>
        <v>3.4203800944151562E-2</v>
      </c>
      <c r="Q115" s="336">
        <f t="shared" si="60"/>
        <v>15.126167166921567</v>
      </c>
      <c r="R115" s="692">
        <f t="shared" si="45"/>
        <v>1.5969119196559686E-2</v>
      </c>
      <c r="S115" s="329">
        <f t="shared" si="46"/>
        <v>0.99973472326948354</v>
      </c>
      <c r="T115" s="330">
        <f t="shared" si="47"/>
        <v>5.0524584500730774E-2</v>
      </c>
      <c r="U115" s="331">
        <f t="shared" si="48"/>
        <v>17.939587918917791</v>
      </c>
      <c r="V115" s="332">
        <f t="shared" si="49"/>
        <v>-119.19447453187345</v>
      </c>
      <c r="W115" s="334">
        <f t="shared" si="50"/>
        <v>60.805525468126547</v>
      </c>
      <c r="Y115" s="307">
        <f t="shared" si="51"/>
        <v>1000000000</v>
      </c>
      <c r="Z115" s="307">
        <f t="shared" si="52"/>
        <v>34673254.559999995</v>
      </c>
      <c r="AB115" s="333">
        <f t="shared" si="53"/>
        <v>25.015748884789055</v>
      </c>
      <c r="AC115" s="334">
        <f t="shared" si="54"/>
        <v>-35.745764470863222</v>
      </c>
      <c r="AE115" s="333">
        <f t="shared" si="55"/>
        <v>50.492735232617321</v>
      </c>
      <c r="AF115" s="334">
        <f t="shared" si="56"/>
        <v>-84.49348036710532</v>
      </c>
      <c r="AH115">
        <f t="shared" si="57"/>
        <v>0</v>
      </c>
      <c r="AI115">
        <f t="shared" si="61"/>
        <v>0</v>
      </c>
    </row>
    <row r="116" spans="1:35" x14ac:dyDescent="0.25">
      <c r="A116" s="335">
        <v>5957</v>
      </c>
      <c r="B116" s="352">
        <f t="shared" si="59"/>
        <v>5.9569999999999999</v>
      </c>
      <c r="C116" s="325">
        <f t="shared" si="31"/>
        <v>7.287849656509767</v>
      </c>
      <c r="D116" s="326">
        <f t="shared" si="32"/>
        <v>1.4331473748967516</v>
      </c>
      <c r="E116" s="326">
        <f t="shared" si="33"/>
        <v>1.0000280181107459</v>
      </c>
      <c r="F116" s="327">
        <f t="shared" si="34"/>
        <v>7.4856471440901242E-3</v>
      </c>
      <c r="G116" s="326">
        <f t="shared" si="35"/>
        <v>1</v>
      </c>
      <c r="H116" s="327">
        <f t="shared" si="36"/>
        <v>0</v>
      </c>
      <c r="I116" s="325">
        <f t="shared" si="37"/>
        <v>7906.522691791778</v>
      </c>
      <c r="J116" s="328">
        <f t="shared" si="38"/>
        <v>1.5706698489434254</v>
      </c>
      <c r="K116" s="336">
        <f t="shared" si="39"/>
        <v>1.8291457282826893</v>
      </c>
      <c r="L116" s="337">
        <f t="shared" si="40"/>
        <v>0.99237435086480641</v>
      </c>
      <c r="M116" s="325">
        <f t="shared" si="41"/>
        <v>1.0008305074799928</v>
      </c>
      <c r="N116" s="337">
        <f t="shared" si="42"/>
        <v>4.074145558241337E-2</v>
      </c>
      <c r="O116" s="343">
        <f t="shared" si="43"/>
        <v>1.0005989466086407</v>
      </c>
      <c r="P116" s="691">
        <f t="shared" si="44"/>
        <v>3.4601959881489203E-2</v>
      </c>
      <c r="Q116" s="336">
        <f t="shared" si="60"/>
        <v>15.126211068283196</v>
      </c>
      <c r="R116" s="692">
        <f t="shared" si="45"/>
        <v>1.615512901638742E-2</v>
      </c>
      <c r="S116" s="329">
        <f t="shared" si="46"/>
        <v>0.99972853394805994</v>
      </c>
      <c r="T116" s="330">
        <f t="shared" si="47"/>
        <v>5.1114024010596469E-2</v>
      </c>
      <c r="U116" s="331">
        <f t="shared" si="48"/>
        <v>17.81057156474948</v>
      </c>
      <c r="V116" s="332">
        <f t="shared" si="49"/>
        <v>-119.02429725274975</v>
      </c>
      <c r="W116" s="334">
        <f t="shared" si="50"/>
        <v>60.975702747250253</v>
      </c>
      <c r="Y116" s="307">
        <f t="shared" si="51"/>
        <v>1000000000</v>
      </c>
      <c r="Z116" s="307">
        <f t="shared" si="52"/>
        <v>35485849</v>
      </c>
      <c r="AB116" s="333">
        <f t="shared" si="53"/>
        <v>24.985269407216776</v>
      </c>
      <c r="AC116" s="334">
        <f t="shared" si="54"/>
        <v>-35.468204847940996</v>
      </c>
      <c r="AE116" s="333">
        <f t="shared" si="55"/>
        <v>50.394104540770343</v>
      </c>
      <c r="AF116" s="334">
        <f t="shared" si="56"/>
        <v>-84.613017959978492</v>
      </c>
      <c r="AH116">
        <f t="shared" si="57"/>
        <v>0</v>
      </c>
      <c r="AI116">
        <f t="shared" si="61"/>
        <v>0</v>
      </c>
    </row>
    <row r="117" spans="1:35" x14ac:dyDescent="0.25">
      <c r="A117" s="335">
        <v>6025.6</v>
      </c>
      <c r="B117" s="352">
        <f t="shared" si="59"/>
        <v>6.0256000000000007</v>
      </c>
      <c r="C117" s="325">
        <f t="shared" si="31"/>
        <v>7.3702042214512096</v>
      </c>
      <c r="D117" s="326">
        <f t="shared" si="32"/>
        <v>1.4346950855391645</v>
      </c>
      <c r="E117" s="326">
        <f t="shared" si="33"/>
        <v>1.0000286671225569</v>
      </c>
      <c r="F117" s="327">
        <f t="shared" si="34"/>
        <v>7.5718475601529514E-3</v>
      </c>
      <c r="G117" s="326">
        <f t="shared" si="35"/>
        <v>1</v>
      </c>
      <c r="H117" s="327">
        <f t="shared" si="36"/>
        <v>0</v>
      </c>
      <c r="I117" s="325">
        <f t="shared" si="37"/>
        <v>7997.5731279223683</v>
      </c>
      <c r="J117" s="328">
        <f t="shared" si="38"/>
        <v>1.5706712888631877</v>
      </c>
      <c r="K117" s="336">
        <f t="shared" si="39"/>
        <v>1.8439393726087199</v>
      </c>
      <c r="L117" s="337">
        <f t="shared" si="40"/>
        <v>0.99760368801777688</v>
      </c>
      <c r="M117" s="325">
        <f t="shared" si="41"/>
        <v>1.0008497374728733</v>
      </c>
      <c r="N117" s="337">
        <f t="shared" si="42"/>
        <v>4.1210100640016178E-2</v>
      </c>
      <c r="O117" s="343">
        <f t="shared" si="43"/>
        <v>1.000612816564423</v>
      </c>
      <c r="P117" s="691">
        <f t="shared" si="44"/>
        <v>3.5000107843814632E-2</v>
      </c>
      <c r="Q117" s="336">
        <f t="shared" si="60"/>
        <v>15.126255478005245</v>
      </c>
      <c r="R117" s="692">
        <f t="shared" si="45"/>
        <v>1.634113776626037E-2</v>
      </c>
      <c r="S117" s="329">
        <f t="shared" si="46"/>
        <v>0.99972227422692495</v>
      </c>
      <c r="T117" s="330">
        <f t="shared" si="47"/>
        <v>5.1703492238473335E-2</v>
      </c>
      <c r="U117" s="331">
        <f t="shared" si="48"/>
        <v>17.683469903003171</v>
      </c>
      <c r="V117" s="332">
        <f t="shared" si="49"/>
        <v>-118.85696991701464</v>
      </c>
      <c r="W117" s="334">
        <f t="shared" si="50"/>
        <v>61.143030082985362</v>
      </c>
      <c r="Y117" s="307">
        <f t="shared" si="51"/>
        <v>1000000000</v>
      </c>
      <c r="Z117" s="307">
        <f t="shared" si="52"/>
        <v>36307855.360000007</v>
      </c>
      <c r="AB117" s="333">
        <f t="shared" si="53"/>
        <v>24.95561516485737</v>
      </c>
      <c r="AC117" s="334">
        <f t="shared" si="54"/>
        <v>-35.195519784328766</v>
      </c>
      <c r="AE117" s="333">
        <f t="shared" si="55"/>
        <v>50.296562222682184</v>
      </c>
      <c r="AF117" s="334">
        <f t="shared" si="56"/>
        <v>-84.730530369412236</v>
      </c>
      <c r="AH117">
        <f t="shared" si="57"/>
        <v>0</v>
      </c>
      <c r="AI117">
        <f t="shared" si="61"/>
        <v>0</v>
      </c>
    </row>
    <row r="118" spans="1:35" x14ac:dyDescent="0.25">
      <c r="A118" s="335">
        <v>6095.8</v>
      </c>
      <c r="B118" s="352">
        <f t="shared" si="59"/>
        <v>6.0958000000000006</v>
      </c>
      <c r="C118" s="325">
        <f t="shared" si="31"/>
        <v>7.4544974611042143</v>
      </c>
      <c r="D118" s="326">
        <f t="shared" si="32"/>
        <v>1.4362434878085939</v>
      </c>
      <c r="E118" s="326">
        <f t="shared" si="33"/>
        <v>1.0000293389643722</v>
      </c>
      <c r="F118" s="327">
        <f t="shared" si="34"/>
        <v>7.6600583650415473E-3</v>
      </c>
      <c r="G118" s="326">
        <f t="shared" si="35"/>
        <v>1</v>
      </c>
      <c r="H118" s="327">
        <f t="shared" si="36"/>
        <v>0</v>
      </c>
      <c r="I118" s="325">
        <f t="shared" si="37"/>
        <v>8090.7471894022265</v>
      </c>
      <c r="J118" s="328">
        <f t="shared" si="38"/>
        <v>1.5706727288157314</v>
      </c>
      <c r="K118" s="336">
        <f t="shared" si="39"/>
        <v>1.8591294190241436</v>
      </c>
      <c r="L118" s="337">
        <f t="shared" si="40"/>
        <v>1.0028686877155162</v>
      </c>
      <c r="M118" s="325">
        <f t="shared" si="41"/>
        <v>1.0008696435347502</v>
      </c>
      <c r="N118" s="337">
        <f t="shared" si="42"/>
        <v>4.1689657443029014E-2</v>
      </c>
      <c r="O118" s="343">
        <f t="shared" si="43"/>
        <v>1.0006271742245345</v>
      </c>
      <c r="P118" s="691">
        <f t="shared" si="44"/>
        <v>3.540753056280966E-2</v>
      </c>
      <c r="Q118" s="336">
        <f t="shared" si="60"/>
        <v>15.126301449801788</v>
      </c>
      <c r="R118" s="692">
        <f t="shared" si="45"/>
        <v>1.6531483792111386E-2</v>
      </c>
      <c r="S118" s="329">
        <f t="shared" si="46"/>
        <v>0.99971579567110924</v>
      </c>
      <c r="T118" s="330">
        <f t="shared" si="47"/>
        <v>5.2306739071122002E-2</v>
      </c>
      <c r="U118" s="331">
        <f t="shared" si="48"/>
        <v>17.555332009466653</v>
      </c>
      <c r="V118" s="332">
        <f t="shared" si="49"/>
        <v>-118.68865546642387</v>
      </c>
      <c r="W118" s="334">
        <f t="shared" si="50"/>
        <v>61.311344533576133</v>
      </c>
      <c r="Y118" s="307">
        <f t="shared" si="51"/>
        <v>1000000000</v>
      </c>
      <c r="Z118" s="307">
        <f t="shared" si="52"/>
        <v>37158777.640000001</v>
      </c>
      <c r="AB118" s="333">
        <f t="shared" si="53"/>
        <v>24.92609389943274</v>
      </c>
      <c r="AC118" s="334">
        <f t="shared" si="54"/>
        <v>-34.921416606250318</v>
      </c>
      <c r="AE118" s="333">
        <f t="shared" si="55"/>
        <v>50.197847360952359</v>
      </c>
      <c r="AF118" s="334">
        <f t="shared" si="56"/>
        <v>-84.848756675261953</v>
      </c>
      <c r="AH118">
        <f t="shared" si="57"/>
        <v>0</v>
      </c>
      <c r="AI118">
        <f t="shared" si="61"/>
        <v>0</v>
      </c>
    </row>
    <row r="119" spans="1:35" x14ac:dyDescent="0.25">
      <c r="A119" s="335">
        <v>6166</v>
      </c>
      <c r="B119" s="352">
        <f t="shared" si="59"/>
        <v>6.1660000000000004</v>
      </c>
      <c r="C119" s="325">
        <f t="shared" si="31"/>
        <v>7.5388081735857595</v>
      </c>
      <c r="D119" s="326">
        <f t="shared" si="32"/>
        <v>1.4377572603410937</v>
      </c>
      <c r="E119" s="326">
        <f t="shared" si="33"/>
        <v>1.0000300185875517</v>
      </c>
      <c r="F119" s="327">
        <f t="shared" si="34"/>
        <v>7.748269050719906E-3</v>
      </c>
      <c r="G119" s="326">
        <f t="shared" si="35"/>
        <v>1</v>
      </c>
      <c r="H119" s="327">
        <f t="shared" si="36"/>
        <v>0</v>
      </c>
      <c r="I119" s="325">
        <f t="shared" si="37"/>
        <v>8183.9212508984774</v>
      </c>
      <c r="J119" s="328">
        <f t="shared" si="38"/>
        <v>1.5706741359805143</v>
      </c>
      <c r="K119" s="336">
        <f t="shared" si="39"/>
        <v>1.8743701647987019</v>
      </c>
      <c r="L119" s="337">
        <f t="shared" si="40"/>
        <v>1.0080482082697668</v>
      </c>
      <c r="M119" s="325">
        <f t="shared" si="41"/>
        <v>1.0008897797621639</v>
      </c>
      <c r="N119" s="337">
        <f t="shared" si="42"/>
        <v>4.2169195060558988E-2</v>
      </c>
      <c r="O119" s="343">
        <f t="shared" si="43"/>
        <v>1.0006416979772421</v>
      </c>
      <c r="P119" s="691">
        <f t="shared" si="44"/>
        <v>3.5814941522406281E-2</v>
      </c>
      <c r="Q119" s="336">
        <f t="shared" si="60"/>
        <v>15.126347953939369</v>
      </c>
      <c r="R119" s="692">
        <f t="shared" si="45"/>
        <v>1.6721828671435762E-2</v>
      </c>
      <c r="S119" s="329">
        <f t="shared" si="46"/>
        <v>0.99970924348825629</v>
      </c>
      <c r="T119" s="330">
        <f t="shared" si="47"/>
        <v>5.2910016675890424E-2</v>
      </c>
      <c r="U119" s="331">
        <f t="shared" si="48"/>
        <v>17.429091605753513</v>
      </c>
      <c r="V119" s="332">
        <f t="shared" si="49"/>
        <v>-118.52325387239114</v>
      </c>
      <c r="W119" s="334">
        <f t="shared" si="50"/>
        <v>61.476746127608862</v>
      </c>
      <c r="Y119" s="307">
        <f t="shared" si="51"/>
        <v>1000000000</v>
      </c>
      <c r="Z119" s="307">
        <f t="shared" si="52"/>
        <v>38019556</v>
      </c>
      <c r="AB119" s="333">
        <f t="shared" si="53"/>
        <v>24.897377728514087</v>
      </c>
      <c r="AC119" s="334">
        <f t="shared" si="54"/>
        <v>-34.652208044488248</v>
      </c>
      <c r="AE119" s="333">
        <f t="shared" si="55"/>
        <v>50.100223760193288</v>
      </c>
      <c r="AF119" s="334">
        <f t="shared" si="56"/>
        <v>-84.965000613280509</v>
      </c>
      <c r="AH119">
        <f t="shared" si="57"/>
        <v>0</v>
      </c>
      <c r="AI119">
        <f t="shared" si="61"/>
        <v>0</v>
      </c>
    </row>
    <row r="120" spans="1:35" x14ac:dyDescent="0.25">
      <c r="A120" s="335">
        <v>6237.8</v>
      </c>
      <c r="B120" s="352">
        <f t="shared" si="59"/>
        <v>6.2378</v>
      </c>
      <c r="C120" s="325">
        <f t="shared" si="31"/>
        <v>7.6250579683606059</v>
      </c>
      <c r="D120" s="326">
        <f t="shared" si="32"/>
        <v>1.4392709023562797</v>
      </c>
      <c r="E120" s="326">
        <f t="shared" si="33"/>
        <v>1.0000307217501159</v>
      </c>
      <c r="F120" s="327">
        <f t="shared" si="34"/>
        <v>7.8384901116094041E-3</v>
      </c>
      <c r="G120" s="326">
        <f t="shared" si="35"/>
        <v>1</v>
      </c>
      <c r="H120" s="327">
        <f t="shared" si="36"/>
        <v>0</v>
      </c>
      <c r="I120" s="325">
        <f t="shared" si="37"/>
        <v>8279.2189377443592</v>
      </c>
      <c r="J120" s="328">
        <f t="shared" si="38"/>
        <v>1.5706755424540124</v>
      </c>
      <c r="K120" s="336">
        <f t="shared" si="39"/>
        <v>1.8900094454289802</v>
      </c>
      <c r="L120" s="337">
        <f t="shared" si="40"/>
        <v>1.0132592261735396</v>
      </c>
      <c r="M120" s="325">
        <f t="shared" si="41"/>
        <v>1.0009106130146785</v>
      </c>
      <c r="N120" s="337">
        <f t="shared" si="42"/>
        <v>4.2659642235355559E-2</v>
      </c>
      <c r="O120" s="343">
        <f t="shared" si="43"/>
        <v>1.00065672456223</v>
      </c>
      <c r="P120" s="691">
        <f t="shared" si="44"/>
        <v>3.6231625896964166E-2</v>
      </c>
      <c r="Q120" s="336">
        <f t="shared" si="60"/>
        <v>15.126396068674199</v>
      </c>
      <c r="R120" s="692">
        <f t="shared" si="45"/>
        <v>1.6916510695818825E-2</v>
      </c>
      <c r="S120" s="329">
        <f t="shared" si="46"/>
        <v>0.99970246585549005</v>
      </c>
      <c r="T120" s="330">
        <f t="shared" si="47"/>
        <v>5.3527076398093634E-2</v>
      </c>
      <c r="U120" s="331">
        <f t="shared" si="48"/>
        <v>17.301883199522777</v>
      </c>
      <c r="V120" s="332">
        <f t="shared" si="49"/>
        <v>-118.35705681076773</v>
      </c>
      <c r="W120" s="334">
        <f t="shared" si="50"/>
        <v>61.64294318923227</v>
      </c>
      <c r="Y120" s="307">
        <f t="shared" si="51"/>
        <v>1000000000</v>
      </c>
      <c r="Z120" s="307">
        <f t="shared" si="52"/>
        <v>38910148.840000004</v>
      </c>
      <c r="AB120" s="333">
        <f t="shared" si="53"/>
        <v>24.868810660592455</v>
      </c>
      <c r="AC120" s="334">
        <f t="shared" si="54"/>
        <v>-34.381819849511395</v>
      </c>
      <c r="AE120" s="333">
        <f t="shared" si="55"/>
        <v>50.001479615825268</v>
      </c>
      <c r="AF120" s="334">
        <f t="shared" si="56"/>
        <v>-85.081911544355535</v>
      </c>
      <c r="AH120">
        <f t="shared" si="57"/>
        <v>0</v>
      </c>
      <c r="AI120">
        <f t="shared" si="61"/>
        <v>0</v>
      </c>
    </row>
    <row r="121" spans="1:35" x14ac:dyDescent="0.25">
      <c r="A121" s="335">
        <v>6309.6</v>
      </c>
      <c r="B121" s="352">
        <f t="shared" si="59"/>
        <v>6.3096000000000005</v>
      </c>
      <c r="C121" s="325">
        <f t="shared" si="31"/>
        <v>7.7113248421807601</v>
      </c>
      <c r="D121" s="326">
        <f t="shared" si="32"/>
        <v>1.4407506813614084</v>
      </c>
      <c r="E121" s="326">
        <f t="shared" si="33"/>
        <v>1.0000314330527587</v>
      </c>
      <c r="F121" s="327">
        <f t="shared" si="34"/>
        <v>7.9287110448883619E-3</v>
      </c>
      <c r="G121" s="326">
        <f t="shared" si="35"/>
        <v>1</v>
      </c>
      <c r="H121" s="327">
        <f t="shared" si="36"/>
        <v>0</v>
      </c>
      <c r="I121" s="325">
        <f t="shared" si="37"/>
        <v>8374.5166246062436</v>
      </c>
      <c r="J121" s="328">
        <f t="shared" si="38"/>
        <v>1.5706769169176222</v>
      </c>
      <c r="K121" s="336">
        <f t="shared" si="39"/>
        <v>1.9056992055406268</v>
      </c>
      <c r="L121" s="337">
        <f t="shared" si="40"/>
        <v>1.0183845759754211</v>
      </c>
      <c r="M121" s="325">
        <f t="shared" si="41"/>
        <v>1.0009316870146061</v>
      </c>
      <c r="N121" s="337">
        <f t="shared" si="42"/>
        <v>4.3150068875988344E-2</v>
      </c>
      <c r="O121" s="343">
        <f t="shared" si="43"/>
        <v>1.0006719248818745</v>
      </c>
      <c r="P121" s="691">
        <f t="shared" si="44"/>
        <v>3.6648297684899744E-2</v>
      </c>
      <c r="Q121" s="336">
        <f t="shared" si="60"/>
        <v>15.12644474028242</v>
      </c>
      <c r="R121" s="692">
        <f t="shared" si="45"/>
        <v>1.7111191492907681E-2</v>
      </c>
      <c r="S121" s="329">
        <f t="shared" si="46"/>
        <v>0.99969561130518292</v>
      </c>
      <c r="T121" s="330">
        <f t="shared" si="47"/>
        <v>5.4144169058926384E-2</v>
      </c>
      <c r="U121" s="331">
        <f t="shared" si="48"/>
        <v>17.176553007948439</v>
      </c>
      <c r="V121" s="332">
        <f t="shared" si="49"/>
        <v>-118.19382749711228</v>
      </c>
      <c r="W121" s="334">
        <f t="shared" si="50"/>
        <v>61.806172502887719</v>
      </c>
      <c r="Y121" s="307">
        <f t="shared" si="51"/>
        <v>1000000000</v>
      </c>
      <c r="Z121" s="307">
        <f t="shared" si="52"/>
        <v>39811052.160000004</v>
      </c>
      <c r="AB121" s="333">
        <f t="shared" si="53"/>
        <v>24.84102771513146</v>
      </c>
      <c r="AC121" s="334">
        <f t="shared" si="54"/>
        <v>-34.116337064664982</v>
      </c>
      <c r="AE121" s="333">
        <f t="shared" si="55"/>
        <v>49.903828377264119</v>
      </c>
      <c r="AF121" s="334">
        <f t="shared" si="56"/>
        <v>-85.196884162426443</v>
      </c>
      <c r="AH121">
        <f t="shared" si="57"/>
        <v>0</v>
      </c>
      <c r="AI121">
        <f t="shared" si="61"/>
        <v>0</v>
      </c>
    </row>
    <row r="122" spans="1:35" x14ac:dyDescent="0.25">
      <c r="A122" s="335">
        <v>6383.05</v>
      </c>
      <c r="B122" s="352">
        <f t="shared" si="59"/>
        <v>6.3830499999999999</v>
      </c>
      <c r="C122" s="325">
        <f t="shared" si="31"/>
        <v>7.7995912534155787</v>
      </c>
      <c r="D122" s="326">
        <f t="shared" si="32"/>
        <v>1.4422305921061591</v>
      </c>
      <c r="E122" s="326">
        <f t="shared" si="33"/>
        <v>1.000032169124297</v>
      </c>
      <c r="F122" s="327">
        <f t="shared" si="34"/>
        <v>8.0210051668759864E-3</v>
      </c>
      <c r="G122" s="326">
        <f t="shared" si="35"/>
        <v>1</v>
      </c>
      <c r="H122" s="327">
        <f t="shared" si="36"/>
        <v>0</v>
      </c>
      <c r="I122" s="325">
        <f t="shared" si="37"/>
        <v>8472.0043001097838</v>
      </c>
      <c r="J122" s="328">
        <f t="shared" si="38"/>
        <v>1.5706782909716253</v>
      </c>
      <c r="K122" s="336">
        <f t="shared" si="39"/>
        <v>1.9218004679571845</v>
      </c>
      <c r="L122" s="337">
        <f t="shared" si="40"/>
        <v>1.0235409756205982</v>
      </c>
      <c r="M122" s="325">
        <f t="shared" si="41"/>
        <v>1.0009534943994893</v>
      </c>
      <c r="N122" s="337">
        <f t="shared" si="42"/>
        <v>4.3651744274688327E-2</v>
      </c>
      <c r="O122" s="343">
        <f t="shared" si="43"/>
        <v>1.0006876542735266</v>
      </c>
      <c r="P122" s="691">
        <f t="shared" si="44"/>
        <v>3.7074531625370263E-2</v>
      </c>
      <c r="Q122" s="336">
        <f t="shared" si="60"/>
        <v>15.126495106599279</v>
      </c>
      <c r="R122" s="692">
        <f t="shared" si="45"/>
        <v>1.7310344867688402E-2</v>
      </c>
      <c r="S122" s="329">
        <f t="shared" si="46"/>
        <v>0.99968851970038086</v>
      </c>
      <c r="T122" s="330">
        <f t="shared" si="47"/>
        <v>5.4775477295447142E-2</v>
      </c>
      <c r="U122" s="331">
        <f t="shared" si="48"/>
        <v>17.050232950914552</v>
      </c>
      <c r="V122" s="332">
        <f t="shared" si="49"/>
        <v>-118.02987528586731</v>
      </c>
      <c r="W122" s="334">
        <f t="shared" si="50"/>
        <v>61.970124714132695</v>
      </c>
      <c r="Y122" s="307">
        <f t="shared" si="51"/>
        <v>1000000000</v>
      </c>
      <c r="Z122" s="307">
        <f t="shared" si="52"/>
        <v>40743327.302500002</v>
      </c>
      <c r="AB122" s="333">
        <f t="shared" si="53"/>
        <v>24.813388944690331</v>
      </c>
      <c r="AC122" s="334">
        <f t="shared" si="54"/>
        <v>-33.849719737735178</v>
      </c>
      <c r="AE122" s="333">
        <f t="shared" si="55"/>
        <v>49.805039480963885</v>
      </c>
      <c r="AF122" s="334">
        <f t="shared" si="56"/>
        <v>-85.312560036149634</v>
      </c>
      <c r="AH122">
        <f t="shared" si="57"/>
        <v>0</v>
      </c>
      <c r="AI122">
        <f t="shared" si="61"/>
        <v>0</v>
      </c>
    </row>
    <row r="123" spans="1:35" x14ac:dyDescent="0.25">
      <c r="A123" s="335">
        <v>6456.5</v>
      </c>
      <c r="B123" s="352">
        <f t="shared" si="59"/>
        <v>6.4565000000000001</v>
      </c>
      <c r="C123" s="325">
        <f t="shared" si="31"/>
        <v>7.8878743644894049</v>
      </c>
      <c r="D123" s="326">
        <f t="shared" si="32"/>
        <v>1.4436773788801971</v>
      </c>
      <c r="E123" s="326">
        <f t="shared" si="33"/>
        <v>1.0000329137143018</v>
      </c>
      <c r="F123" s="327">
        <f t="shared" si="34"/>
        <v>8.113299152211751E-3</v>
      </c>
      <c r="G123" s="326">
        <f t="shared" si="35"/>
        <v>1</v>
      </c>
      <c r="H123" s="327">
        <f t="shared" si="36"/>
        <v>0</v>
      </c>
      <c r="I123" s="325">
        <f t="shared" si="37"/>
        <v>8569.4919756289546</v>
      </c>
      <c r="J123" s="328">
        <f t="shared" si="38"/>
        <v>1.5706796337627877</v>
      </c>
      <c r="K123" s="336">
        <f t="shared" si="39"/>
        <v>1.9379519782191514</v>
      </c>
      <c r="L123" s="337">
        <f t="shared" si="40"/>
        <v>1.0286115580603714</v>
      </c>
      <c r="M123" s="325">
        <f t="shared" si="41"/>
        <v>1.0009755536915383</v>
      </c>
      <c r="N123" s="337">
        <f t="shared" si="42"/>
        <v>4.415339768800175E-2</v>
      </c>
      <c r="O123" s="343">
        <f t="shared" si="43"/>
        <v>1.000703565459746</v>
      </c>
      <c r="P123" s="691">
        <f t="shared" si="44"/>
        <v>3.7500752089033612E-2</v>
      </c>
      <c r="Q123" s="336">
        <f t="shared" si="60"/>
        <v>15.126546055666639</v>
      </c>
      <c r="R123" s="692">
        <f t="shared" si="45"/>
        <v>1.750949692824684E-2</v>
      </c>
      <c r="S123" s="329">
        <f t="shared" si="46"/>
        <v>0.99968134771609463</v>
      </c>
      <c r="T123" s="330">
        <f t="shared" si="47"/>
        <v>5.5406820802210988E-2</v>
      </c>
      <c r="U123" s="331">
        <f t="shared" si="48"/>
        <v>16.925772491143061</v>
      </c>
      <c r="V123" s="332">
        <f t="shared" si="49"/>
        <v>-117.86894184921427</v>
      </c>
      <c r="W123" s="334">
        <f t="shared" si="50"/>
        <v>62.131058150785734</v>
      </c>
      <c r="Y123" s="307">
        <f t="shared" si="51"/>
        <v>1000000000</v>
      </c>
      <c r="Z123" s="307">
        <f t="shared" si="52"/>
        <v>41686392.25</v>
      </c>
      <c r="AB123" s="333">
        <f t="shared" si="53"/>
        <v>24.786513674097321</v>
      </c>
      <c r="AC123" s="334">
        <f t="shared" si="54"/>
        <v>-33.588016323591553</v>
      </c>
      <c r="AE123" s="333">
        <f t="shared" si="55"/>
        <v>49.707345440814272</v>
      </c>
      <c r="AF123" s="334">
        <f t="shared" si="56"/>
        <v>-85.426340074813737</v>
      </c>
      <c r="AH123">
        <f t="shared" si="57"/>
        <v>0</v>
      </c>
      <c r="AI123">
        <f t="shared" si="61"/>
        <v>0</v>
      </c>
    </row>
    <row r="124" spans="1:35" x14ac:dyDescent="0.25">
      <c r="A124" s="335">
        <v>6531.7</v>
      </c>
      <c r="B124" s="352">
        <f t="shared" si="59"/>
        <v>6.5316999999999998</v>
      </c>
      <c r="C124" s="325">
        <f t="shared" si="31"/>
        <v>7.9782776077922737</v>
      </c>
      <c r="D124" s="326">
        <f t="shared" si="32"/>
        <v>1.4451254612649016</v>
      </c>
      <c r="E124" s="326">
        <f t="shared" si="33"/>
        <v>1.0000336848700107</v>
      </c>
      <c r="F124" s="327">
        <f t="shared" si="34"/>
        <v>8.2077919660719853E-3</v>
      </c>
      <c r="G124" s="326">
        <f t="shared" si="35"/>
        <v>1</v>
      </c>
      <c r="H124" s="327">
        <f t="shared" si="36"/>
        <v>0</v>
      </c>
      <c r="I124" s="325">
        <f t="shared" si="37"/>
        <v>8669.302366373553</v>
      </c>
      <c r="J124" s="328">
        <f t="shared" si="38"/>
        <v>1.5706809772592643</v>
      </c>
      <c r="K124" s="336">
        <f t="shared" si="39"/>
        <v>1.9545390670990455</v>
      </c>
      <c r="L124" s="337">
        <f t="shared" si="40"/>
        <v>1.0337159951161077</v>
      </c>
      <c r="M124" s="325">
        <f t="shared" si="41"/>
        <v>1.0009983995264451</v>
      </c>
      <c r="N124" s="337">
        <f t="shared" si="42"/>
        <v>4.4666980321504846E-2</v>
      </c>
      <c r="O124" s="343">
        <f t="shared" si="43"/>
        <v>1.0007200440758146</v>
      </c>
      <c r="P124" s="691">
        <f t="shared" si="44"/>
        <v>3.7937113443838315E-2</v>
      </c>
      <c r="Q124" s="336">
        <f t="shared" si="60"/>
        <v>15.12659882236926</v>
      </c>
      <c r="R124" s="692">
        <f t="shared" si="45"/>
        <v>1.7713392555048568E-2</v>
      </c>
      <c r="S124" s="329">
        <f t="shared" si="46"/>
        <v>0.99967392164027136</v>
      </c>
      <c r="T124" s="330">
        <f t="shared" si="47"/>
        <v>5.6053243493350544E-2</v>
      </c>
      <c r="U124" s="331">
        <f t="shared" si="48"/>
        <v>16.800220426779916</v>
      </c>
      <c r="V124" s="332">
        <f t="shared" si="49"/>
        <v>-117.70725519944456</v>
      </c>
      <c r="W124" s="334">
        <f t="shared" si="50"/>
        <v>62.29274480055544</v>
      </c>
      <c r="Y124" s="307">
        <f t="shared" si="51"/>
        <v>1000000000</v>
      </c>
      <c r="Z124" s="307">
        <f t="shared" si="52"/>
        <v>42663104.890000001</v>
      </c>
      <c r="AB124" s="333">
        <f t="shared" si="53"/>
        <v>24.75976083914038</v>
      </c>
      <c r="AC124" s="334">
        <f t="shared" si="54"/>
        <v>-33.32505671721605</v>
      </c>
      <c r="AE124" s="333">
        <f t="shared" si="55"/>
        <v>49.608433481155949</v>
      </c>
      <c r="AF124" s="334">
        <f t="shared" si="56"/>
        <v>-85.540932336530773</v>
      </c>
      <c r="AH124">
        <f t="shared" si="57"/>
        <v>0</v>
      </c>
      <c r="AI124">
        <f t="shared" si="61"/>
        <v>0</v>
      </c>
    </row>
    <row r="125" spans="1:35" x14ac:dyDescent="0.25">
      <c r="A125" s="335">
        <v>6606.9</v>
      </c>
      <c r="B125" s="352">
        <f t="shared" si="59"/>
        <v>6.6068999999999996</v>
      </c>
      <c r="C125" s="325">
        <f t="shared" si="31"/>
        <v>8.0686972061729971</v>
      </c>
      <c r="D125" s="326">
        <f t="shared" si="32"/>
        <v>1.4465410915024968</v>
      </c>
      <c r="E125" s="326">
        <f t="shared" si="33"/>
        <v>1.0000344649548984</v>
      </c>
      <c r="F125" s="327">
        <f t="shared" si="34"/>
        <v>8.3022846333561818E-3</v>
      </c>
      <c r="G125" s="326">
        <f t="shared" si="35"/>
        <v>1</v>
      </c>
      <c r="H125" s="327">
        <f t="shared" si="36"/>
        <v>0</v>
      </c>
      <c r="I125" s="325">
        <f t="shared" si="37"/>
        <v>8769.1127571334418</v>
      </c>
      <c r="J125" s="328">
        <f t="shared" si="38"/>
        <v>1.5706822901722801</v>
      </c>
      <c r="K125" s="336">
        <f t="shared" si="39"/>
        <v>1.9711762242036464</v>
      </c>
      <c r="L125" s="337">
        <f t="shared" si="40"/>
        <v>1.0387343959736757</v>
      </c>
      <c r="M125" s="325">
        <f t="shared" si="41"/>
        <v>1.0010215093797261</v>
      </c>
      <c r="N125" s="337">
        <f t="shared" si="42"/>
        <v>4.5180539377047614E-2</v>
      </c>
      <c r="O125" s="343">
        <f t="shared" si="43"/>
        <v>1.0007367132339233</v>
      </c>
      <c r="P125" s="691">
        <f t="shared" si="44"/>
        <v>3.8373460344882732E-2</v>
      </c>
      <c r="Q125" s="336">
        <f t="shared" si="60"/>
        <v>15.126652199909548</v>
      </c>
      <c r="R125" s="692">
        <f t="shared" si="45"/>
        <v>1.79172867722143E-2</v>
      </c>
      <c r="S125" s="329">
        <f t="shared" si="46"/>
        <v>0.99966641143415969</v>
      </c>
      <c r="T125" s="330">
        <f t="shared" si="47"/>
        <v>5.6699704013812163E-2</v>
      </c>
      <c r="U125" s="331">
        <f t="shared" si="48"/>
        <v>16.676512328279316</v>
      </c>
      <c r="V125" s="332">
        <f t="shared" si="49"/>
        <v>-117.54863850966434</v>
      </c>
      <c r="W125" s="334">
        <f t="shared" si="50"/>
        <v>62.451361490335657</v>
      </c>
      <c r="Y125" s="307">
        <f t="shared" si="51"/>
        <v>1000000000</v>
      </c>
      <c r="Z125" s="307">
        <f t="shared" si="52"/>
        <v>43651127.609999992</v>
      </c>
      <c r="AB125" s="333">
        <f t="shared" si="53"/>
        <v>24.73375216577692</v>
      </c>
      <c r="AC125" s="334">
        <f t="shared" si="54"/>
        <v>-33.067023518665721</v>
      </c>
      <c r="AE125" s="333">
        <f t="shared" si="55"/>
        <v>49.510620024957007</v>
      </c>
      <c r="AF125" s="334">
        <f t="shared" si="56"/>
        <v>-85.653667403038853</v>
      </c>
      <c r="AH125">
        <f t="shared" si="57"/>
        <v>0</v>
      </c>
      <c r="AI125">
        <f t="shared" si="61"/>
        <v>0</v>
      </c>
    </row>
    <row r="126" spans="1:35" x14ac:dyDescent="0.25">
      <c r="A126" s="335">
        <v>6683.85</v>
      </c>
      <c r="B126" s="352">
        <f t="shared" si="59"/>
        <v>6.6838500000000005</v>
      </c>
      <c r="C126" s="325">
        <f t="shared" si="31"/>
        <v>8.1612373473594904</v>
      </c>
      <c r="D126" s="326">
        <f t="shared" si="32"/>
        <v>1.4479571909377407</v>
      </c>
      <c r="E126" s="326">
        <f t="shared" si="33"/>
        <v>1.0000352724366224</v>
      </c>
      <c r="F126" s="327">
        <f t="shared" si="34"/>
        <v>8.3989761121448028E-3</v>
      </c>
      <c r="G126" s="326">
        <f t="shared" si="35"/>
        <v>1</v>
      </c>
      <c r="H126" s="327">
        <f t="shared" si="36"/>
        <v>0</v>
      </c>
      <c r="I126" s="325">
        <f t="shared" si="37"/>
        <v>8871.2458631191257</v>
      </c>
      <c r="J126" s="328">
        <f t="shared" si="38"/>
        <v>1.5706836030560276</v>
      </c>
      <c r="K126" s="336">
        <f t="shared" si="39"/>
        <v>1.9882510675003466</v>
      </c>
      <c r="L126" s="337">
        <f t="shared" si="40"/>
        <v>1.0437825114995065</v>
      </c>
      <c r="M126" s="325">
        <f t="shared" si="41"/>
        <v>1.0010454303156493</v>
      </c>
      <c r="N126" s="337">
        <f t="shared" si="42"/>
        <v>4.5706024919155611E-2</v>
      </c>
      <c r="O126" s="343">
        <f t="shared" si="43"/>
        <v>1.0007539675395563</v>
      </c>
      <c r="P126" s="691">
        <f t="shared" si="44"/>
        <v>3.8819946460561812E-2</v>
      </c>
      <c r="Q126" s="336">
        <f t="shared" si="60"/>
        <v>15.126707451932127</v>
      </c>
      <c r="R126" s="692">
        <f t="shared" si="45"/>
        <v>1.8125924391970746E-2</v>
      </c>
      <c r="S126" s="329">
        <f t="shared" si="46"/>
        <v>0.99965863943329736</v>
      </c>
      <c r="T126" s="330">
        <f t="shared" si="47"/>
        <v>5.7361248108856226E-2</v>
      </c>
      <c r="U126" s="331">
        <f t="shared" si="48"/>
        <v>16.551781753801713</v>
      </c>
      <c r="V126" s="332">
        <f t="shared" si="49"/>
        <v>-117.38945859880235</v>
      </c>
      <c r="W126" s="334">
        <f t="shared" si="50"/>
        <v>62.610541401197651</v>
      </c>
      <c r="Y126" s="307">
        <f t="shared" si="51"/>
        <v>1000000000</v>
      </c>
      <c r="Z126" s="307">
        <f t="shared" si="52"/>
        <v>44673850.822500005</v>
      </c>
      <c r="AB126" s="333">
        <f t="shared" si="53"/>
        <v>24.707880823182329</v>
      </c>
      <c r="AC126" s="334">
        <f t="shared" si="54"/>
        <v>-32.807971130700793</v>
      </c>
      <c r="AE126" s="333">
        <f t="shared" si="55"/>
        <v>49.411642761959264</v>
      </c>
      <c r="AF126" s="334">
        <f t="shared" si="56"/>
        <v>-85.767167595137238</v>
      </c>
      <c r="AH126">
        <f t="shared" si="57"/>
        <v>0</v>
      </c>
      <c r="AI126">
        <f t="shared" si="61"/>
        <v>0</v>
      </c>
    </row>
    <row r="127" spans="1:35" x14ac:dyDescent="0.25">
      <c r="A127" s="335">
        <v>6760.8</v>
      </c>
      <c r="B127" s="352">
        <f t="shared" si="59"/>
        <v>6.7608000000000006</v>
      </c>
      <c r="C127" s="325">
        <f t="shared" si="31"/>
        <v>8.2537934875768162</v>
      </c>
      <c r="D127" s="326">
        <f t="shared" si="32"/>
        <v>1.4493415334712259</v>
      </c>
      <c r="E127" s="326">
        <f t="shared" si="33"/>
        <v>1.000036089267903</v>
      </c>
      <c r="F127" s="327">
        <f t="shared" si="34"/>
        <v>8.4956674338818611E-3</v>
      </c>
      <c r="G127" s="326">
        <f t="shared" si="35"/>
        <v>1</v>
      </c>
      <c r="H127" s="327">
        <f t="shared" si="36"/>
        <v>0</v>
      </c>
      <c r="I127" s="325">
        <f t="shared" si="37"/>
        <v>8973.3789691197544</v>
      </c>
      <c r="J127" s="328">
        <f t="shared" si="38"/>
        <v>1.5706848860538434</v>
      </c>
      <c r="K127" s="336">
        <f t="shared" si="39"/>
        <v>2.0053757147674238</v>
      </c>
      <c r="L127" s="337">
        <f t="shared" si="40"/>
        <v>1.0487445362208832</v>
      </c>
      <c r="M127" s="325">
        <f t="shared" si="41"/>
        <v>1.0010696276620523</v>
      </c>
      <c r="N127" s="337">
        <f t="shared" si="42"/>
        <v>4.6231485202816738E-2</v>
      </c>
      <c r="O127" s="343">
        <f t="shared" si="43"/>
        <v>1.000771421338442</v>
      </c>
      <c r="P127" s="691">
        <f t="shared" si="44"/>
        <v>3.9266417091498355E-2</v>
      </c>
      <c r="Q127" s="336">
        <f t="shared" si="60"/>
        <v>15.12676334353935</v>
      </c>
      <c r="R127" s="692">
        <f t="shared" si="45"/>
        <v>1.8334560501380867E-2</v>
      </c>
      <c r="S127" s="329">
        <f t="shared" si="46"/>
        <v>0.99965077947807124</v>
      </c>
      <c r="T127" s="330">
        <f t="shared" si="47"/>
        <v>5.8022832734141418E-2</v>
      </c>
      <c r="U127" s="331">
        <f t="shared" si="48"/>
        <v>16.428877442304866</v>
      </c>
      <c r="V127" s="332">
        <f t="shared" si="49"/>
        <v>-117.23339176359673</v>
      </c>
      <c r="W127" s="334">
        <f t="shared" si="50"/>
        <v>62.766608236403272</v>
      </c>
      <c r="Y127" s="307">
        <f t="shared" si="51"/>
        <v>1000000000</v>
      </c>
      <c r="Z127" s="307">
        <f t="shared" si="52"/>
        <v>45708416.640000001</v>
      </c>
      <c r="AB127" s="333">
        <f t="shared" si="53"/>
        <v>24.68273353362369</v>
      </c>
      <c r="AC127" s="334">
        <f t="shared" si="54"/>
        <v>-32.553848222951451</v>
      </c>
      <c r="AE127" s="333">
        <f t="shared" si="55"/>
        <v>49.313766347185378</v>
      </c>
      <c r="AF127" s="334">
        <f t="shared" si="56"/>
        <v>-85.878850582002528</v>
      </c>
      <c r="AH127">
        <f t="shared" si="57"/>
        <v>0</v>
      </c>
      <c r="AI127">
        <f t="shared" si="61"/>
        <v>0</v>
      </c>
    </row>
    <row r="128" spans="1:35" x14ac:dyDescent="0.25">
      <c r="A128" s="335">
        <v>6839.55</v>
      </c>
      <c r="B128" s="352">
        <f t="shared" si="59"/>
        <v>6.83955</v>
      </c>
      <c r="C128" s="325">
        <f t="shared" si="31"/>
        <v>8.3485306932496552</v>
      </c>
      <c r="D128" s="326">
        <f t="shared" si="32"/>
        <v>1.4507264750733944</v>
      </c>
      <c r="E128" s="326">
        <f t="shared" si="33"/>
        <v>1.0000369348864933</v>
      </c>
      <c r="F128" s="327">
        <f t="shared" si="34"/>
        <v>8.5946203764315048E-3</v>
      </c>
      <c r="G128" s="326">
        <f t="shared" si="35"/>
        <v>1</v>
      </c>
      <c r="H128" s="327">
        <f t="shared" si="36"/>
        <v>0</v>
      </c>
      <c r="I128" s="325">
        <f t="shared" si="37"/>
        <v>9077.9011536382623</v>
      </c>
      <c r="J128" s="328">
        <f t="shared" si="38"/>
        <v>1.5706861691730964</v>
      </c>
      <c r="K128" s="336">
        <f t="shared" si="39"/>
        <v>2.0229511839261711</v>
      </c>
      <c r="L128" s="337">
        <f t="shared" si="40"/>
        <v>1.0537355262727308</v>
      </c>
      <c r="M128" s="325">
        <f t="shared" si="41"/>
        <v>1.001094677192055</v>
      </c>
      <c r="N128" s="337">
        <f t="shared" si="42"/>
        <v>4.676921050263428E-2</v>
      </c>
      <c r="O128" s="343">
        <f t="shared" si="43"/>
        <v>1.000789489950028</v>
      </c>
      <c r="P128" s="691">
        <f t="shared" si="44"/>
        <v>3.9723315262704437E-2</v>
      </c>
      <c r="Q128" s="336">
        <f t="shared" si="60"/>
        <v>15.126821204746394</v>
      </c>
      <c r="R128" s="692">
        <f t="shared" si="45"/>
        <v>1.8548075405745112E-2</v>
      </c>
      <c r="S128" s="329">
        <f t="shared" si="46"/>
        <v>0.99964264467332309</v>
      </c>
      <c r="T128" s="330">
        <f t="shared" si="47"/>
        <v>5.8699935471911581E-2</v>
      </c>
      <c r="U128" s="331">
        <f t="shared" si="48"/>
        <v>16.304936960712013</v>
      </c>
      <c r="V128" s="332">
        <f t="shared" si="49"/>
        <v>-117.07684402326466</v>
      </c>
      <c r="W128" s="334">
        <f t="shared" si="50"/>
        <v>62.923155976735345</v>
      </c>
      <c r="Y128" s="307">
        <f t="shared" si="51"/>
        <v>1000000000</v>
      </c>
      <c r="Z128" s="307">
        <f t="shared" si="52"/>
        <v>46779444.202500001</v>
      </c>
      <c r="AB128" s="333">
        <f t="shared" si="53"/>
        <v>24.657720422724513</v>
      </c>
      <c r="AC128" s="334">
        <f t="shared" si="54"/>
        <v>-32.29876846463209</v>
      </c>
      <c r="AE128" s="333">
        <f t="shared" si="55"/>
        <v>49.214715381148451</v>
      </c>
      <c r="AF128" s="334">
        <f t="shared" si="56"/>
        <v>-85.991327433999871</v>
      </c>
      <c r="AH128">
        <f t="shared" si="57"/>
        <v>0</v>
      </c>
      <c r="AI128">
        <f t="shared" si="61"/>
        <v>0</v>
      </c>
    </row>
    <row r="129" spans="1:35" x14ac:dyDescent="0.25">
      <c r="A129" s="335">
        <v>6918.3</v>
      </c>
      <c r="B129" s="352">
        <f t="shared" si="59"/>
        <v>6.9183000000000003</v>
      </c>
      <c r="C129" s="325">
        <f t="shared" si="31"/>
        <v>8.4432835525692003</v>
      </c>
      <c r="D129" s="326">
        <f t="shared" si="32"/>
        <v>1.4520803348298861</v>
      </c>
      <c r="E129" s="326">
        <f t="shared" si="33"/>
        <v>1.0000377902971134</v>
      </c>
      <c r="F129" s="327">
        <f t="shared" si="34"/>
        <v>8.6935731506656618E-3</v>
      </c>
      <c r="G129" s="326">
        <f t="shared" si="35"/>
        <v>1</v>
      </c>
      <c r="H129" s="327">
        <f t="shared" si="36"/>
        <v>0</v>
      </c>
      <c r="I129" s="325">
        <f t="shared" si="37"/>
        <v>9182.4233381713802</v>
      </c>
      <c r="J129" s="328">
        <f t="shared" si="38"/>
        <v>1.5706874230812311</v>
      </c>
      <c r="K129" s="336">
        <f t="shared" si="39"/>
        <v>2.0405761759906995</v>
      </c>
      <c r="L129" s="337">
        <f t="shared" si="40"/>
        <v>1.0586404197724826</v>
      </c>
      <c r="M129" s="325">
        <f t="shared" si="41"/>
        <v>1.0011200161725453</v>
      </c>
      <c r="N129" s="337">
        <f t="shared" si="42"/>
        <v>4.730690873758539E-2</v>
      </c>
      <c r="O129" s="343">
        <f t="shared" si="43"/>
        <v>1.0008077674747944</v>
      </c>
      <c r="P129" s="691">
        <f t="shared" si="44"/>
        <v>4.0180196840829498E-2</v>
      </c>
      <c r="Q129" s="336">
        <f t="shared" si="60"/>
        <v>15.12687973579504</v>
      </c>
      <c r="R129" s="692">
        <f t="shared" si="45"/>
        <v>1.8761588691477097E-2</v>
      </c>
      <c r="S129" s="329">
        <f t="shared" si="46"/>
        <v>0.99963441790166097</v>
      </c>
      <c r="T129" s="330">
        <f t="shared" si="47"/>
        <v>5.9377081643797638E-2</v>
      </c>
      <c r="U129" s="331">
        <f t="shared" si="48"/>
        <v>16.182805466098753</v>
      </c>
      <c r="V129" s="332">
        <f t="shared" si="49"/>
        <v>-116.92344852525669</v>
      </c>
      <c r="W129" s="334">
        <f t="shared" si="50"/>
        <v>63.076551474743312</v>
      </c>
      <c r="Y129" s="307">
        <f t="shared" si="51"/>
        <v>1000000000</v>
      </c>
      <c r="Z129" s="307">
        <f t="shared" si="52"/>
        <v>47862874.890000001</v>
      </c>
      <c r="AB129" s="333">
        <f t="shared" si="53"/>
        <v>24.633411521340712</v>
      </c>
      <c r="AC129" s="334">
        <f t="shared" si="54"/>
        <v>-32.048618451007677</v>
      </c>
      <c r="AE129" s="333">
        <f t="shared" si="55"/>
        <v>49.116767766772099</v>
      </c>
      <c r="AF129" s="334">
        <f t="shared" si="56"/>
        <v>-86.102025925653734</v>
      </c>
      <c r="AH129">
        <f t="shared" si="57"/>
        <v>0</v>
      </c>
      <c r="AI129">
        <f t="shared" si="61"/>
        <v>0</v>
      </c>
    </row>
    <row r="130" spans="1:35" x14ac:dyDescent="0.25">
      <c r="A130" s="335">
        <v>6998.9</v>
      </c>
      <c r="B130" s="352">
        <f t="shared" si="59"/>
        <v>6.9988999999999999</v>
      </c>
      <c r="C130" s="325">
        <f t="shared" si="31"/>
        <v>8.540278017894515</v>
      </c>
      <c r="D130" s="326">
        <f t="shared" si="32"/>
        <v>1.4534348884392903</v>
      </c>
      <c r="E130" s="326">
        <f t="shared" si="33"/>
        <v>1.0000386759428523</v>
      </c>
      <c r="F130" s="327">
        <f t="shared" si="34"/>
        <v>8.7948503534398936E-3</v>
      </c>
      <c r="G130" s="326">
        <f t="shared" si="35"/>
        <v>1</v>
      </c>
      <c r="H130" s="327">
        <f t="shared" si="36"/>
        <v>0</v>
      </c>
      <c r="I130" s="325">
        <f t="shared" si="37"/>
        <v>9289.400964514487</v>
      </c>
      <c r="J130" s="328">
        <f t="shared" si="38"/>
        <v>1.5706886772267759</v>
      </c>
      <c r="K130" s="336">
        <f t="shared" si="39"/>
        <v>2.0586651696925862</v>
      </c>
      <c r="L130" s="337">
        <f t="shared" si="40"/>
        <v>1.0635734498951701</v>
      </c>
      <c r="M130" s="325">
        <f t="shared" si="41"/>
        <v>1.0011462501250783</v>
      </c>
      <c r="N130" s="337">
        <f t="shared" si="42"/>
        <v>4.7857210265239127E-2</v>
      </c>
      <c r="O130" s="343">
        <f t="shared" si="43"/>
        <v>1.0008266906969172</v>
      </c>
      <c r="P130" s="691">
        <f t="shared" si="44"/>
        <v>4.0647794129522206E-2</v>
      </c>
      <c r="Q130" s="336">
        <f t="shared" si="60"/>
        <v>15.126940335481066</v>
      </c>
      <c r="R130" s="692">
        <f t="shared" si="45"/>
        <v>1.8980116149334144E-2</v>
      </c>
      <c r="S130" s="329">
        <f t="shared" si="46"/>
        <v>0.99962590271389917</v>
      </c>
      <c r="T130" s="330">
        <f t="shared" si="47"/>
        <v>6.0070180873306664E-2</v>
      </c>
      <c r="U130" s="331">
        <f t="shared" si="48"/>
        <v>16.059626430834527</v>
      </c>
      <c r="V130" s="332">
        <f t="shared" si="49"/>
        <v>-116.76965699026779</v>
      </c>
      <c r="W130" s="334">
        <f t="shared" si="50"/>
        <v>63.230343009732209</v>
      </c>
      <c r="Y130" s="307">
        <f t="shared" si="51"/>
        <v>1000000000</v>
      </c>
      <c r="Z130" s="307">
        <f t="shared" si="52"/>
        <v>48984601.209999993</v>
      </c>
      <c r="AB130" s="333">
        <f t="shared" si="53"/>
        <v>24.609234056065986</v>
      </c>
      <c r="AC130" s="334">
        <f t="shared" si="54"/>
        <v>-31.797578456720686</v>
      </c>
      <c r="AE130" s="333">
        <f t="shared" si="55"/>
        <v>49.017636762389245</v>
      </c>
      <c r="AF130" s="334">
        <f t="shared" si="56"/>
        <v>-86.213545035079022</v>
      </c>
      <c r="AH130">
        <f t="shared" si="57"/>
        <v>0</v>
      </c>
      <c r="AI130">
        <f t="shared" si="61"/>
        <v>0</v>
      </c>
    </row>
    <row r="131" spans="1:35" x14ac:dyDescent="0.25">
      <c r="A131" s="335">
        <v>7079.5</v>
      </c>
      <c r="B131" s="352">
        <f t="shared" si="59"/>
        <v>7.0795000000000003</v>
      </c>
      <c r="C131" s="325">
        <f t="shared" si="31"/>
        <v>8.6372878011013832</v>
      </c>
      <c r="D131" s="326">
        <f t="shared" si="32"/>
        <v>1.4547590170684821</v>
      </c>
      <c r="E131" s="326">
        <f t="shared" si="33"/>
        <v>1.0000395718460415</v>
      </c>
      <c r="F131" s="327">
        <f t="shared" si="34"/>
        <v>8.8961273757909767E-3</v>
      </c>
      <c r="G131" s="326">
        <f t="shared" si="35"/>
        <v>1</v>
      </c>
      <c r="H131" s="327">
        <f t="shared" si="36"/>
        <v>0</v>
      </c>
      <c r="I131" s="325">
        <f t="shared" si="37"/>
        <v>9396.3785908718728</v>
      </c>
      <c r="J131" s="328">
        <f t="shared" si="38"/>
        <v>1.5706899028154648</v>
      </c>
      <c r="K131" s="336">
        <f t="shared" si="39"/>
        <v>2.0768033871727876</v>
      </c>
      <c r="L131" s="337">
        <f t="shared" si="40"/>
        <v>1.0684204288600774</v>
      </c>
      <c r="M131" s="325">
        <f t="shared" si="41"/>
        <v>1.0011727872405616</v>
      </c>
      <c r="N131" s="337">
        <f t="shared" si="42"/>
        <v>4.8407482786908436E-2</v>
      </c>
      <c r="O131" s="343">
        <f t="shared" si="43"/>
        <v>1.0008458327387155</v>
      </c>
      <c r="P131" s="691">
        <f t="shared" si="44"/>
        <v>4.1115373634041871E-2</v>
      </c>
      <c r="Q131" s="336">
        <f t="shared" si="60"/>
        <v>15.127001636833725</v>
      </c>
      <c r="R131" s="692">
        <f t="shared" si="45"/>
        <v>1.919864187216622E-2</v>
      </c>
      <c r="S131" s="329">
        <f t="shared" si="46"/>
        <v>0.99961729135249688</v>
      </c>
      <c r="T131" s="330">
        <f t="shared" si="47"/>
        <v>6.0763326657962961E-2</v>
      </c>
      <c r="U131" s="331">
        <f t="shared" si="48"/>
        <v>15.938239472481213</v>
      </c>
      <c r="V131" s="332">
        <f t="shared" si="49"/>
        <v>-116.61905289967916</v>
      </c>
      <c r="W131" s="334">
        <f t="shared" si="50"/>
        <v>63.380947100320839</v>
      </c>
      <c r="Y131" s="307">
        <f t="shared" si="51"/>
        <v>1000000000</v>
      </c>
      <c r="Z131" s="307">
        <f t="shared" si="52"/>
        <v>50119320.25</v>
      </c>
      <c r="AB131" s="333">
        <f t="shared" si="53"/>
        <v>24.58574120393283</v>
      </c>
      <c r="AC131" s="334">
        <f t="shared" si="54"/>
        <v>-31.551465532494568</v>
      </c>
      <c r="AE131" s="333">
        <f t="shared" si="55"/>
        <v>48.919611728599392</v>
      </c>
      <c r="AF131" s="334">
        <f t="shared" si="56"/>
        <v>-86.323323599295307</v>
      </c>
      <c r="AH131">
        <f t="shared" si="57"/>
        <v>0</v>
      </c>
      <c r="AI131">
        <f t="shared" si="61"/>
        <v>0</v>
      </c>
    </row>
    <row r="132" spans="1:35" x14ac:dyDescent="0.25">
      <c r="A132" s="335">
        <v>7161.95</v>
      </c>
      <c r="B132" s="352">
        <f t="shared" si="59"/>
        <v>7.16195</v>
      </c>
      <c r="C132" s="325">
        <f t="shared" si="31"/>
        <v>8.7365395529522303</v>
      </c>
      <c r="D132" s="326">
        <f t="shared" si="32"/>
        <v>1.4560831096585969</v>
      </c>
      <c r="E132" s="326">
        <f t="shared" si="33"/>
        <v>1.0000404989260456</v>
      </c>
      <c r="F132" s="327">
        <f t="shared" si="34"/>
        <v>8.9997288059607827E-3</v>
      </c>
      <c r="G132" s="326">
        <f t="shared" si="35"/>
        <v>1</v>
      </c>
      <c r="H132" s="327">
        <f t="shared" si="36"/>
        <v>0</v>
      </c>
      <c r="I132" s="325">
        <f t="shared" si="37"/>
        <v>9505.811659039573</v>
      </c>
      <c r="J132" s="328">
        <f t="shared" si="38"/>
        <v>1.5706911279925519</v>
      </c>
      <c r="K132" s="336">
        <f t="shared" si="39"/>
        <v>2.0954075272319397</v>
      </c>
      <c r="L132" s="337">
        <f t="shared" si="40"/>
        <v>1.0732917188870006</v>
      </c>
      <c r="M132" s="325">
        <f t="shared" si="41"/>
        <v>1.0012002471139267</v>
      </c>
      <c r="N132" s="337">
        <f t="shared" si="42"/>
        <v>4.8970355275901538E-2</v>
      </c>
      <c r="O132" s="343">
        <f t="shared" si="43"/>
        <v>1.0008656405430258</v>
      </c>
      <c r="P132" s="691">
        <f t="shared" si="44"/>
        <v>4.159366680922455E-2</v>
      </c>
      <c r="Q132" s="336">
        <f t="shared" si="60"/>
        <v>15.127065071227808</v>
      </c>
      <c r="R132" s="692">
        <f t="shared" si="45"/>
        <v>1.9422181567901778E-2</v>
      </c>
      <c r="S132" s="329">
        <f t="shared" si="46"/>
        <v>0.99960838291415288</v>
      </c>
      <c r="T132" s="330">
        <f t="shared" si="47"/>
        <v>6.1472430843576564E-2</v>
      </c>
      <c r="U132" s="331">
        <f t="shared" si="48"/>
        <v>15.815869400858894</v>
      </c>
      <c r="V132" s="332">
        <f t="shared" si="49"/>
        <v>-116.46823032595955</v>
      </c>
      <c r="W132" s="334">
        <f t="shared" si="50"/>
        <v>63.531769674040447</v>
      </c>
      <c r="Y132" s="307">
        <f t="shared" si="51"/>
        <v>1000000000</v>
      </c>
      <c r="Z132" s="307">
        <f t="shared" si="52"/>
        <v>51293527.802499995</v>
      </c>
      <c r="AB132" s="333">
        <f t="shared" si="53"/>
        <v>24.562391326297753</v>
      </c>
      <c r="AC132" s="334">
        <f t="shared" si="54"/>
        <v>-31.304681588385275</v>
      </c>
      <c r="AE132" s="333">
        <f t="shared" si="55"/>
        <v>48.820456057119365</v>
      </c>
      <c r="AF132" s="334">
        <f t="shared" si="56"/>
        <v>-86.433881268890246</v>
      </c>
      <c r="AH132">
        <f t="shared" si="57"/>
        <v>0</v>
      </c>
      <c r="AI132">
        <f t="shared" si="61"/>
        <v>0</v>
      </c>
    </row>
    <row r="133" spans="1:35" x14ac:dyDescent="0.25">
      <c r="A133" s="335">
        <v>7244.4</v>
      </c>
      <c r="B133" s="352">
        <f t="shared" si="59"/>
        <v>7.2443999999999997</v>
      </c>
      <c r="C133" s="325">
        <f t="shared" si="31"/>
        <v>8.8358062777631883</v>
      </c>
      <c r="D133" s="326">
        <f t="shared" si="32"/>
        <v>1.4573774531817716</v>
      </c>
      <c r="E133" s="326">
        <f t="shared" si="33"/>
        <v>1.0000414367397208</v>
      </c>
      <c r="F133" s="327">
        <f t="shared" si="34"/>
        <v>9.1033300429329434E-3</v>
      </c>
      <c r="G133" s="326">
        <f t="shared" si="35"/>
        <v>1</v>
      </c>
      <c r="H133" s="327">
        <f t="shared" si="36"/>
        <v>0</v>
      </c>
      <c r="I133" s="325">
        <f t="shared" si="37"/>
        <v>9615.2447272212157</v>
      </c>
      <c r="J133" s="328">
        <f t="shared" si="38"/>
        <v>1.5706923252816567</v>
      </c>
      <c r="K133" s="336">
        <f t="shared" si="39"/>
        <v>2.1140605143704549</v>
      </c>
      <c r="L133" s="337">
        <f t="shared" si="40"/>
        <v>1.0780771591150373</v>
      </c>
      <c r="M133" s="325">
        <f t="shared" si="41"/>
        <v>1.0012280241755418</v>
      </c>
      <c r="N133" s="337">
        <f t="shared" si="42"/>
        <v>4.9533196711674374E-2</v>
      </c>
      <c r="O133" s="343">
        <f t="shared" si="43"/>
        <v>1.0008856773006323</v>
      </c>
      <c r="P133" s="691">
        <f t="shared" si="44"/>
        <v>4.2071940943887498E-2</v>
      </c>
      <c r="Q133" s="336">
        <f t="shared" si="60"/>
        <v>15.127129239850536</v>
      </c>
      <c r="R133" s="692">
        <f t="shared" si="45"/>
        <v>1.9645719405815172E-2</v>
      </c>
      <c r="S133" s="329">
        <f t="shared" si="46"/>
        <v>0.99959937401739796</v>
      </c>
      <c r="T133" s="330">
        <f t="shared" si="47"/>
        <v>6.2181584876793386E-2</v>
      </c>
      <c r="U133" s="331">
        <f t="shared" si="48"/>
        <v>15.695272687440502</v>
      </c>
      <c r="V133" s="332">
        <f t="shared" si="49"/>
        <v>-116.32062256195231</v>
      </c>
      <c r="W133" s="334">
        <f t="shared" si="50"/>
        <v>63.679377438047695</v>
      </c>
      <c r="Y133" s="307">
        <f t="shared" si="51"/>
        <v>1000000000</v>
      </c>
      <c r="Z133" s="307">
        <f t="shared" si="52"/>
        <v>52481331.359999992</v>
      </c>
      <c r="AB133" s="333">
        <f t="shared" si="53"/>
        <v>24.53970590864725</v>
      </c>
      <c r="AC133" s="334">
        <f t="shared" si="54"/>
        <v>-31.062813098347696</v>
      </c>
      <c r="AE133" s="333">
        <f t="shared" si="55"/>
        <v>48.722407721793282</v>
      </c>
      <c r="AF133" s="334">
        <f t="shared" si="56"/>
        <v>-86.5427373096298</v>
      </c>
      <c r="AH133">
        <f t="shared" si="57"/>
        <v>0</v>
      </c>
      <c r="AI133">
        <f t="shared" si="61"/>
        <v>0</v>
      </c>
    </row>
    <row r="134" spans="1:35" x14ac:dyDescent="0.25">
      <c r="A134" s="335">
        <v>7328.75</v>
      </c>
      <c r="B134" s="352">
        <f t="shared" si="59"/>
        <v>7.3287500000000003</v>
      </c>
      <c r="C134" s="325">
        <f t="shared" si="31"/>
        <v>8.9373755059510334</v>
      </c>
      <c r="D134" s="326">
        <f t="shared" si="32"/>
        <v>1.4586718678448072</v>
      </c>
      <c r="E134" s="326">
        <f t="shared" si="33"/>
        <v>1.0000424072721408</v>
      </c>
      <c r="F134" s="327">
        <f t="shared" si="34"/>
        <v>9.2093184924593348E-3</v>
      </c>
      <c r="G134" s="326">
        <f t="shared" si="35"/>
        <v>1</v>
      </c>
      <c r="H134" s="327">
        <f t="shared" si="36"/>
        <v>0</v>
      </c>
      <c r="I134" s="325">
        <f t="shared" si="37"/>
        <v>9727.1996005052806</v>
      </c>
      <c r="J134" s="328">
        <f t="shared" si="38"/>
        <v>1.5706935222835439</v>
      </c>
      <c r="K134" s="336">
        <f t="shared" si="39"/>
        <v>2.1331925582649629</v>
      </c>
      <c r="L134" s="337">
        <f t="shared" si="40"/>
        <v>1.0828861591376671</v>
      </c>
      <c r="M134" s="325">
        <f t="shared" si="41"/>
        <v>1.0012567695482402</v>
      </c>
      <c r="N134" s="337">
        <f t="shared" si="42"/>
        <v>5.0108975913026731E-2</v>
      </c>
      <c r="O134" s="343">
        <f t="shared" si="43"/>
        <v>1.0009064127045164</v>
      </c>
      <c r="P134" s="691">
        <f t="shared" si="44"/>
        <v>4.2561216625781419E-2</v>
      </c>
      <c r="Q134" s="336">
        <f t="shared" si="60"/>
        <v>15.127195646985792</v>
      </c>
      <c r="R134" s="692">
        <f t="shared" si="45"/>
        <v>1.987440656505083E-2</v>
      </c>
      <c r="S134" s="329">
        <f t="shared" si="46"/>
        <v>0.99959005365663911</v>
      </c>
      <c r="T134" s="330">
        <f t="shared" si="47"/>
        <v>6.290713302653872E-2</v>
      </c>
      <c r="U134" s="331">
        <f t="shared" si="48"/>
        <v>15.573681354907523</v>
      </c>
      <c r="V134" s="332">
        <f t="shared" si="49"/>
        <v>-116.17287748870645</v>
      </c>
      <c r="W134" s="334">
        <f t="shared" si="50"/>
        <v>63.827122511293553</v>
      </c>
      <c r="Y134" s="307">
        <f t="shared" si="51"/>
        <v>1000000000</v>
      </c>
      <c r="Z134" s="307">
        <f t="shared" si="52"/>
        <v>53710576.5625</v>
      </c>
      <c r="AB134" s="333">
        <f t="shared" si="53"/>
        <v>24.517159739669701</v>
      </c>
      <c r="AC134" s="334">
        <f t="shared" si="54"/>
        <v>-30.820335994420731</v>
      </c>
      <c r="AE134" s="333">
        <f t="shared" si="55"/>
        <v>48.623220744465584</v>
      </c>
      <c r="AF134" s="334">
        <f t="shared" si="56"/>
        <v>-86.652399962865829</v>
      </c>
      <c r="AH134">
        <f t="shared" si="57"/>
        <v>0</v>
      </c>
      <c r="AI134">
        <f t="shared" si="61"/>
        <v>0</v>
      </c>
    </row>
    <row r="135" spans="1:35" x14ac:dyDescent="0.25">
      <c r="A135" s="335">
        <v>7413.1</v>
      </c>
      <c r="B135" s="352">
        <f t="shared" si="59"/>
        <v>7.4131</v>
      </c>
      <c r="C135" s="325">
        <f t="shared" si="31"/>
        <v>9.0389593722451362</v>
      </c>
      <c r="D135" s="326">
        <f t="shared" si="32"/>
        <v>1.4599371901670699</v>
      </c>
      <c r="E135" s="326">
        <f t="shared" si="33"/>
        <v>1.0000433890385667</v>
      </c>
      <c r="F135" s="327">
        <f t="shared" si="34"/>
        <v>9.3153067350735738E-3</v>
      </c>
      <c r="G135" s="326">
        <f t="shared" si="35"/>
        <v>1</v>
      </c>
      <c r="H135" s="327">
        <f t="shared" si="36"/>
        <v>0</v>
      </c>
      <c r="I135" s="325">
        <f t="shared" si="37"/>
        <v>9839.1544738029625</v>
      </c>
      <c r="J135" s="328">
        <f t="shared" si="38"/>
        <v>1.5706946920452458</v>
      </c>
      <c r="K135" s="336">
        <f t="shared" si="39"/>
        <v>2.152373057710578</v>
      </c>
      <c r="L135" s="337">
        <f t="shared" si="40"/>
        <v>1.0876095576407285</v>
      </c>
      <c r="M135" s="325">
        <f t="shared" si="41"/>
        <v>1.0012858468401507</v>
      </c>
      <c r="N135" s="337">
        <f t="shared" si="42"/>
        <v>5.0684721864042583E-2</v>
      </c>
      <c r="O135" s="343">
        <f t="shared" si="43"/>
        <v>1.0009273877061191</v>
      </c>
      <c r="P135" s="691">
        <f t="shared" si="44"/>
        <v>4.3050471918695099E-2</v>
      </c>
      <c r="Q135" s="336">
        <f t="shared" si="60"/>
        <v>15.12726282255924</v>
      </c>
      <c r="R135" s="692">
        <f t="shared" si="45"/>
        <v>2.0103091734636772E-2</v>
      </c>
      <c r="S135" s="329">
        <f t="shared" si="46"/>
        <v>0.99958062835226635</v>
      </c>
      <c r="T135" s="330">
        <f t="shared" si="47"/>
        <v>6.3632734558164913E-2</v>
      </c>
      <c r="U135" s="331">
        <f t="shared" si="48"/>
        <v>15.453845124547144</v>
      </c>
      <c r="V135" s="332">
        <f t="shared" si="49"/>
        <v>-116.02837081167711</v>
      </c>
      <c r="W135" s="334">
        <f t="shared" si="50"/>
        <v>63.971629188322893</v>
      </c>
      <c r="Y135" s="307">
        <f t="shared" si="51"/>
        <v>1000000000</v>
      </c>
      <c r="Z135" s="307">
        <f t="shared" si="52"/>
        <v>54954051.610000007</v>
      </c>
      <c r="AB135" s="333">
        <f t="shared" si="53"/>
        <v>24.495258213946013</v>
      </c>
      <c r="AC135" s="334">
        <f t="shared" si="54"/>
        <v>-30.582760030438941</v>
      </c>
      <c r="AE135" s="333">
        <f t="shared" si="55"/>
        <v>48.525142591653498</v>
      </c>
      <c r="AF135" s="334">
        <f t="shared" si="56"/>
        <v>-86.760398818169179</v>
      </c>
      <c r="AH135">
        <f t="shared" si="57"/>
        <v>0</v>
      </c>
      <c r="AI135">
        <f t="shared" si="61"/>
        <v>0</v>
      </c>
    </row>
    <row r="136" spans="1:35" x14ac:dyDescent="0.25">
      <c r="A136" s="335">
        <v>7499.45</v>
      </c>
      <c r="B136" s="352">
        <f t="shared" si="59"/>
        <v>7.4994499999999995</v>
      </c>
      <c r="C136" s="325">
        <f t="shared" si="31"/>
        <v>9.1429665195158147</v>
      </c>
      <c r="D136" s="326">
        <f t="shared" si="32"/>
        <v>1.4612033872269405</v>
      </c>
      <c r="E136" s="326">
        <f t="shared" si="33"/>
        <v>1.0000444057200695</v>
      </c>
      <c r="F136" s="327">
        <f t="shared" si="34"/>
        <v>9.423807819381921E-3</v>
      </c>
      <c r="G136" s="326">
        <f t="shared" si="35"/>
        <v>1</v>
      </c>
      <c r="H136" s="327">
        <f t="shared" si="36"/>
        <v>0</v>
      </c>
      <c r="I136" s="325">
        <f t="shared" si="37"/>
        <v>9953.763878787011</v>
      </c>
      <c r="J136" s="328">
        <f t="shared" si="38"/>
        <v>1.5706958622858065</v>
      </c>
      <c r="K136" s="336">
        <f t="shared" si="39"/>
        <v>2.1720571931141763</v>
      </c>
      <c r="L136" s="337">
        <f t="shared" si="40"/>
        <v>1.092358431822726</v>
      </c>
      <c r="M136" s="325">
        <f t="shared" si="41"/>
        <v>1.0013159573632455</v>
      </c>
      <c r="N136" s="337">
        <f t="shared" si="42"/>
        <v>5.127408433360281E-2</v>
      </c>
      <c r="O136" s="343">
        <f t="shared" si="43"/>
        <v>1.0009491082112008</v>
      </c>
      <c r="P136" s="691">
        <f t="shared" si="44"/>
        <v>4.355130644825983E-2</v>
      </c>
      <c r="Q136" s="336">
        <f t="shared" si="60"/>
        <v>15.12733238688838</v>
      </c>
      <c r="R136" s="692">
        <f t="shared" si="45"/>
        <v>2.0337197111485149E-2</v>
      </c>
      <c r="S136" s="329">
        <f t="shared" si="46"/>
        <v>0.99957087096793473</v>
      </c>
      <c r="T136" s="330">
        <f t="shared" si="47"/>
        <v>6.4375596565536181E-2</v>
      </c>
      <c r="U136" s="331">
        <f t="shared" si="48"/>
        <v>15.332935270193829</v>
      </c>
      <c r="V136" s="332">
        <f t="shared" si="49"/>
        <v>-115.88372689181729</v>
      </c>
      <c r="W136" s="334">
        <f t="shared" si="50"/>
        <v>64.11627310818271</v>
      </c>
      <c r="Y136" s="307">
        <f t="shared" si="51"/>
        <v>1000000000</v>
      </c>
      <c r="Z136" s="307">
        <f t="shared" si="52"/>
        <v>56241750.302499995</v>
      </c>
      <c r="AB136" s="333">
        <f t="shared" si="53"/>
        <v>24.473480101040117</v>
      </c>
      <c r="AC136" s="334">
        <f t="shared" si="54"/>
        <v>-30.344504614053953</v>
      </c>
      <c r="AE136" s="333">
        <f t="shared" si="55"/>
        <v>48.425862308038475</v>
      </c>
      <c r="AF136" s="334">
        <f t="shared" si="56"/>
        <v>-86.869292769435589</v>
      </c>
      <c r="AH136">
        <f t="shared" si="57"/>
        <v>0</v>
      </c>
      <c r="AI136">
        <f t="shared" si="61"/>
        <v>0</v>
      </c>
    </row>
    <row r="137" spans="1:35" x14ac:dyDescent="0.25">
      <c r="A137" s="335">
        <v>7585.8</v>
      </c>
      <c r="B137" s="352">
        <f t="shared" si="59"/>
        <v>7.5857999999999999</v>
      </c>
      <c r="C137" s="325">
        <f t="shared" si="31"/>
        <v>9.2469879955313647</v>
      </c>
      <c r="D137" s="326">
        <f t="shared" si="32"/>
        <v>1.462441098755376</v>
      </c>
      <c r="E137" s="326">
        <f t="shared" si="33"/>
        <v>1.0000454341745562</v>
      </c>
      <c r="F137" s="327">
        <f t="shared" si="34"/>
        <v>9.5323086818008759E-3</v>
      </c>
      <c r="G137" s="326">
        <f t="shared" si="35"/>
        <v>1</v>
      </c>
      <c r="H137" s="327">
        <f t="shared" si="36"/>
        <v>0</v>
      </c>
      <c r="I137" s="325">
        <f t="shared" si="37"/>
        <v>10068.373283784382</v>
      </c>
      <c r="J137" s="328">
        <f t="shared" si="38"/>
        <v>1.5706970058844121</v>
      </c>
      <c r="K137" s="336">
        <f t="shared" si="39"/>
        <v>2.1917894318599291</v>
      </c>
      <c r="L137" s="337">
        <f t="shared" si="40"/>
        <v>1.0970219032884705</v>
      </c>
      <c r="M137" s="325">
        <f t="shared" si="41"/>
        <v>1.0013464156705687</v>
      </c>
      <c r="N137" s="337">
        <f t="shared" si="42"/>
        <v>5.1863411154161813E-2</v>
      </c>
      <c r="O137" s="343">
        <f t="shared" si="43"/>
        <v>1.0009710797786449</v>
      </c>
      <c r="P137" s="691">
        <f t="shared" si="44"/>
        <v>4.4052119116553184E-2</v>
      </c>
      <c r="Q137" s="336">
        <f t="shared" si="60"/>
        <v>15.127402756506367</v>
      </c>
      <c r="R137" s="692">
        <f t="shared" si="45"/>
        <v>2.0571300354724015E-2</v>
      </c>
      <c r="S137" s="329">
        <f t="shared" si="46"/>
        <v>0.99956100382186708</v>
      </c>
      <c r="T137" s="330">
        <f t="shared" si="47"/>
        <v>6.511851581403405E-2</v>
      </c>
      <c r="U137" s="331">
        <f t="shared" si="48"/>
        <v>15.213764658713309</v>
      </c>
      <c r="V137" s="332">
        <f t="shared" si="49"/>
        <v>-115.74234494012423</v>
      </c>
      <c r="W137" s="334">
        <f t="shared" si="50"/>
        <v>64.257655059875773</v>
      </c>
      <c r="Y137" s="307">
        <f t="shared" si="51"/>
        <v>1000000000</v>
      </c>
      <c r="Z137" s="307">
        <f t="shared" si="52"/>
        <v>57544361.640000001</v>
      </c>
      <c r="AB137" s="333">
        <f t="shared" si="53"/>
        <v>24.452327848135749</v>
      </c>
      <c r="AC137" s="334">
        <f t="shared" si="54"/>
        <v>-30.111138843865898</v>
      </c>
      <c r="AE137" s="333">
        <f t="shared" si="55"/>
        <v>48.327693694999212</v>
      </c>
      <c r="AF137" s="334">
        <f t="shared" si="56"/>
        <v>-86.976557912360036</v>
      </c>
      <c r="AH137">
        <f t="shared" si="57"/>
        <v>0</v>
      </c>
      <c r="AI137">
        <f t="shared" si="61"/>
        <v>0</v>
      </c>
    </row>
    <row r="138" spans="1:35" x14ac:dyDescent="0.25">
      <c r="A138" s="335">
        <v>7674.15</v>
      </c>
      <c r="B138" s="352">
        <f t="shared" si="59"/>
        <v>7.67415</v>
      </c>
      <c r="C138" s="325">
        <f t="shared" si="31"/>
        <v>9.3534331021402224</v>
      </c>
      <c r="D138" s="326">
        <f t="shared" si="32"/>
        <v>1.4636789821382998</v>
      </c>
      <c r="E138" s="326">
        <f t="shared" si="33"/>
        <v>1.0000464986347695</v>
      </c>
      <c r="F138" s="327">
        <f t="shared" si="34"/>
        <v>9.6433223602460563E-3</v>
      </c>
      <c r="G138" s="326">
        <f t="shared" si="35"/>
        <v>1</v>
      </c>
      <c r="H138" s="327">
        <f t="shared" si="36"/>
        <v>0</v>
      </c>
      <c r="I138" s="325">
        <f t="shared" si="37"/>
        <v>10185.63722046843</v>
      </c>
      <c r="J138" s="328">
        <f t="shared" si="38"/>
        <v>1.5706981493338343</v>
      </c>
      <c r="K138" s="336">
        <f t="shared" si="39"/>
        <v>2.2120271446605302</v>
      </c>
      <c r="L138" s="337">
        <f t="shared" si="40"/>
        <v>1.1017071703953007</v>
      </c>
      <c r="M138" s="325">
        <f t="shared" si="41"/>
        <v>1.0013779393668014</v>
      </c>
      <c r="N138" s="337">
        <f t="shared" si="42"/>
        <v>5.2466350377780857E-2</v>
      </c>
      <c r="O138" s="343">
        <f t="shared" si="43"/>
        <v>1.0009938200766386</v>
      </c>
      <c r="P138" s="691">
        <f t="shared" si="44"/>
        <v>4.4564508496257385E-2</v>
      </c>
      <c r="Q138" s="336">
        <f t="shared" si="60"/>
        <v>15.127475589464657</v>
      </c>
      <c r="R138" s="692">
        <f t="shared" si="45"/>
        <v>2.0810823558473652E-2</v>
      </c>
      <c r="S138" s="329">
        <f t="shared" si="46"/>
        <v>0.99955079464956353</v>
      </c>
      <c r="T138" s="330">
        <f t="shared" si="47"/>
        <v>6.5878702154958821E-2</v>
      </c>
      <c r="U138" s="331">
        <f t="shared" si="48"/>
        <v>15.093584237952031</v>
      </c>
      <c r="V138" s="332">
        <f t="shared" si="49"/>
        <v>-115.60099656334432</v>
      </c>
      <c r="W138" s="334">
        <f t="shared" si="50"/>
        <v>64.399003436655676</v>
      </c>
      <c r="Y138" s="307">
        <f t="shared" si="51"/>
        <v>1000000000</v>
      </c>
      <c r="Z138" s="307">
        <f t="shared" si="52"/>
        <v>58892578.222499996</v>
      </c>
      <c r="AB138" s="333">
        <f t="shared" si="53"/>
        <v>24.431308972163926</v>
      </c>
      <c r="AC138" s="334">
        <f t="shared" si="54"/>
        <v>-29.877304200128108</v>
      </c>
      <c r="AE138" s="333">
        <f t="shared" si="55"/>
        <v>48.22837664366179</v>
      </c>
      <c r="AF138" s="334">
        <f t="shared" si="56"/>
        <v>-87.084678259589836</v>
      </c>
      <c r="AH138">
        <f t="shared" si="57"/>
        <v>0</v>
      </c>
      <c r="AI138">
        <f t="shared" si="61"/>
        <v>0</v>
      </c>
    </row>
    <row r="139" spans="1:35" x14ac:dyDescent="0.25">
      <c r="A139" s="335">
        <v>7762.5</v>
      </c>
      <c r="B139" s="352">
        <f t="shared" si="59"/>
        <v>7.7625000000000002</v>
      </c>
      <c r="C139" s="325">
        <f t="shared" si="31"/>
        <v>9.4598922189667363</v>
      </c>
      <c r="D139" s="326">
        <f t="shared" si="32"/>
        <v>1.4648890057185586</v>
      </c>
      <c r="E139" s="326">
        <f t="shared" si="33"/>
        <v>1.0000475754195666</v>
      </c>
      <c r="F139" s="327">
        <f t="shared" si="34"/>
        <v>9.7543358009950596E-3</v>
      </c>
      <c r="G139" s="326">
        <f t="shared" si="35"/>
        <v>1</v>
      </c>
      <c r="H139" s="327">
        <f t="shared" si="36"/>
        <v>0</v>
      </c>
      <c r="I139" s="325">
        <f t="shared" si="37"/>
        <v>10302.901157165494</v>
      </c>
      <c r="J139" s="328">
        <f t="shared" si="38"/>
        <v>1.5706992667545918</v>
      </c>
      <c r="K139" s="336">
        <f t="shared" si="39"/>
        <v>2.2323125342323409</v>
      </c>
      <c r="L139" s="337">
        <f t="shared" si="40"/>
        <v>1.1063073853835881</v>
      </c>
      <c r="M139" s="325">
        <f t="shared" si="41"/>
        <v>1.0014098270766749</v>
      </c>
      <c r="N139" s="337">
        <f t="shared" si="42"/>
        <v>5.3069251421997671E-2</v>
      </c>
      <c r="O139" s="343">
        <f t="shared" si="43"/>
        <v>1.0010168231664485</v>
      </c>
      <c r="P139" s="691">
        <f t="shared" si="44"/>
        <v>4.5076874461341961E-2</v>
      </c>
      <c r="Q139" s="336">
        <f t="shared" si="60"/>
        <v>15.127549265423353</v>
      </c>
      <c r="R139" s="692">
        <f t="shared" si="45"/>
        <v>2.1050344476688743E-2</v>
      </c>
      <c r="S139" s="329">
        <f t="shared" si="46"/>
        <v>0.99954047081056763</v>
      </c>
      <c r="T139" s="330">
        <f t="shared" si="47"/>
        <v>6.6638949809344303E-2</v>
      </c>
      <c r="U139" s="331">
        <f t="shared" si="48"/>
        <v>14.975125462192727</v>
      </c>
      <c r="V139" s="332">
        <f t="shared" si="49"/>
        <v>-115.4629261232662</v>
      </c>
      <c r="W139" s="334">
        <f t="shared" si="50"/>
        <v>64.5370738767338</v>
      </c>
      <c r="Y139" s="307">
        <f t="shared" si="51"/>
        <v>1000000000</v>
      </c>
      <c r="Z139" s="307">
        <f t="shared" si="52"/>
        <v>60256406.25</v>
      </c>
      <c r="AB139" s="333">
        <f t="shared" si="53"/>
        <v>24.410896710796109</v>
      </c>
      <c r="AC139" s="334">
        <f t="shared" si="54"/>
        <v>-29.648339004975789</v>
      </c>
      <c r="AE139" s="333">
        <f t="shared" si="55"/>
        <v>48.130172830772736</v>
      </c>
      <c r="AF139" s="334">
        <f t="shared" si="56"/>
        <v>-87.191205884328568</v>
      </c>
      <c r="AH139">
        <f t="shared" si="57"/>
        <v>0</v>
      </c>
      <c r="AI139">
        <f t="shared" si="61"/>
        <v>0</v>
      </c>
    </row>
    <row r="140" spans="1:35" x14ac:dyDescent="0.25">
      <c r="A140" s="335">
        <v>7852.9</v>
      </c>
      <c r="B140" s="352">
        <f t="shared" si="59"/>
        <v>7.8529</v>
      </c>
      <c r="C140" s="325">
        <f t="shared" si="31"/>
        <v>9.5688355385448816</v>
      </c>
      <c r="D140" s="326">
        <f t="shared" si="32"/>
        <v>1.4660992350222168</v>
      </c>
      <c r="E140" s="326">
        <f t="shared" si="33"/>
        <v>1.000048689945997</v>
      </c>
      <c r="F140" s="327">
        <f t="shared" si="34"/>
        <v>9.867924856508269E-3</v>
      </c>
      <c r="G140" s="326">
        <f t="shared" si="35"/>
        <v>1</v>
      </c>
      <c r="H140" s="327">
        <f t="shared" si="36"/>
        <v>0</v>
      </c>
      <c r="I140" s="325">
        <f t="shared" si="37"/>
        <v>10422.885988841375</v>
      </c>
      <c r="J140" s="328">
        <f t="shared" si="38"/>
        <v>1.5707003840778215</v>
      </c>
      <c r="K140" s="336">
        <f t="shared" si="39"/>
        <v>2.2531166148827411</v>
      </c>
      <c r="L140" s="337">
        <f t="shared" si="40"/>
        <v>1.1109285006468583</v>
      </c>
      <c r="M140" s="325">
        <f t="shared" si="41"/>
        <v>1.0014428314272403</v>
      </c>
      <c r="N140" s="337">
        <f t="shared" si="42"/>
        <v>5.368610170930678E-2</v>
      </c>
      <c r="O140" s="343">
        <f t="shared" si="43"/>
        <v>1.0010406319909084</v>
      </c>
      <c r="P140" s="691">
        <f t="shared" si="44"/>
        <v>4.5601104425844301E-2</v>
      </c>
      <c r="Q140" s="336">
        <f t="shared" si="60"/>
        <v>15.127625523452712</v>
      </c>
      <c r="R140" s="692">
        <f t="shared" si="45"/>
        <v>2.1295420646202864E-2</v>
      </c>
      <c r="S140" s="329">
        <f t="shared" si="46"/>
        <v>0.99952978886525334</v>
      </c>
      <c r="T140" s="330">
        <f t="shared" si="47"/>
        <v>6.7416901815761598E-2</v>
      </c>
      <c r="U140" s="331">
        <f t="shared" si="48"/>
        <v>14.855650835496634</v>
      </c>
      <c r="V140" s="332">
        <f t="shared" si="49"/>
        <v>-115.3249745480458</v>
      </c>
      <c r="W140" s="334">
        <f t="shared" si="50"/>
        <v>64.675025451954198</v>
      </c>
      <c r="Y140" s="307">
        <f t="shared" si="51"/>
        <v>1000000000</v>
      </c>
      <c r="Z140" s="307">
        <f t="shared" si="52"/>
        <v>61668038.409999996</v>
      </c>
      <c r="AB140" s="333">
        <f t="shared" si="53"/>
        <v>24.390614816443442</v>
      </c>
      <c r="AC140" s="334">
        <f t="shared" si="54"/>
        <v>-29.418975539444492</v>
      </c>
      <c r="AE140" s="333">
        <f t="shared" si="55"/>
        <v>48.030817295620736</v>
      </c>
      <c r="AF140" s="334">
        <f t="shared" si="56"/>
        <v>-87.298612108945619</v>
      </c>
      <c r="AH140">
        <f t="shared" si="57"/>
        <v>0</v>
      </c>
      <c r="AI140">
        <f t="shared" si="61"/>
        <v>0</v>
      </c>
    </row>
    <row r="141" spans="1:35" x14ac:dyDescent="0.25">
      <c r="A141" s="335">
        <v>7943.3</v>
      </c>
      <c r="B141" s="352">
        <f t="shared" si="59"/>
        <v>7.9432999999999998</v>
      </c>
      <c r="C141" s="325">
        <f t="shared" ref="C141:C204" si="62">SQRT(1+(A141/pole1)^2)</f>
        <v>9.6777925576178685</v>
      </c>
      <c r="D141" s="326">
        <f t="shared" ref="D141:D204" si="63">ATAN(A141/pole1)</f>
        <v>1.4672822153950913</v>
      </c>
      <c r="E141" s="326">
        <f t="shared" ref="E141:E204" si="64">SQRT(1+(A141/Zero1)^2)</f>
        <v>1.0000498173755006</v>
      </c>
      <c r="F141" s="327">
        <f t="shared" ref="F141:F204" si="65">ATAN(A141/Zero1)</f>
        <v>9.981513657372508E-3</v>
      </c>
      <c r="G141" s="326">
        <f t="shared" ref="G141:G204" si="66">IF(VIN_nom&gt;Vout, 1, SQRT(1+(A141/z_RHP)^2))</f>
        <v>1</v>
      </c>
      <c r="H141" s="327">
        <f t="shared" ref="H141:H204" si="67">IF(VIN_nom&gt;Vout, 0, -ATAN(A141/z_RHP))</f>
        <v>0</v>
      </c>
      <c r="I141" s="325">
        <f t="shared" ref="I141:I204" si="68">SQRT(1+(A141/Pole2)^2)</f>
        <v>10542.870820529974</v>
      </c>
      <c r="J141" s="328">
        <f t="shared" ref="J141:J204" si="69">ATAN(A141/Pole2)</f>
        <v>1.5707014759692988</v>
      </c>
      <c r="K141" s="336">
        <f t="shared" ref="K141:K147" si="70">SQRT(1+(A141/Zero2)^2)</f>
        <v>2.2739679292011261</v>
      </c>
      <c r="L141" s="337">
        <f t="shared" ref="L141:L147" si="71">ATAN(A141/Zero2)</f>
        <v>1.1154649640063674</v>
      </c>
      <c r="M141" s="325">
        <f t="shared" ref="M141:M204" si="72">SQRT(1+(A141/pole4)^2)</f>
        <v>1.0014762168058855</v>
      </c>
      <c r="N141" s="337">
        <f t="shared" ref="N141:N204" si="73">ATAN(A141/pole4)</f>
        <v>5.4302911104452865E-2</v>
      </c>
      <c r="O141" s="343">
        <f t="shared" ref="O141:O204" si="74">IF(VOUT_setting=1,1,SQRT(1+(A141*zterm1)^2))</f>
        <v>1.0010647159052775</v>
      </c>
      <c r="P141" s="691">
        <f t="shared" ref="P141:P204" si="75">IF(VOUT_setting=1,0,ATAN(((A141*zterm1))))</f>
        <v>4.6125309310238762E-2</v>
      </c>
      <c r="Q141" s="336">
        <f t="shared" si="60"/>
        <v>15.127702664030684</v>
      </c>
      <c r="R141" s="692">
        <f t="shared" ref="R141:R204" si="76">IF(VOUT_setting=1,0,ATAN(A141*$Q$4/(1+Afbr-$Q$5*(A141)^2)))</f>
        <v>2.1540494367250793E-2</v>
      </c>
      <c r="S141" s="329">
        <f t="shared" ref="S141:S204" si="77">SQRT((1-(Z141/pterm2))^2+(A141/pterm1)^2)</f>
        <v>0.99951898713163712</v>
      </c>
      <c r="T141" s="330">
        <f t="shared" ref="T141:T204" si="78">IF((ATAN((A141/pterm1)/(1-A141^2/pterm2))&gt;0),ATAN((A141/pterm1)/(1-A141^2/pterm2)),PI()+ATAN((A141/pterm1)/(1-A141^2/pterm2)))</f>
        <v>6.8194919502568965E-2</v>
      </c>
      <c r="U141" s="331">
        <f t="shared" ref="U141:U204" si="79">20*LOG10(((E141*K141*G141*O141)/(C141*I141*S141*M141*Q141))*Adc)</f>
        <v>14.73788058872014</v>
      </c>
      <c r="V141" s="332">
        <f t="shared" ref="V141:V204" si="80">((F141+L141+H141+P141)-(D141+J141+T141+N141+R141))*radconv</f>
        <v>-115.19031319532884</v>
      </c>
      <c r="W141" s="334">
        <f t="shared" ref="W141:W204" si="81">IF(V141&gt;0,V141,V141+180)</f>
        <v>64.809686804671159</v>
      </c>
      <c r="Y141" s="307">
        <f t="shared" ref="Y141:Y204" si="82">IF(U141&lt;0,A141,1000000000)</f>
        <v>1000000000</v>
      </c>
      <c r="Z141" s="307">
        <f t="shared" ref="Z141:Z204" si="83">A141^2</f>
        <v>63096014.890000001</v>
      </c>
      <c r="AB141" s="333">
        <f t="shared" ref="AB141:AB204" si="84">20*LOG10((K141/(I141*M141))*AEA)</f>
        <v>24.370920601426619</v>
      </c>
      <c r="AC141" s="334">
        <f t="shared" ref="AC141:AC204" si="85">(L141-(J141+N141))*radconv</f>
        <v>-29.194458470651547</v>
      </c>
      <c r="AE141" s="333">
        <f t="shared" ref="AE141:AE204" si="86">20*LOG10((E141*G141/(C141*S141))*Acs*Am)</f>
        <v>47.932576585619557</v>
      </c>
      <c r="AF141" s="334">
        <f t="shared" ref="AF141:AF204" si="87">(F141+H141-(D141+T141))*radconv</f>
        <v>-87.404460862630231</v>
      </c>
      <c r="AH141">
        <f t="shared" ref="AH141:AH204" si="88">SUM((U142&lt;0)*(U141&gt;0))*A141</f>
        <v>0</v>
      </c>
      <c r="AI141">
        <f t="shared" si="61"/>
        <v>0</v>
      </c>
    </row>
    <row r="142" spans="1:35" x14ac:dyDescent="0.25">
      <c r="A142" s="335">
        <v>8035.8</v>
      </c>
      <c r="B142" s="352">
        <f t="shared" ref="B142:B205" si="89">A142/1000</f>
        <v>8.0358000000000001</v>
      </c>
      <c r="C142" s="325">
        <f t="shared" si="62"/>
        <v>9.7892943612731891</v>
      </c>
      <c r="D142" s="326">
        <f t="shared" si="63"/>
        <v>1.4684654164386486</v>
      </c>
      <c r="E142" s="326">
        <f t="shared" si="64"/>
        <v>1.0000509843514094</v>
      </c>
      <c r="F142" s="327">
        <f t="shared" si="65"/>
        <v>1.0097740869485316E-2</v>
      </c>
      <c r="G142" s="326">
        <f t="shared" si="66"/>
        <v>1</v>
      </c>
      <c r="H142" s="327">
        <f t="shared" si="67"/>
        <v>0</v>
      </c>
      <c r="I142" s="325">
        <f t="shared" si="68"/>
        <v>10665.64291048954</v>
      </c>
      <c r="J142" s="328">
        <f t="shared" si="69"/>
        <v>1.5707025677960385</v>
      </c>
      <c r="K142" s="336">
        <f t="shared" si="70"/>
        <v>2.2953511709032126</v>
      </c>
      <c r="L142" s="337">
        <f t="shared" si="71"/>
        <v>1.1200213997952233</v>
      </c>
      <c r="M142" s="325">
        <f t="shared" si="72"/>
        <v>1.001510772097943</v>
      </c>
      <c r="N142" s="337">
        <f t="shared" si="73"/>
        <v>5.4934006223057885E-2</v>
      </c>
      <c r="O142" s="343">
        <f t="shared" si="74"/>
        <v>1.0010896440200747</v>
      </c>
      <c r="P142" s="691">
        <f t="shared" si="75"/>
        <v>4.6661665261073647E-2</v>
      </c>
      <c r="Q142" s="336">
        <f t="shared" si="60"/>
        <v>15.127782510116299</v>
      </c>
      <c r="R142" s="692">
        <f t="shared" si="76"/>
        <v>2.1791258608733721E-2</v>
      </c>
      <c r="S142" s="329">
        <f t="shared" si="77"/>
        <v>0.99950781061843208</v>
      </c>
      <c r="T142" s="330">
        <f t="shared" si="78"/>
        <v>6.8991079380960621E-2</v>
      </c>
      <c r="U142" s="331">
        <f t="shared" si="79"/>
        <v>14.619090004085852</v>
      </c>
      <c r="V142" s="332">
        <f t="shared" si="80"/>
        <v>-115.05585679731529</v>
      </c>
      <c r="W142" s="334">
        <f t="shared" si="81"/>
        <v>64.944143202684714</v>
      </c>
      <c r="Y142" s="307">
        <f t="shared" si="82"/>
        <v>1000000000</v>
      </c>
      <c r="Z142" s="307">
        <f t="shared" si="83"/>
        <v>64574081.640000001</v>
      </c>
      <c r="AB142" s="333">
        <f t="shared" si="84"/>
        <v>24.351353891076268</v>
      </c>
      <c r="AC142" s="334">
        <f t="shared" si="85"/>
        <v>-28.969615573902345</v>
      </c>
      <c r="AE142" s="333">
        <f t="shared" si="86"/>
        <v>47.833182266658312</v>
      </c>
      <c r="AF142" s="334">
        <f t="shared" si="87"/>
        <v>-87.511210560994371</v>
      </c>
      <c r="AH142">
        <f t="shared" si="88"/>
        <v>0</v>
      </c>
      <c r="AI142">
        <f t="shared" si="61"/>
        <v>0</v>
      </c>
    </row>
    <row r="143" spans="1:35" x14ac:dyDescent="0.25">
      <c r="A143" s="335">
        <v>8128.3</v>
      </c>
      <c r="B143" s="352">
        <f t="shared" si="89"/>
        <v>8.1282999999999994</v>
      </c>
      <c r="C143" s="325">
        <f t="shared" si="62"/>
        <v>9.9008095609032747</v>
      </c>
      <c r="D143" s="326">
        <f t="shared" si="63"/>
        <v>1.4696219657151557</v>
      </c>
      <c r="E143" s="326">
        <f t="shared" si="64"/>
        <v>1.0000521648367402</v>
      </c>
      <c r="F143" s="327">
        <f t="shared" si="65"/>
        <v>1.0213967808773476E-2</v>
      </c>
      <c r="G143" s="326">
        <f t="shared" si="66"/>
        <v>1</v>
      </c>
      <c r="H143" s="327">
        <f t="shared" si="67"/>
        <v>0</v>
      </c>
      <c r="I143" s="325">
        <f t="shared" si="68"/>
        <v>10788.415000461531</v>
      </c>
      <c r="J143" s="328">
        <f t="shared" si="69"/>
        <v>1.5707036347728165</v>
      </c>
      <c r="K143" s="336">
        <f t="shared" si="70"/>
        <v>2.3167811863991936</v>
      </c>
      <c r="L143" s="337">
        <f t="shared" si="71"/>
        <v>1.1244936337736984</v>
      </c>
      <c r="M143" s="325">
        <f t="shared" si="72"/>
        <v>1.0015457262451442</v>
      </c>
      <c r="N143" s="337">
        <f t="shared" si="73"/>
        <v>5.5565057542291109E-2</v>
      </c>
      <c r="O143" s="343">
        <f t="shared" si="74"/>
        <v>1.0011148601116537</v>
      </c>
      <c r="P143" s="691">
        <f t="shared" si="75"/>
        <v>4.7197994346713401E-2</v>
      </c>
      <c r="Q143" s="336">
        <f t="shared" ref="Q143:Q206" si="90">IF(VOUT_setting=1,1,SQRT((1+Afbr-$Q$5*(A143)^2)^2+(A143*$Q$4)^2))</f>
        <v>15.127863280201408</v>
      </c>
      <c r="R143" s="692">
        <f t="shared" si="76"/>
        <v>2.204202022707499E-2</v>
      </c>
      <c r="S143" s="329">
        <f t="shared" si="77"/>
        <v>0.99949650897347586</v>
      </c>
      <c r="T143" s="330">
        <f t="shared" si="78"/>
        <v>6.9787309620939958E-2</v>
      </c>
      <c r="U143" s="331">
        <f t="shared" si="79"/>
        <v>14.501986833115994</v>
      </c>
      <c r="V143" s="332">
        <f t="shared" si="80"/>
        <v>-114.92469927660314</v>
      </c>
      <c r="W143" s="334">
        <f t="shared" si="81"/>
        <v>65.075300723396865</v>
      </c>
      <c r="Y143" s="307">
        <f t="shared" si="82"/>
        <v>1000000000</v>
      </c>
      <c r="Z143" s="307">
        <f t="shared" si="83"/>
        <v>66069260.890000001</v>
      </c>
      <c r="AB143" s="333">
        <f t="shared" si="84"/>
        <v>24.332356230854376</v>
      </c>
      <c r="AC143" s="334">
        <f t="shared" si="85"/>
        <v>-28.749593152203751</v>
      </c>
      <c r="AE143" s="333">
        <f t="shared" si="86"/>
        <v>47.734904348355641</v>
      </c>
      <c r="AF143" s="334">
        <f t="shared" si="87"/>
        <v>-87.616437272641946</v>
      </c>
      <c r="AH143">
        <f t="shared" si="88"/>
        <v>0</v>
      </c>
      <c r="AI143">
        <f t="shared" si="61"/>
        <v>0</v>
      </c>
    </row>
    <row r="144" spans="1:35" x14ac:dyDescent="0.25">
      <c r="A144" s="335">
        <v>8222.9500000000007</v>
      </c>
      <c r="B144" s="352">
        <f t="shared" si="89"/>
        <v>8.2229500000000009</v>
      </c>
      <c r="C144" s="325">
        <f t="shared" si="62"/>
        <v>10.014930135285889</v>
      </c>
      <c r="D144" s="326">
        <f t="shared" si="63"/>
        <v>1.470778734313374</v>
      </c>
      <c r="E144" s="326">
        <f t="shared" si="64"/>
        <v>1.0000533867444041</v>
      </c>
      <c r="F144" s="327">
        <f t="shared" si="65"/>
        <v>1.0332895953397946E-2</v>
      </c>
      <c r="G144" s="326">
        <f t="shared" si="66"/>
        <v>1</v>
      </c>
      <c r="H144" s="327">
        <f t="shared" si="67"/>
        <v>0</v>
      </c>
      <c r="I144" s="325">
        <f t="shared" si="68"/>
        <v>10914.040711996648</v>
      </c>
      <c r="J144" s="328">
        <f t="shared" si="69"/>
        <v>1.5707047017013325</v>
      </c>
      <c r="K144" s="336">
        <f t="shared" si="70"/>
        <v>2.3387563808806946</v>
      </c>
      <c r="L144" s="337">
        <f t="shared" si="71"/>
        <v>1.1289848872673358</v>
      </c>
      <c r="M144" s="325">
        <f t="shared" si="72"/>
        <v>1.0015819056654416</v>
      </c>
      <c r="N144" s="337">
        <f t="shared" si="73"/>
        <v>5.6210730683094984E-2</v>
      </c>
      <c r="O144" s="343">
        <f t="shared" si="74"/>
        <v>1.0011409603791253</v>
      </c>
      <c r="P144" s="691">
        <f t="shared" si="75"/>
        <v>4.7746761330911727E-2</v>
      </c>
      <c r="Q144" s="336">
        <f t="shared" si="90"/>
        <v>15.127946884094026</v>
      </c>
      <c r="R144" s="692">
        <f t="shared" si="76"/>
        <v>2.2298607611962815E-2</v>
      </c>
      <c r="S144" s="329">
        <f t="shared" si="77"/>
        <v>0.99948481526721245</v>
      </c>
      <c r="T144" s="330">
        <f t="shared" si="78"/>
        <v>7.0602120508662089E-2</v>
      </c>
      <c r="U144" s="331">
        <f t="shared" si="79"/>
        <v>14.383860262891794</v>
      </c>
      <c r="V144" s="332">
        <f t="shared" si="80"/>
        <v>-114.79383332782515</v>
      </c>
      <c r="W144" s="334">
        <f t="shared" si="81"/>
        <v>65.206166672174845</v>
      </c>
      <c r="Y144" s="307">
        <f t="shared" si="82"/>
        <v>1000000000</v>
      </c>
      <c r="Z144" s="307">
        <f t="shared" si="83"/>
        <v>67616906.702500015</v>
      </c>
      <c r="AB144" s="333">
        <f t="shared" si="84"/>
        <v>24.313483317688611</v>
      </c>
      <c r="AC144" s="334">
        <f t="shared" si="85"/>
        <v>-28.529318758457272</v>
      </c>
      <c r="AE144" s="333">
        <f t="shared" si="86"/>
        <v>47.635472244964603</v>
      </c>
      <c r="AF144" s="334">
        <f t="shared" si="87"/>
        <v>-87.722586375529886</v>
      </c>
      <c r="AH144">
        <f t="shared" si="88"/>
        <v>0</v>
      </c>
      <c r="AI144">
        <f t="shared" si="61"/>
        <v>0</v>
      </c>
    </row>
    <row r="145" spans="1:35" x14ac:dyDescent="0.25">
      <c r="A145" s="335">
        <v>8270.2750000000015</v>
      </c>
      <c r="B145" s="352">
        <f t="shared" si="89"/>
        <v>8.2702750000000016</v>
      </c>
      <c r="C145" s="325">
        <f t="shared" si="62"/>
        <v>10.071995362482566</v>
      </c>
      <c r="D145" s="326">
        <f t="shared" si="63"/>
        <v>1.471347288172248</v>
      </c>
      <c r="E145" s="326">
        <f t="shared" si="64"/>
        <v>1.0000540030024734</v>
      </c>
      <c r="F145" s="327">
        <f t="shared" si="65"/>
        <v>1.0392359916306132E-2</v>
      </c>
      <c r="G145" s="326">
        <f t="shared" si="66"/>
        <v>1</v>
      </c>
      <c r="H145" s="327">
        <f t="shared" si="67"/>
        <v>0</v>
      </c>
      <c r="I145" s="325">
        <f t="shared" si="68"/>
        <v>10976.853567768785</v>
      </c>
      <c r="J145" s="328">
        <f t="shared" si="69"/>
        <v>1.5707052260076619</v>
      </c>
      <c r="K145" s="336">
        <f t="shared" si="70"/>
        <v>2.3497614208137518</v>
      </c>
      <c r="L145" s="337">
        <f t="shared" si="71"/>
        <v>1.131198989734385</v>
      </c>
      <c r="M145" s="325">
        <f t="shared" si="72"/>
        <v>1.001600151949573</v>
      </c>
      <c r="N145" s="337">
        <f t="shared" si="73"/>
        <v>5.6533549694136619E-2</v>
      </c>
      <c r="O145" s="343">
        <f t="shared" si="74"/>
        <v>1.0011541235667296</v>
      </c>
      <c r="P145" s="691">
        <f t="shared" si="75"/>
        <v>4.8021134051857775E-2</v>
      </c>
      <c r="Q145" s="336">
        <f t="shared" si="90"/>
        <v>15.127989048824091</v>
      </c>
      <c r="R145" s="692">
        <f t="shared" si="76"/>
        <v>2.2426900252546331E-2</v>
      </c>
      <c r="S145" s="329">
        <f t="shared" si="77"/>
        <v>0.9994789193907414</v>
      </c>
      <c r="T145" s="330">
        <f t="shared" si="78"/>
        <v>7.100955416527184E-2</v>
      </c>
      <c r="U145" s="331">
        <f t="shared" si="79"/>
        <v>14.325426399450139</v>
      </c>
      <c r="V145" s="332">
        <f t="shared" si="80"/>
        <v>-114.72964396771076</v>
      </c>
      <c r="W145" s="334">
        <f t="shared" si="81"/>
        <v>65.270356032289243</v>
      </c>
      <c r="Y145" s="307">
        <f t="shared" si="82"/>
        <v>1000000000</v>
      </c>
      <c r="Z145" s="307">
        <f t="shared" si="83"/>
        <v>68397448.575625017</v>
      </c>
      <c r="AB145" s="333">
        <f t="shared" si="84"/>
        <v>24.304254733850776</v>
      </c>
      <c r="AC145" s="334">
        <f t="shared" si="85"/>
        <v>-28.420986238981179</v>
      </c>
      <c r="AE145" s="333">
        <f t="shared" si="86"/>
        <v>47.586176971763393</v>
      </c>
      <c r="AF145" s="334">
        <f t="shared" si="87"/>
        <v>-87.775099306976813</v>
      </c>
      <c r="AH145">
        <f t="shared" si="88"/>
        <v>0</v>
      </c>
      <c r="AI145">
        <f t="shared" si="61"/>
        <v>0</v>
      </c>
    </row>
    <row r="146" spans="1:35" x14ac:dyDescent="0.25">
      <c r="A146" s="335">
        <v>8317.6</v>
      </c>
      <c r="B146" s="352">
        <f t="shared" si="89"/>
        <v>8.3176000000000005</v>
      </c>
      <c r="C146" s="325">
        <f t="shared" si="62"/>
        <v>10.129063808801082</v>
      </c>
      <c r="D146" s="326">
        <f t="shared" si="63"/>
        <v>1.4719094356002216</v>
      </c>
      <c r="E146" s="326">
        <f t="shared" si="64"/>
        <v>1.000054622796692</v>
      </c>
      <c r="F146" s="327">
        <f t="shared" si="65"/>
        <v>1.0451823805717762E-2</v>
      </c>
      <c r="G146" s="326">
        <f t="shared" si="66"/>
        <v>1</v>
      </c>
      <c r="H146" s="327">
        <f t="shared" si="67"/>
        <v>0</v>
      </c>
      <c r="I146" s="325">
        <f t="shared" si="68"/>
        <v>11039.666423543904</v>
      </c>
      <c r="J146" s="328">
        <f t="shared" si="69"/>
        <v>1.5707057443476558</v>
      </c>
      <c r="K146" s="336">
        <f t="shared" si="70"/>
        <v>2.3607778724359441</v>
      </c>
      <c r="L146" s="337">
        <f t="shared" si="71"/>
        <v>1.133392438874447</v>
      </c>
      <c r="M146" s="325">
        <f t="shared" si="72"/>
        <v>1.0016185026087641</v>
      </c>
      <c r="N146" s="337">
        <f t="shared" si="73"/>
        <v>5.6856356910079182E-2</v>
      </c>
      <c r="O146" s="343">
        <f t="shared" si="74"/>
        <v>1.0011673621196218</v>
      </c>
      <c r="P146" s="691">
        <f t="shared" si="75"/>
        <v>4.8295499537332663E-2</v>
      </c>
      <c r="Q146" s="336">
        <f t="shared" si="90"/>
        <v>15.128031455407305</v>
      </c>
      <c r="R146" s="692">
        <f t="shared" si="76"/>
        <v>2.255519218650864E-2</v>
      </c>
      <c r="S146" s="329">
        <f t="shared" si="77"/>
        <v>0.99947299085887387</v>
      </c>
      <c r="T146" s="330">
        <f t="shared" si="78"/>
        <v>7.1417006774273276E-2</v>
      </c>
      <c r="U146" s="331">
        <f t="shared" si="79"/>
        <v>14.267404409736502</v>
      </c>
      <c r="V146" s="332">
        <f t="shared" si="80"/>
        <v>-114.66627134113756</v>
      </c>
      <c r="W146" s="334">
        <f t="shared" si="81"/>
        <v>65.333728658862441</v>
      </c>
      <c r="Y146" s="307">
        <f t="shared" si="82"/>
        <v>1000000000</v>
      </c>
      <c r="Z146" s="307">
        <f t="shared" si="83"/>
        <v>69182469.760000005</v>
      </c>
      <c r="AB146" s="333">
        <f t="shared" si="84"/>
        <v>24.295161129800743</v>
      </c>
      <c r="AC146" s="334">
        <f t="shared" si="85"/>
        <v>-28.313836050320479</v>
      </c>
      <c r="AE146" s="333">
        <f t="shared" si="86"/>
        <v>47.537158078947215</v>
      </c>
      <c r="AF146" s="334">
        <f t="shared" si="87"/>
        <v>-87.827246267074059</v>
      </c>
      <c r="AH146">
        <f t="shared" si="88"/>
        <v>0</v>
      </c>
      <c r="AI146">
        <f t="shared" si="61"/>
        <v>0</v>
      </c>
    </row>
    <row r="147" spans="1:35" x14ac:dyDescent="0.25">
      <c r="A147" s="335">
        <v>8366.0499999999993</v>
      </c>
      <c r="B147" s="352">
        <f t="shared" si="89"/>
        <v>8.3660499999999995</v>
      </c>
      <c r="C147" s="325">
        <f t="shared" si="62"/>
        <v>10.187492152617869</v>
      </c>
      <c r="D147" s="326">
        <f t="shared" si="63"/>
        <v>1.4724784216481057</v>
      </c>
      <c r="E147" s="326">
        <f t="shared" si="64"/>
        <v>1.0000552609877618</v>
      </c>
      <c r="F147" s="327">
        <f t="shared" si="65"/>
        <v>1.051270118169215E-2</v>
      </c>
      <c r="G147" s="326">
        <f t="shared" si="66"/>
        <v>1</v>
      </c>
      <c r="H147" s="327">
        <f t="shared" si="67"/>
        <v>0</v>
      </c>
      <c r="I147" s="325">
        <f t="shared" si="68"/>
        <v>11103.972453389611</v>
      </c>
      <c r="J147" s="328">
        <f t="shared" si="69"/>
        <v>1.5707062689344733</v>
      </c>
      <c r="K147" s="336">
        <f t="shared" si="70"/>
        <v>2.3720678606531012</v>
      </c>
      <c r="L147" s="337">
        <f t="shared" si="71"/>
        <v>1.1356169131987293</v>
      </c>
      <c r="M147" s="325">
        <f t="shared" si="72"/>
        <v>1.0016373976163206</v>
      </c>
      <c r="N147" s="337">
        <f t="shared" si="73"/>
        <v>5.7186825543045675E-2</v>
      </c>
      <c r="O147" s="343">
        <f t="shared" si="74"/>
        <v>1.0011809934474363</v>
      </c>
      <c r="P147" s="691">
        <f t="shared" si="75"/>
        <v>4.857637964338804E-2</v>
      </c>
      <c r="Q147" s="336">
        <f t="shared" si="90"/>
        <v>15.128075120614231</v>
      </c>
      <c r="R147" s="692">
        <f t="shared" si="76"/>
        <v>2.2686533113256455E-2</v>
      </c>
      <c r="S147" s="329">
        <f t="shared" si="77"/>
        <v>0.99946688758731106</v>
      </c>
      <c r="T147" s="330">
        <f t="shared" si="78"/>
        <v>7.1834165007676878E-2</v>
      </c>
      <c r="U147" s="331">
        <f t="shared" si="79"/>
        <v>14.208423897569009</v>
      </c>
      <c r="V147" s="332">
        <f t="shared" si="80"/>
        <v>-114.60222878994024</v>
      </c>
      <c r="W147" s="334">
        <f t="shared" si="81"/>
        <v>65.397771210059759</v>
      </c>
      <c r="Y147" s="307">
        <f t="shared" si="82"/>
        <v>1000000000</v>
      </c>
      <c r="Z147" s="307">
        <f t="shared" si="83"/>
        <v>69990792.602499992</v>
      </c>
      <c r="AB147" s="333">
        <f t="shared" si="84"/>
        <v>24.285988447596566</v>
      </c>
      <c r="AC147" s="334">
        <f t="shared" si="85"/>
        <v>-28.205347574320985</v>
      </c>
      <c r="AE147" s="333">
        <f t="shared" si="86"/>
        <v>47.487257058353414</v>
      </c>
      <c r="AF147" s="334">
        <f t="shared" si="87"/>
        <v>-87.88026015573223</v>
      </c>
      <c r="AH147">
        <f t="shared" si="88"/>
        <v>0</v>
      </c>
      <c r="AI147">
        <f t="shared" si="61"/>
        <v>0</v>
      </c>
    </row>
    <row r="148" spans="1:35" x14ac:dyDescent="0.25">
      <c r="A148" s="338">
        <v>8414.5</v>
      </c>
      <c r="B148" s="352">
        <f t="shared" si="89"/>
        <v>8.4145000000000003</v>
      </c>
      <c r="C148" s="325">
        <f t="shared" si="62"/>
        <v>10.245923756968905</v>
      </c>
      <c r="D148" s="326">
        <f t="shared" si="63"/>
        <v>1.4730409181213362</v>
      </c>
      <c r="E148" s="326">
        <f t="shared" si="64"/>
        <v>1.0000559028850866</v>
      </c>
      <c r="F148" s="327">
        <f t="shared" si="65"/>
        <v>1.0573578479742472E-2</v>
      </c>
      <c r="G148" s="326">
        <f t="shared" si="66"/>
        <v>1</v>
      </c>
      <c r="H148" s="327">
        <f t="shared" si="67"/>
        <v>0</v>
      </c>
      <c r="I148" s="325">
        <f t="shared" si="68"/>
        <v>11168.278483238344</v>
      </c>
      <c r="J148" s="328">
        <f t="shared" si="69"/>
        <v>1.5707067874802352</v>
      </c>
      <c r="K148" s="336">
        <f t="shared" ref="K148:K157" si="91">SQRT(1+(A148/Zero2)^2)</f>
        <v>2.3833694753044328</v>
      </c>
      <c r="L148" s="337">
        <f t="shared" ref="L148:L157" si="92">ATAN(A148/Zero2)</f>
        <v>1.1378203020292337</v>
      </c>
      <c r="M148" s="325">
        <f t="shared" si="72"/>
        <v>1.0016564020080803</v>
      </c>
      <c r="N148" s="337">
        <f t="shared" si="73"/>
        <v>5.7517281672160435E-2</v>
      </c>
      <c r="O148" s="343">
        <f t="shared" si="74"/>
        <v>1.0011947037599029</v>
      </c>
      <c r="P148" s="691">
        <f t="shared" si="75"/>
        <v>4.8857252078884451E-2</v>
      </c>
      <c r="Q148" s="336">
        <f t="shared" si="90"/>
        <v>15.128119039305213</v>
      </c>
      <c r="R148" s="692">
        <f t="shared" si="76"/>
        <v>2.2817873290828711E-2</v>
      </c>
      <c r="S148" s="329">
        <f t="shared" si="77"/>
        <v>0.99946075013246083</v>
      </c>
      <c r="T148" s="330">
        <f t="shared" si="78"/>
        <v>7.2251343334122892E-2</v>
      </c>
      <c r="U148" s="331">
        <f t="shared" si="79"/>
        <v>14.149863182178482</v>
      </c>
      <c r="V148" s="332">
        <f t="shared" si="80"/>
        <v>-114.53902301304026</v>
      </c>
      <c r="W148" s="334">
        <f t="shared" si="81"/>
        <v>65.460976986959736</v>
      </c>
      <c r="Y148" s="307">
        <f t="shared" si="82"/>
        <v>1000000000</v>
      </c>
      <c r="Z148" s="307">
        <f t="shared" si="83"/>
        <v>70803810.25</v>
      </c>
      <c r="AB148" s="333">
        <f t="shared" si="84"/>
        <v>24.276951742869954</v>
      </c>
      <c r="AC148" s="334">
        <f t="shared" si="85"/>
        <v>-28.098066145580379</v>
      </c>
      <c r="AE148" s="333">
        <f t="shared" si="86"/>
        <v>47.437639318902676</v>
      </c>
      <c r="AF148" s="334">
        <f t="shared" si="87"/>
        <v>-87.932903374862732</v>
      </c>
      <c r="AH148">
        <f t="shared" si="88"/>
        <v>0</v>
      </c>
      <c r="AI148">
        <f t="shared" si="61"/>
        <v>0</v>
      </c>
    </row>
    <row r="149" spans="1:35" x14ac:dyDescent="0.25">
      <c r="A149" s="338">
        <v>8462.9500000000007</v>
      </c>
      <c r="B149" s="352">
        <f t="shared" si="89"/>
        <v>8.4629500000000011</v>
      </c>
      <c r="C149" s="325">
        <f t="shared" si="62"/>
        <v>10.304358566386908</v>
      </c>
      <c r="D149" s="326">
        <f t="shared" si="63"/>
        <v>1.4735970350657512</v>
      </c>
      <c r="E149" s="326">
        <f t="shared" si="64"/>
        <v>1.0000565484886592</v>
      </c>
      <c r="F149" s="327">
        <f t="shared" si="65"/>
        <v>1.0634455699417652E-2</v>
      </c>
      <c r="G149" s="326">
        <f t="shared" si="66"/>
        <v>1</v>
      </c>
      <c r="H149" s="327">
        <f t="shared" si="67"/>
        <v>0</v>
      </c>
      <c r="I149" s="325">
        <f t="shared" si="68"/>
        <v>11232.584513090047</v>
      </c>
      <c r="J149" s="328">
        <f t="shared" si="69"/>
        <v>1.570707300088696</v>
      </c>
      <c r="K149" s="336">
        <f t="shared" si="91"/>
        <v>2.3946825517783825</v>
      </c>
      <c r="L149" s="337">
        <f t="shared" si="92"/>
        <v>1.1400028826581277</v>
      </c>
      <c r="M149" s="325">
        <f t="shared" si="72"/>
        <v>1.0016755157778165</v>
      </c>
      <c r="N149" s="337">
        <f t="shared" si="73"/>
        <v>5.7847725225964784E-2</v>
      </c>
      <c r="O149" s="343">
        <f t="shared" si="74"/>
        <v>1.0012084930537772</v>
      </c>
      <c r="P149" s="691">
        <f t="shared" si="75"/>
        <v>4.9138116799822239E-2</v>
      </c>
      <c r="Q149" s="336">
        <f t="shared" si="90"/>
        <v>15.128163211478052</v>
      </c>
      <c r="R149" s="692">
        <f t="shared" si="76"/>
        <v>2.2949212714895476E-2</v>
      </c>
      <c r="S149" s="329">
        <f t="shared" si="77"/>
        <v>0.99945457851632491</v>
      </c>
      <c r="T149" s="330">
        <f t="shared" si="78"/>
        <v>7.2668541869378059E-2</v>
      </c>
      <c r="U149" s="331">
        <f t="shared" si="79"/>
        <v>14.091716425427487</v>
      </c>
      <c r="V149" s="332">
        <f t="shared" si="80"/>
        <v>-114.47664443871081</v>
      </c>
      <c r="W149" s="334">
        <f t="shared" si="81"/>
        <v>65.523355561289193</v>
      </c>
      <c r="Y149" s="307">
        <f t="shared" si="82"/>
        <v>1000000000</v>
      </c>
      <c r="Z149" s="307">
        <f t="shared" si="83"/>
        <v>71621522.702500015</v>
      </c>
      <c r="AB149" s="333">
        <f t="shared" si="84"/>
        <v>24.268048333349146</v>
      </c>
      <c r="AC149" s="334">
        <f t="shared" si="85"/>
        <v>-27.991975878278158</v>
      </c>
      <c r="AE149" s="333">
        <f t="shared" si="86"/>
        <v>47.388301704783032</v>
      </c>
      <c r="AF149" s="334">
        <f t="shared" si="87"/>
        <v>-87.985182236286448</v>
      </c>
      <c r="AH149">
        <f t="shared" si="88"/>
        <v>0</v>
      </c>
      <c r="AI149">
        <f t="shared" si="61"/>
        <v>0</v>
      </c>
    </row>
    <row r="150" spans="1:35" x14ac:dyDescent="0.25">
      <c r="A150" s="338">
        <v>8511.4</v>
      </c>
      <c r="B150" s="352">
        <f t="shared" si="89"/>
        <v>8.5114000000000001</v>
      </c>
      <c r="C150" s="325">
        <f t="shared" si="62"/>
        <v>10.362796526652685</v>
      </c>
      <c r="D150" s="326">
        <f t="shared" si="63"/>
        <v>1.4741468800608926</v>
      </c>
      <c r="E150" s="326">
        <f t="shared" si="64"/>
        <v>1.0000571977984725</v>
      </c>
      <c r="F150" s="327">
        <f t="shared" si="65"/>
        <v>1.069533284026661E-2</v>
      </c>
      <c r="G150" s="326">
        <f t="shared" si="66"/>
        <v>1</v>
      </c>
      <c r="H150" s="327">
        <f t="shared" si="67"/>
        <v>0</v>
      </c>
      <c r="I150" s="325">
        <f t="shared" si="68"/>
        <v>11296.890542944664</v>
      </c>
      <c r="J150" s="328">
        <f t="shared" si="69"/>
        <v>1.5707078068612472</v>
      </c>
      <c r="K150" s="336">
        <f t="shared" si="91"/>
        <v>2.4060069283940293</v>
      </c>
      <c r="L150" s="337">
        <f t="shared" si="92"/>
        <v>1.1421649279579797</v>
      </c>
      <c r="M150" s="325">
        <f t="shared" si="72"/>
        <v>1.0016947389192687</v>
      </c>
      <c r="N150" s="337">
        <f t="shared" si="73"/>
        <v>5.8178156133016419E-2</v>
      </c>
      <c r="O150" s="343">
        <f t="shared" si="74"/>
        <v>1.0012223613257958</v>
      </c>
      <c r="P150" s="691">
        <f t="shared" si="75"/>
        <v>4.9418973762209037E-2</v>
      </c>
      <c r="Q150" s="336">
        <f t="shared" si="90"/>
        <v>15.128207637130526</v>
      </c>
      <c r="R150" s="692">
        <f t="shared" si="76"/>
        <v>2.3080551381126975E-2</v>
      </c>
      <c r="S150" s="329">
        <f t="shared" si="77"/>
        <v>0.99944837276103271</v>
      </c>
      <c r="T150" s="330">
        <f t="shared" si="78"/>
        <v>7.3085760729198646E-2</v>
      </c>
      <c r="U150" s="331">
        <f t="shared" si="79"/>
        <v>14.033977904669253</v>
      </c>
      <c r="V150" s="332">
        <f t="shared" si="80"/>
        <v>-114.41508360700574</v>
      </c>
      <c r="W150" s="334">
        <f t="shared" si="81"/>
        <v>65.584916392994259</v>
      </c>
      <c r="Y150" s="307">
        <f t="shared" si="82"/>
        <v>1000000000</v>
      </c>
      <c r="Z150" s="307">
        <f t="shared" si="83"/>
        <v>72443929.959999993</v>
      </c>
      <c r="AB150" s="333">
        <f t="shared" si="84"/>
        <v>24.259275600293932</v>
      </c>
      <c r="AC150" s="334">
        <f t="shared" si="85"/>
        <v>-27.887061139683745</v>
      </c>
      <c r="AE150" s="333">
        <f t="shared" si="86"/>
        <v>47.339241112141963</v>
      </c>
      <c r="AF150" s="334">
        <f t="shared" si="87"/>
        <v>-88.037102910515273</v>
      </c>
      <c r="AH150">
        <f t="shared" si="88"/>
        <v>0</v>
      </c>
      <c r="AI150">
        <f t="shared" si="61"/>
        <v>0</v>
      </c>
    </row>
    <row r="151" spans="1:35" x14ac:dyDescent="0.25">
      <c r="A151" s="338">
        <v>8560.9500000000007</v>
      </c>
      <c r="B151" s="352">
        <f t="shared" si="89"/>
        <v>8.5609500000000001</v>
      </c>
      <c r="C151" s="325">
        <f t="shared" si="62"/>
        <v>10.422564455485848</v>
      </c>
      <c r="D151" s="326">
        <f t="shared" si="63"/>
        <v>1.4747028310757251</v>
      </c>
      <c r="E151" s="326">
        <f t="shared" si="64"/>
        <v>1.0000578656835049</v>
      </c>
      <c r="F151" s="327">
        <f t="shared" si="65"/>
        <v>1.0757592042663158E-2</v>
      </c>
      <c r="G151" s="326">
        <f t="shared" si="66"/>
        <v>1</v>
      </c>
      <c r="H151" s="327">
        <f t="shared" si="67"/>
        <v>0</v>
      </c>
      <c r="I151" s="325">
        <f t="shared" si="68"/>
        <v>11362.656565224132</v>
      </c>
      <c r="J151" s="328">
        <f t="shared" si="69"/>
        <v>1.5707083192065698</v>
      </c>
      <c r="K151" s="336">
        <f t="shared" si="91"/>
        <v>2.4175999340011196</v>
      </c>
      <c r="L151" s="337">
        <f t="shared" si="92"/>
        <v>1.1443550997951299</v>
      </c>
      <c r="M151" s="325">
        <f t="shared" si="72"/>
        <v>1.0017145116175084</v>
      </c>
      <c r="N151" s="337">
        <f t="shared" si="73"/>
        <v>5.8516075928223284E-2</v>
      </c>
      <c r="O151" s="343">
        <f t="shared" si="74"/>
        <v>1.0012366261452808</v>
      </c>
      <c r="P151" s="691">
        <f t="shared" si="75"/>
        <v>4.9706199179445409E-2</v>
      </c>
      <c r="Q151" s="336">
        <f t="shared" si="90"/>
        <v>15.128253333590019</v>
      </c>
      <c r="R151" s="692">
        <f t="shared" si="76"/>
        <v>2.3214871148230194E-2</v>
      </c>
      <c r="S151" s="329">
        <f t="shared" si="77"/>
        <v>0.9994419908240062</v>
      </c>
      <c r="T151" s="330">
        <f t="shared" si="78"/>
        <v>7.3512473192827749E-2</v>
      </c>
      <c r="U151" s="331">
        <f t="shared" si="79"/>
        <v>13.97534489721961</v>
      </c>
      <c r="V151" s="332">
        <f t="shared" si="80"/>
        <v>-114.35296116960951</v>
      </c>
      <c r="W151" s="334">
        <f t="shared" si="81"/>
        <v>65.647038830390485</v>
      </c>
      <c r="Y151" s="307">
        <f t="shared" si="82"/>
        <v>1000000000</v>
      </c>
      <c r="Z151" s="307">
        <f t="shared" si="83"/>
        <v>73289864.902500018</v>
      </c>
      <c r="AB151" s="333">
        <f t="shared" si="84"/>
        <v>24.250436188776906</v>
      </c>
      <c r="AC151" s="334">
        <f t="shared" si="85"/>
        <v>-27.780964270189312</v>
      </c>
      <c r="AE151" s="333">
        <f t="shared" si="86"/>
        <v>47.289350002382918</v>
      </c>
      <c r="AF151" s="334">
        <f t="shared" si="87"/>
        <v>-88.08983819103986</v>
      </c>
      <c r="AH151">
        <f t="shared" si="88"/>
        <v>0</v>
      </c>
      <c r="AI151">
        <f t="shared" si="61"/>
        <v>0</v>
      </c>
    </row>
    <row r="152" spans="1:35" x14ac:dyDescent="0.25">
      <c r="A152" s="338">
        <v>8610.5</v>
      </c>
      <c r="B152" s="352">
        <f t="shared" si="89"/>
        <v>8.6105</v>
      </c>
      <c r="C152" s="325">
        <f t="shared" si="62"/>
        <v>10.482335569004956</v>
      </c>
      <c r="D152" s="326">
        <f t="shared" si="63"/>
        <v>1.4752524421047597</v>
      </c>
      <c r="E152" s="326">
        <f t="shared" si="64"/>
        <v>1.0000585374449646</v>
      </c>
      <c r="F152" s="327">
        <f t="shared" si="65"/>
        <v>1.0819851161659266E-2</v>
      </c>
      <c r="G152" s="326">
        <f t="shared" si="66"/>
        <v>1</v>
      </c>
      <c r="H152" s="327">
        <f t="shared" si="67"/>
        <v>0</v>
      </c>
      <c r="I152" s="325">
        <f t="shared" si="68"/>
        <v>11428.422587506544</v>
      </c>
      <c r="J152" s="328">
        <f t="shared" si="69"/>
        <v>1.5707088256552058</v>
      </c>
      <c r="K152" s="336">
        <f t="shared" si="91"/>
        <v>2.4292044257580785</v>
      </c>
      <c r="L152" s="337">
        <f t="shared" si="92"/>
        <v>1.1465243567249312</v>
      </c>
      <c r="M152" s="325">
        <f t="shared" si="72"/>
        <v>1.0017343986967924</v>
      </c>
      <c r="N152" s="337">
        <f t="shared" si="73"/>
        <v>5.8853982344809597E-2</v>
      </c>
      <c r="O152" s="343">
        <f t="shared" si="74"/>
        <v>1.0012509735628683</v>
      </c>
      <c r="P152" s="691">
        <f t="shared" si="75"/>
        <v>4.9993416388787675E-2</v>
      </c>
      <c r="Q152" s="336">
        <f t="shared" si="90"/>
        <v>15.128299295164986</v>
      </c>
      <c r="R152" s="692">
        <f t="shared" si="76"/>
        <v>2.334919011353645E-2</v>
      </c>
      <c r="S152" s="329">
        <f t="shared" si="77"/>
        <v>0.99943557322727317</v>
      </c>
      <c r="T152" s="330">
        <f t="shared" si="78"/>
        <v>7.3939207159248385E-2</v>
      </c>
      <c r="U152" s="331">
        <f t="shared" si="79"/>
        <v>13.917127123925063</v>
      </c>
      <c r="V152" s="332">
        <f t="shared" si="80"/>
        <v>-114.29167437044794</v>
      </c>
      <c r="W152" s="334">
        <f t="shared" si="81"/>
        <v>65.708325629552064</v>
      </c>
      <c r="Y152" s="307">
        <f t="shared" si="82"/>
        <v>1000000000</v>
      </c>
      <c r="Z152" s="307">
        <f t="shared" si="83"/>
        <v>74140710.25</v>
      </c>
      <c r="AB152" s="333">
        <f t="shared" si="84"/>
        <v>24.24172811054579</v>
      </c>
      <c r="AC152" s="334">
        <f t="shared" si="85"/>
        <v>-27.676064632222488</v>
      </c>
      <c r="AE152" s="333">
        <f t="shared" si="86"/>
        <v>47.239742230850872</v>
      </c>
      <c r="AF152" s="334">
        <f t="shared" si="87"/>
        <v>-88.142211453933328</v>
      </c>
      <c r="AH152">
        <f t="shared" si="88"/>
        <v>0</v>
      </c>
      <c r="AI152">
        <f t="shared" si="61"/>
        <v>0</v>
      </c>
    </row>
    <row r="153" spans="1:35" x14ac:dyDescent="0.25">
      <c r="A153" s="338">
        <v>8660.0499999999993</v>
      </c>
      <c r="B153" s="352">
        <f t="shared" si="89"/>
        <v>8.66005</v>
      </c>
      <c r="C153" s="325">
        <f t="shared" si="62"/>
        <v>10.542109813040899</v>
      </c>
      <c r="D153" s="326">
        <f t="shared" si="63"/>
        <v>1.475795820657122</v>
      </c>
      <c r="E153" s="326">
        <f t="shared" si="64"/>
        <v>1.0000592130828441</v>
      </c>
      <c r="F153" s="327">
        <f t="shared" si="65"/>
        <v>1.0882110196772446E-2</v>
      </c>
      <c r="G153" s="326">
        <f t="shared" si="66"/>
        <v>1</v>
      </c>
      <c r="H153" s="327">
        <f t="shared" si="67"/>
        <v>0</v>
      </c>
      <c r="I153" s="325">
        <f t="shared" si="68"/>
        <v>11494.188609791854</v>
      </c>
      <c r="J153" s="328">
        <f t="shared" si="69"/>
        <v>1.5707093263083716</v>
      </c>
      <c r="K153" s="336">
        <f t="shared" si="91"/>
        <v>2.4408202398376919</v>
      </c>
      <c r="L153" s="337">
        <f t="shared" si="92"/>
        <v>1.148672976785859</v>
      </c>
      <c r="M153" s="325">
        <f t="shared" si="72"/>
        <v>1.0017544001503087</v>
      </c>
      <c r="N153" s="337">
        <f t="shared" si="73"/>
        <v>5.9191875306409646E-2</v>
      </c>
      <c r="O153" s="343">
        <f t="shared" si="74"/>
        <v>1.0012654035750075</v>
      </c>
      <c r="P153" s="691">
        <f t="shared" si="75"/>
        <v>5.0280625343202469E-2</v>
      </c>
      <c r="Q153" s="336">
        <f t="shared" si="90"/>
        <v>15.12834552185301</v>
      </c>
      <c r="R153" s="692">
        <f t="shared" si="76"/>
        <v>2.348350827241482E-2</v>
      </c>
      <c r="S153" s="329">
        <f t="shared" si="77"/>
        <v>0.99942911999491924</v>
      </c>
      <c r="T153" s="330">
        <f t="shared" si="78"/>
        <v>7.4365962752246897E-2</v>
      </c>
      <c r="U153" s="331">
        <f t="shared" si="79"/>
        <v>13.859318819833424</v>
      </c>
      <c r="V153" s="332">
        <f t="shared" si="80"/>
        <v>-114.23121344988239</v>
      </c>
      <c r="W153" s="334">
        <f t="shared" si="81"/>
        <v>65.768786550117611</v>
      </c>
      <c r="Y153" s="307">
        <f t="shared" si="82"/>
        <v>1000000000</v>
      </c>
      <c r="Z153" s="307">
        <f t="shared" si="83"/>
        <v>74996466.002499983</v>
      </c>
      <c r="AB153" s="333">
        <f t="shared" si="84"/>
        <v>24.233148759394506</v>
      </c>
      <c r="AC153" s="334">
        <f t="shared" si="85"/>
        <v>-27.57234629677593</v>
      </c>
      <c r="AE153" s="333">
        <f t="shared" si="86"/>
        <v>47.190414638858506</v>
      </c>
      <c r="AF153" s="334">
        <f t="shared" si="87"/>
        <v>-88.194228866134921</v>
      </c>
      <c r="AH153">
        <f t="shared" si="88"/>
        <v>0</v>
      </c>
      <c r="AI153">
        <f t="shared" si="61"/>
        <v>0</v>
      </c>
    </row>
    <row r="154" spans="1:35" x14ac:dyDescent="0.25">
      <c r="A154" s="338">
        <v>8709.6</v>
      </c>
      <c r="B154" s="352">
        <f t="shared" si="89"/>
        <v>8.7096</v>
      </c>
      <c r="C154" s="325">
        <f t="shared" si="62"/>
        <v>10.601887134643411</v>
      </c>
      <c r="D154" s="326">
        <f t="shared" si="63"/>
        <v>1.4763330718321477</v>
      </c>
      <c r="E154" s="326">
        <f t="shared" si="64"/>
        <v>1.0000598925971351</v>
      </c>
      <c r="F154" s="327">
        <f t="shared" si="65"/>
        <v>1.0944369147520212E-2</v>
      </c>
      <c r="G154" s="326">
        <f t="shared" si="66"/>
        <v>1</v>
      </c>
      <c r="H154" s="327">
        <f t="shared" si="67"/>
        <v>0</v>
      </c>
      <c r="I154" s="325">
        <f t="shared" si="68"/>
        <v>11559.954632080015</v>
      </c>
      <c r="J154" s="328">
        <f t="shared" si="69"/>
        <v>1.570709821264981</v>
      </c>
      <c r="K154" s="336">
        <f t="shared" si="91"/>
        <v>2.4524472153582217</v>
      </c>
      <c r="L154" s="337">
        <f t="shared" si="92"/>
        <v>1.1508012335136002</v>
      </c>
      <c r="M154" s="325">
        <f t="shared" si="72"/>
        <v>1.0017745159712066</v>
      </c>
      <c r="N154" s="337">
        <f t="shared" si="73"/>
        <v>5.9529754736676092E-2</v>
      </c>
      <c r="O154" s="343">
        <f t="shared" si="74"/>
        <v>1.0012799161781274</v>
      </c>
      <c r="P154" s="691">
        <f t="shared" si="75"/>
        <v>5.0567825995664582E-2</v>
      </c>
      <c r="Q154" s="336">
        <f t="shared" si="90"/>
        <v>15.128392013651666</v>
      </c>
      <c r="R154" s="692">
        <f t="shared" si="76"/>
        <v>2.361782562023455E-2</v>
      </c>
      <c r="S154" s="329">
        <f t="shared" si="77"/>
        <v>0.99942263115116969</v>
      </c>
      <c r="T154" s="330">
        <f t="shared" si="78"/>
        <v>7.4792740095597832E-2</v>
      </c>
      <c r="U154" s="331">
        <f t="shared" si="79"/>
        <v>13.801914334190393</v>
      </c>
      <c r="V154" s="332">
        <f t="shared" si="80"/>
        <v>-114.17156876806209</v>
      </c>
      <c r="W154" s="334">
        <f t="shared" si="81"/>
        <v>65.828431231937913</v>
      </c>
      <c r="Y154" s="307">
        <f t="shared" si="82"/>
        <v>1000000000</v>
      </c>
      <c r="Z154" s="307">
        <f t="shared" si="83"/>
        <v>75857132.160000011</v>
      </c>
      <c r="AB154" s="333">
        <f t="shared" si="84"/>
        <v>24.224695591243865</v>
      </c>
      <c r="AC154" s="334">
        <f t="shared" si="85"/>
        <v>-27.469793592702167</v>
      </c>
      <c r="AE154" s="333">
        <f t="shared" si="86"/>
        <v>47.141364119789827</v>
      </c>
      <c r="AF154" s="334">
        <f t="shared" si="87"/>
        <v>-88.24589645651244</v>
      </c>
      <c r="AH154">
        <f t="shared" si="88"/>
        <v>0</v>
      </c>
      <c r="AI154">
        <f t="shared" ref="AI154:AI217" si="93">IF(AH154&gt;0,W154,0)</f>
        <v>0</v>
      </c>
    </row>
    <row r="155" spans="1:35" x14ac:dyDescent="0.25">
      <c r="A155" s="338">
        <v>8760.3250000000007</v>
      </c>
      <c r="B155" s="352">
        <f t="shared" si="89"/>
        <v>8.7603249999999999</v>
      </c>
      <c r="C155" s="325">
        <f t="shared" si="62"/>
        <v>10.663085114889926</v>
      </c>
      <c r="D155" s="326">
        <f t="shared" si="63"/>
        <v>1.4768768232862262</v>
      </c>
      <c r="E155" s="326">
        <f t="shared" si="64"/>
        <v>1.0000605922404124</v>
      </c>
      <c r="F155" s="327">
        <f t="shared" si="65"/>
        <v>1.1008104383071069E-2</v>
      </c>
      <c r="G155" s="326">
        <f t="shared" si="66"/>
        <v>1</v>
      </c>
      <c r="H155" s="327">
        <f t="shared" si="67"/>
        <v>0</v>
      </c>
      <c r="I155" s="325">
        <f t="shared" si="68"/>
        <v>11627.280191731086</v>
      </c>
      <c r="J155" s="328">
        <f t="shared" si="69"/>
        <v>1.5707103221588388</v>
      </c>
      <c r="K155" s="336">
        <f t="shared" si="91"/>
        <v>2.4643613028958526</v>
      </c>
      <c r="L155" s="337">
        <f t="shared" si="92"/>
        <v>1.1529591460415234</v>
      </c>
      <c r="M155" s="325">
        <f t="shared" si="72"/>
        <v>1.0017952272674371</v>
      </c>
      <c r="N155" s="337">
        <f t="shared" si="73"/>
        <v>5.9875632347908089E-2</v>
      </c>
      <c r="O155" s="343">
        <f t="shared" si="74"/>
        <v>1.0012948584729369</v>
      </c>
      <c r="P155" s="691">
        <f t="shared" si="75"/>
        <v>5.0861828509372847E-2</v>
      </c>
      <c r="Q155" s="336">
        <f t="shared" si="90"/>
        <v>15.128439882542546</v>
      </c>
      <c r="R155" s="692">
        <f t="shared" si="76"/>
        <v>2.3755327246871464E-2</v>
      </c>
      <c r="S155" s="329">
        <f t="shared" si="77"/>
        <v>0.99941595157206708</v>
      </c>
      <c r="T155" s="330">
        <f t="shared" si="78"/>
        <v>7.5229660449017688E-2</v>
      </c>
      <c r="U155" s="331">
        <f t="shared" si="79"/>
        <v>13.743561105007583</v>
      </c>
      <c r="V155" s="332">
        <f t="shared" si="80"/>
        <v>-114.11134526937506</v>
      </c>
      <c r="W155" s="334">
        <f t="shared" si="81"/>
        <v>65.888654730624935</v>
      </c>
      <c r="Y155" s="307">
        <f t="shared" si="82"/>
        <v>1000000000</v>
      </c>
      <c r="Z155" s="307">
        <f t="shared" si="83"/>
        <v>76743294.105625018</v>
      </c>
      <c r="AB155" s="333">
        <f t="shared" si="84"/>
        <v>24.21617008369779</v>
      </c>
      <c r="AC155" s="334">
        <f t="shared" si="85"/>
        <v>-27.366000338630862</v>
      </c>
      <c r="AE155" s="333">
        <f t="shared" si="86"/>
        <v>47.091434261538623</v>
      </c>
      <c r="AF155" s="334">
        <f t="shared" si="87"/>
        <v>-88.298433052226258</v>
      </c>
      <c r="AH155">
        <f t="shared" si="88"/>
        <v>0</v>
      </c>
      <c r="AI155">
        <f t="shared" si="93"/>
        <v>0</v>
      </c>
    </row>
    <row r="156" spans="1:35" x14ac:dyDescent="0.25">
      <c r="A156" s="338">
        <v>8811.0499999999993</v>
      </c>
      <c r="B156" s="352">
        <f t="shared" si="89"/>
        <v>8.8110499999999998</v>
      </c>
      <c r="C156" s="325">
        <f t="shared" si="62"/>
        <v>10.72428621186206</v>
      </c>
      <c r="D156" s="326">
        <f t="shared" si="63"/>
        <v>1.4774143687624568</v>
      </c>
      <c r="E156" s="326">
        <f t="shared" si="64"/>
        <v>1.0000612959461104</v>
      </c>
      <c r="F156" s="327">
        <f t="shared" si="65"/>
        <v>1.107183952918463E-2</v>
      </c>
      <c r="G156" s="326">
        <f t="shared" si="66"/>
        <v>1</v>
      </c>
      <c r="H156" s="327">
        <f t="shared" si="67"/>
        <v>0</v>
      </c>
      <c r="I156" s="325">
        <f t="shared" si="68"/>
        <v>11694.605751385039</v>
      </c>
      <c r="J156" s="328">
        <f t="shared" si="69"/>
        <v>1.5707108172854289</v>
      </c>
      <c r="K156" s="336">
        <f t="shared" si="91"/>
        <v>2.4762867554904062</v>
      </c>
      <c r="L156" s="337">
        <f t="shared" si="92"/>
        <v>1.1550962840283321</v>
      </c>
      <c r="M156" s="325">
        <f t="shared" si="72"/>
        <v>1.0018160584047913</v>
      </c>
      <c r="N156" s="337">
        <f t="shared" si="73"/>
        <v>6.0221495616588724E-2</v>
      </c>
      <c r="O156" s="343">
        <f t="shared" si="74"/>
        <v>1.0013098873145609</v>
      </c>
      <c r="P156" s="691">
        <f t="shared" si="75"/>
        <v>5.1155822223018482E-2</v>
      </c>
      <c r="Q156" s="336">
        <f t="shared" si="90"/>
        <v>15.1284880292613</v>
      </c>
      <c r="R156" s="692">
        <f t="shared" si="76"/>
        <v>2.389282801370719E-2</v>
      </c>
      <c r="S156" s="329">
        <f t="shared" si="77"/>
        <v>0.99940923472443466</v>
      </c>
      <c r="T156" s="330">
        <f t="shared" si="78"/>
        <v>7.5666603859037646E-2</v>
      </c>
      <c r="U156" s="331">
        <f t="shared" si="79"/>
        <v>13.685619443349461</v>
      </c>
      <c r="V156" s="332">
        <f t="shared" si="80"/>
        <v>-114.05195711678377</v>
      </c>
      <c r="W156" s="334">
        <f t="shared" si="81"/>
        <v>65.948042883216232</v>
      </c>
      <c r="Y156" s="307">
        <f t="shared" si="82"/>
        <v>1000000000</v>
      </c>
      <c r="Z156" s="307">
        <f t="shared" si="83"/>
        <v>77634602.102499992</v>
      </c>
      <c r="AB156" s="333">
        <f t="shared" si="84"/>
        <v>24.207771611111273</v>
      </c>
      <c r="AC156" s="334">
        <f t="shared" si="85"/>
        <v>-27.263396225880335</v>
      </c>
      <c r="AE156" s="333">
        <f t="shared" si="86"/>
        <v>47.041788346459647</v>
      </c>
      <c r="AF156" s="334">
        <f t="shared" si="87"/>
        <v>-88.350615397771492</v>
      </c>
      <c r="AH156">
        <f t="shared" si="88"/>
        <v>0</v>
      </c>
      <c r="AI156">
        <f t="shared" si="93"/>
        <v>0</v>
      </c>
    </row>
    <row r="157" spans="1:35" x14ac:dyDescent="0.25">
      <c r="A157" s="338">
        <v>8861.7749999999996</v>
      </c>
      <c r="B157" s="352">
        <f t="shared" si="89"/>
        <v>8.8617749999999997</v>
      </c>
      <c r="C157" s="325">
        <f t="shared" si="62"/>
        <v>10.785490372503254</v>
      </c>
      <c r="D157" s="326">
        <f t="shared" si="63"/>
        <v>1.4779458135982479</v>
      </c>
      <c r="E157" s="326">
        <f t="shared" si="64"/>
        <v>1.0000620037142205</v>
      </c>
      <c r="F157" s="327">
        <f t="shared" si="65"/>
        <v>1.1135574585343281E-2</v>
      </c>
      <c r="G157" s="326">
        <f t="shared" si="66"/>
        <v>1</v>
      </c>
      <c r="H157" s="327">
        <f t="shared" si="67"/>
        <v>0</v>
      </c>
      <c r="I157" s="325">
        <f t="shared" si="68"/>
        <v>11761.93131104183</v>
      </c>
      <c r="J157" s="328">
        <f t="shared" si="69"/>
        <v>1.5707113067437877</v>
      </c>
      <c r="K157" s="336">
        <f t="shared" si="91"/>
        <v>2.4882234097319875</v>
      </c>
      <c r="L157" s="337">
        <f t="shared" si="92"/>
        <v>1.1572129267930109</v>
      </c>
      <c r="M157" s="325">
        <f t="shared" si="72"/>
        <v>1.0018370093757936</v>
      </c>
      <c r="N157" s="337">
        <f t="shared" si="73"/>
        <v>6.0567344460869976E-2</v>
      </c>
      <c r="O157" s="343">
        <f t="shared" si="74"/>
        <v>1.0013250026991032</v>
      </c>
      <c r="P157" s="691">
        <f t="shared" si="75"/>
        <v>5.1449807086177801E-2</v>
      </c>
      <c r="Q157" s="336">
        <f t="shared" si="90"/>
        <v>15.12853645380528</v>
      </c>
      <c r="R157" s="692">
        <f t="shared" si="76"/>
        <v>2.4030327915774228E-2</v>
      </c>
      <c r="S157" s="329">
        <f t="shared" si="77"/>
        <v>0.9994024806347177</v>
      </c>
      <c r="T157" s="330">
        <f t="shared" si="78"/>
        <v>7.6103570458409139E-2</v>
      </c>
      <c r="U157" s="331">
        <f t="shared" si="79"/>
        <v>13.628083640405045</v>
      </c>
      <c r="V157" s="332">
        <f t="shared" si="80"/>
        <v>-113.9933943531031</v>
      </c>
      <c r="W157" s="334">
        <f t="shared" si="81"/>
        <v>66.006605646896901</v>
      </c>
      <c r="Y157" s="307">
        <f t="shared" si="82"/>
        <v>1000000000</v>
      </c>
      <c r="Z157" s="307">
        <f t="shared" si="83"/>
        <v>78531056.15062499</v>
      </c>
      <c r="AB157" s="333">
        <f t="shared" si="84"/>
        <v>24.199497635339622</v>
      </c>
      <c r="AC157" s="334">
        <f t="shared" si="85"/>
        <v>-27.161965251636435</v>
      </c>
      <c r="AE157" s="333">
        <f t="shared" si="86"/>
        <v>46.992423203951091</v>
      </c>
      <c r="AF157" s="334">
        <f t="shared" si="87"/>
        <v>-88.402449536172838</v>
      </c>
      <c r="AH157">
        <f t="shared" si="88"/>
        <v>0</v>
      </c>
      <c r="AI157">
        <f t="shared" si="93"/>
        <v>0</v>
      </c>
    </row>
    <row r="158" spans="1:35" x14ac:dyDescent="0.25">
      <c r="A158" s="335">
        <v>8912.5</v>
      </c>
      <c r="B158" s="352">
        <f t="shared" si="89"/>
        <v>8.9124999999999996</v>
      </c>
      <c r="C158" s="325">
        <f t="shared" si="62"/>
        <v>10.846697544951834</v>
      </c>
      <c r="D158" s="326">
        <f t="shared" si="63"/>
        <v>1.478471260767324</v>
      </c>
      <c r="E158" s="326">
        <f t="shared" si="64"/>
        <v>1.0000627155447341</v>
      </c>
      <c r="F158" s="327">
        <f t="shared" si="65"/>
        <v>1.1199309551029409E-2</v>
      </c>
      <c r="G158" s="326">
        <f t="shared" si="66"/>
        <v>1</v>
      </c>
      <c r="H158" s="327">
        <f t="shared" si="67"/>
        <v>0</v>
      </c>
      <c r="I158" s="325">
        <f t="shared" si="68"/>
        <v>11829.256870701403</v>
      </c>
      <c r="J158" s="328">
        <f t="shared" si="69"/>
        <v>1.5707117906306962</v>
      </c>
      <c r="K158" s="336">
        <f t="shared" ref="K158:K214" si="94">SQRT(1+(A158/Zero2)^2)</f>
        <v>2.5001711051793563</v>
      </c>
      <c r="L158" s="337">
        <f t="shared" ref="L158:L214" si="95">ATAN(A158/Zero2)</f>
        <v>1.1593093490574715</v>
      </c>
      <c r="M158" s="325">
        <f t="shared" si="72"/>
        <v>1.001858080172926</v>
      </c>
      <c r="N158" s="337">
        <f t="shared" si="73"/>
        <v>6.0913178798924439E-2</v>
      </c>
      <c r="O158" s="343">
        <f t="shared" si="74"/>
        <v>1.0013402046226441</v>
      </c>
      <c r="P158" s="691">
        <f t="shared" si="75"/>
        <v>5.1743783048436222E-2</v>
      </c>
      <c r="Q158" s="336">
        <f t="shared" si="90"/>
        <v>15.128585156171816</v>
      </c>
      <c r="R158" s="692">
        <f t="shared" si="76"/>
        <v>2.4167826948105257E-2</v>
      </c>
      <c r="S158" s="329">
        <f t="shared" si="77"/>
        <v>0.99939568932951539</v>
      </c>
      <c r="T158" s="330">
        <f t="shared" si="78"/>
        <v>7.6540560379870184E-2</v>
      </c>
      <c r="U158" s="331">
        <f t="shared" si="79"/>
        <v>13.570948100682113</v>
      </c>
      <c r="V158" s="332">
        <f t="shared" si="80"/>
        <v>-113.9356471489825</v>
      </c>
      <c r="W158" s="334">
        <f t="shared" si="81"/>
        <v>66.064352851017503</v>
      </c>
      <c r="Y158" s="307">
        <f t="shared" si="82"/>
        <v>1000000000</v>
      </c>
      <c r="Z158" s="307">
        <f t="shared" si="83"/>
        <v>79432656.25</v>
      </c>
      <c r="AB158" s="333">
        <f t="shared" si="84"/>
        <v>24.191345679177765</v>
      </c>
      <c r="AC158" s="334">
        <f t="shared" si="85"/>
        <v>-27.061691676349835</v>
      </c>
      <c r="AE158" s="333">
        <f t="shared" si="86"/>
        <v>46.943335715790688</v>
      </c>
      <c r="AF158" s="334">
        <f t="shared" si="87"/>
        <v>-88.453941375025053</v>
      </c>
      <c r="AH158">
        <f t="shared" si="88"/>
        <v>0</v>
      </c>
      <c r="AI158">
        <f t="shared" si="93"/>
        <v>0</v>
      </c>
    </row>
    <row r="159" spans="1:35" x14ac:dyDescent="0.25">
      <c r="A159" s="335">
        <v>8964.4</v>
      </c>
      <c r="B159" s="352">
        <f t="shared" si="89"/>
        <v>8.9643999999999995</v>
      </c>
      <c r="C159" s="325">
        <f t="shared" si="62"/>
        <v>10.909325592094056</v>
      </c>
      <c r="D159" s="326">
        <f t="shared" si="63"/>
        <v>1.4790027767778779</v>
      </c>
      <c r="E159" s="326">
        <f t="shared" si="64"/>
        <v>1.0000634480688126</v>
      </c>
      <c r="F159" s="327">
        <f t="shared" si="65"/>
        <v>1.1264520786944976E-2</v>
      </c>
      <c r="G159" s="326">
        <f t="shared" si="66"/>
        <v>1</v>
      </c>
      <c r="H159" s="327">
        <f t="shared" si="67"/>
        <v>0</v>
      </c>
      <c r="I159" s="325">
        <f t="shared" si="68"/>
        <v>11898.141967724088</v>
      </c>
      <c r="J159" s="328">
        <f t="shared" si="69"/>
        <v>1.5707122800585331</v>
      </c>
      <c r="K159" s="336">
        <f t="shared" si="94"/>
        <v>2.5124068219948081</v>
      </c>
      <c r="L159" s="337">
        <f t="shared" si="95"/>
        <v>1.1614336863919534</v>
      </c>
      <c r="M159" s="325">
        <f t="shared" si="72"/>
        <v>1.0018797630704299</v>
      </c>
      <c r="N159" s="337">
        <f t="shared" si="73"/>
        <v>6.1267008985694996E-2</v>
      </c>
      <c r="O159" s="343">
        <f t="shared" si="74"/>
        <v>1.001355848250375</v>
      </c>
      <c r="P159" s="691">
        <f t="shared" si="75"/>
        <v>5.204455944010259E-2</v>
      </c>
      <c r="Q159" s="336">
        <f t="shared" si="90"/>
        <v>15.128635274233401</v>
      </c>
      <c r="R159" s="692">
        <f t="shared" si="76"/>
        <v>2.4308510119186225E-2</v>
      </c>
      <c r="S159" s="329">
        <f t="shared" si="77"/>
        <v>0.99938870221904064</v>
      </c>
      <c r="T159" s="330">
        <f t="shared" si="78"/>
        <v>7.6987697065555458E-2</v>
      </c>
      <c r="U159" s="331">
        <f t="shared" si="79"/>
        <v>13.512897624424344</v>
      </c>
      <c r="V159" s="332">
        <f t="shared" si="80"/>
        <v>-113.87739627854437</v>
      </c>
      <c r="W159" s="334">
        <f t="shared" si="81"/>
        <v>66.122603721455633</v>
      </c>
      <c r="Y159" s="307">
        <f t="shared" si="82"/>
        <v>1000000000</v>
      </c>
      <c r="Z159" s="307">
        <f t="shared" si="83"/>
        <v>80360467.359999999</v>
      </c>
      <c r="AB159" s="333">
        <f t="shared" si="84"/>
        <v>24.183128660579619</v>
      </c>
      <c r="AC159" s="334">
        <f t="shared" si="85"/>
        <v>-26.960277131221783</v>
      </c>
      <c r="AE159" s="333">
        <f t="shared" si="86"/>
        <v>46.893395336844861</v>
      </c>
      <c r="AF159" s="334">
        <f t="shared" si="87"/>
        <v>-88.506277715593669</v>
      </c>
      <c r="AH159">
        <f t="shared" si="88"/>
        <v>0</v>
      </c>
      <c r="AI159">
        <f t="shared" si="93"/>
        <v>0</v>
      </c>
    </row>
    <row r="160" spans="1:35" x14ac:dyDescent="0.25">
      <c r="A160" s="335">
        <v>9016.2999999999993</v>
      </c>
      <c r="B160" s="352">
        <f t="shared" si="89"/>
        <v>9.0162999999999993</v>
      </c>
      <c r="C160" s="325">
        <f t="shared" si="62"/>
        <v>10.971956686037364</v>
      </c>
      <c r="D160" s="326">
        <f t="shared" si="63"/>
        <v>1.4795282248420278</v>
      </c>
      <c r="E160" s="326">
        <f t="shared" si="64"/>
        <v>1.00006418484566</v>
      </c>
      <c r="F160" s="327">
        <f t="shared" si="65"/>
        <v>1.1329731927051766E-2</v>
      </c>
      <c r="G160" s="326">
        <f t="shared" si="66"/>
        <v>1</v>
      </c>
      <c r="H160" s="327">
        <f t="shared" si="67"/>
        <v>0</v>
      </c>
      <c r="I160" s="325">
        <f t="shared" si="68"/>
        <v>11967.027064749589</v>
      </c>
      <c r="J160" s="328">
        <f t="shared" si="69"/>
        <v>1.5707127638518403</v>
      </c>
      <c r="K160" s="336">
        <f t="shared" si="94"/>
        <v>2.5246537668937816</v>
      </c>
      <c r="L160" s="337">
        <f t="shared" si="95"/>
        <v>1.163537423076116</v>
      </c>
      <c r="M160" s="325">
        <f t="shared" si="72"/>
        <v>1.001901571393635</v>
      </c>
      <c r="N160" s="337">
        <f t="shared" si="73"/>
        <v>6.1620823813164978E-2</v>
      </c>
      <c r="O160" s="343">
        <f t="shared" si="74"/>
        <v>1.0013715824643674</v>
      </c>
      <c r="P160" s="691">
        <f t="shared" si="75"/>
        <v>5.2345326406981536E-2</v>
      </c>
      <c r="Q160" s="336">
        <f t="shared" si="90"/>
        <v>15.128685683131957</v>
      </c>
      <c r="R160" s="692">
        <f t="shared" si="76"/>
        <v>2.444919236925109E-2</v>
      </c>
      <c r="S160" s="329">
        <f t="shared" si="77"/>
        <v>0.99938167620581198</v>
      </c>
      <c r="T160" s="330">
        <f t="shared" si="78"/>
        <v>7.7434858447409188E-2</v>
      </c>
      <c r="U160" s="331">
        <f t="shared" si="79"/>
        <v>13.45525466964002</v>
      </c>
      <c r="V160" s="332">
        <f t="shared" si="80"/>
        <v>-113.81997877555446</v>
      </c>
      <c r="W160" s="334">
        <f t="shared" si="81"/>
        <v>66.180021224445539</v>
      </c>
      <c r="Y160" s="307">
        <f t="shared" si="82"/>
        <v>1000000000</v>
      </c>
      <c r="Z160" s="307">
        <f t="shared" si="83"/>
        <v>81293665.689999983</v>
      </c>
      <c r="AB160" s="333">
        <f t="shared" si="84"/>
        <v>24.175034321428541</v>
      </c>
      <c r="AC160" s="334">
        <f t="shared" si="85"/>
        <v>-26.860041713555727</v>
      </c>
      <c r="AE160" s="333">
        <f t="shared" si="86"/>
        <v>46.843739183184724</v>
      </c>
      <c r="AF160" s="334">
        <f t="shared" si="87"/>
        <v>-88.558267808918288</v>
      </c>
      <c r="AH160">
        <f t="shared" si="88"/>
        <v>0</v>
      </c>
      <c r="AI160">
        <f t="shared" si="93"/>
        <v>0</v>
      </c>
    </row>
    <row r="161" spans="1:35" x14ac:dyDescent="0.25">
      <c r="A161" s="335">
        <v>9068.2000000000007</v>
      </c>
      <c r="B161" s="352">
        <f t="shared" si="89"/>
        <v>9.0682000000000009</v>
      </c>
      <c r="C161" s="325">
        <f t="shared" si="62"/>
        <v>11.03459077490186</v>
      </c>
      <c r="D161" s="326">
        <f t="shared" si="63"/>
        <v>1.4800477079950083</v>
      </c>
      <c r="E161" s="326">
        <f t="shared" si="64"/>
        <v>1.000064925875267</v>
      </c>
      <c r="F161" s="327">
        <f t="shared" si="65"/>
        <v>1.1394942970795371E-2</v>
      </c>
      <c r="G161" s="326">
        <f t="shared" si="66"/>
        <v>1</v>
      </c>
      <c r="H161" s="327">
        <f t="shared" si="67"/>
        <v>0</v>
      </c>
      <c r="I161" s="325">
        <f t="shared" si="68"/>
        <v>12035.912161777862</v>
      </c>
      <c r="J161" s="328">
        <f t="shared" si="69"/>
        <v>1.5707132421073624</v>
      </c>
      <c r="K161" s="336">
        <f t="shared" si="94"/>
        <v>2.536911777265519</v>
      </c>
      <c r="L161" s="337">
        <f t="shared" si="95"/>
        <v>1.1656208389715299</v>
      </c>
      <c r="M161" s="325">
        <f t="shared" si="72"/>
        <v>1.0019235051343514</v>
      </c>
      <c r="N161" s="337">
        <f t="shared" si="73"/>
        <v>6.1974623193755678E-2</v>
      </c>
      <c r="O161" s="343">
        <f t="shared" si="74"/>
        <v>1.001387407260351</v>
      </c>
      <c r="P161" s="691">
        <f t="shared" si="75"/>
        <v>5.2646083895103397E-2</v>
      </c>
      <c r="Q161" s="336">
        <f t="shared" si="90"/>
        <v>15.128736382864572</v>
      </c>
      <c r="R161" s="692">
        <f t="shared" si="76"/>
        <v>2.4589873692979929E-2</v>
      </c>
      <c r="S161" s="329">
        <f t="shared" si="77"/>
        <v>0.99937461131881888</v>
      </c>
      <c r="T161" s="330">
        <f t="shared" si="78"/>
        <v>7.7882044667565306E-2</v>
      </c>
      <c r="U161" s="331">
        <f t="shared" si="79"/>
        <v>13.398013593008734</v>
      </c>
      <c r="V161" s="332">
        <f t="shared" si="80"/>
        <v>-113.76338452009799</v>
      </c>
      <c r="W161" s="334">
        <f t="shared" si="81"/>
        <v>66.236615479902014</v>
      </c>
      <c r="Y161" s="307">
        <f t="shared" si="82"/>
        <v>1000000000</v>
      </c>
      <c r="Z161" s="307">
        <f t="shared" si="83"/>
        <v>82232251.24000001</v>
      </c>
      <c r="AB161" s="333">
        <f t="shared" si="84"/>
        <v>24.167060195510036</v>
      </c>
      <c r="AC161" s="334">
        <f t="shared" si="85"/>
        <v>-26.760969388989963</v>
      </c>
      <c r="AE161" s="333">
        <f t="shared" si="86"/>
        <v>46.794364077775022</v>
      </c>
      <c r="AF161" s="334">
        <f t="shared" si="87"/>
        <v>-88.609917566658439</v>
      </c>
      <c r="AH161">
        <f t="shared" si="88"/>
        <v>0</v>
      </c>
      <c r="AI161">
        <f t="shared" si="93"/>
        <v>0</v>
      </c>
    </row>
    <row r="162" spans="1:35" x14ac:dyDescent="0.25">
      <c r="A162" s="335">
        <v>9120.1</v>
      </c>
      <c r="B162" s="352">
        <f t="shared" si="89"/>
        <v>9.1201000000000008</v>
      </c>
      <c r="C162" s="325">
        <f t="shared" si="62"/>
        <v>11.097227807976454</v>
      </c>
      <c r="D162" s="326">
        <f t="shared" si="63"/>
        <v>1.4805613269588158</v>
      </c>
      <c r="E162" s="326">
        <f t="shared" si="64"/>
        <v>1.0000656711576239</v>
      </c>
      <c r="F162" s="327">
        <f t="shared" si="65"/>
        <v>1.1460153917621384E-2</v>
      </c>
      <c r="G162" s="326">
        <f t="shared" si="66"/>
        <v>1</v>
      </c>
      <c r="H162" s="327">
        <f t="shared" si="67"/>
        <v>0</v>
      </c>
      <c r="I162" s="325">
        <f t="shared" si="68"/>
        <v>12104.797258808852</v>
      </c>
      <c r="J162" s="328">
        <f t="shared" si="69"/>
        <v>1.5707137149196411</v>
      </c>
      <c r="K162" s="336">
        <f t="shared" si="94"/>
        <v>2.5491806934814654</v>
      </c>
      <c r="L162" s="337">
        <f t="shared" si="95"/>
        <v>1.1676842092649506</v>
      </c>
      <c r="M162" s="325">
        <f t="shared" si="72"/>
        <v>1.001945564284342</v>
      </c>
      <c r="N162" s="337">
        <f t="shared" si="73"/>
        <v>6.2328407039911479E-2</v>
      </c>
      <c r="O162" s="343">
        <f t="shared" si="74"/>
        <v>1.001403322634032</v>
      </c>
      <c r="P162" s="691">
        <f t="shared" si="75"/>
        <v>5.294683185050874E-2</v>
      </c>
      <c r="Q162" s="336">
        <f t="shared" si="90"/>
        <v>15.128787373428331</v>
      </c>
      <c r="R162" s="692">
        <f t="shared" si="76"/>
        <v>2.4730554085052998E-2</v>
      </c>
      <c r="S162" s="329">
        <f t="shared" si="77"/>
        <v>0.99936750758721982</v>
      </c>
      <c r="T162" s="330">
        <f t="shared" si="78"/>
        <v>7.8329255868142697E-2</v>
      </c>
      <c r="U162" s="331">
        <f t="shared" si="79"/>
        <v>13.341168863369017</v>
      </c>
      <c r="V162" s="332">
        <f t="shared" si="80"/>
        <v>-113.70760352744234</v>
      </c>
      <c r="W162" s="334">
        <f t="shared" si="81"/>
        <v>66.292396472557655</v>
      </c>
      <c r="Y162" s="307">
        <f t="shared" si="82"/>
        <v>1000000000</v>
      </c>
      <c r="Z162" s="307">
        <f t="shared" si="83"/>
        <v>83176224.010000005</v>
      </c>
      <c r="AB162" s="333">
        <f t="shared" si="84"/>
        <v>24.159203876203549</v>
      </c>
      <c r="AC162" s="334">
        <f t="shared" si="85"/>
        <v>-26.663044390885094</v>
      </c>
      <c r="AE162" s="333">
        <f t="shared" si="86"/>
        <v>46.745266896145914</v>
      </c>
      <c r="AF162" s="334">
        <f t="shared" si="87"/>
        <v>-88.661232767934024</v>
      </c>
      <c r="AH162">
        <f t="shared" si="88"/>
        <v>0</v>
      </c>
      <c r="AI162">
        <f t="shared" si="93"/>
        <v>0</v>
      </c>
    </row>
    <row r="163" spans="1:35" x14ac:dyDescent="0.25">
      <c r="A163" s="335">
        <v>9173.2000000000007</v>
      </c>
      <c r="B163" s="352">
        <f t="shared" si="89"/>
        <v>9.1732000000000014</v>
      </c>
      <c r="C163" s="325">
        <f t="shared" si="62"/>
        <v>11.161316091563165</v>
      </c>
      <c r="D163" s="326">
        <f t="shared" si="63"/>
        <v>1.4810808550535812</v>
      </c>
      <c r="E163" s="326">
        <f t="shared" si="64"/>
        <v>1.000066438073314</v>
      </c>
      <c r="F163" s="327">
        <f t="shared" si="65"/>
        <v>1.1526872531121071E-2</v>
      </c>
      <c r="G163" s="326">
        <f t="shared" si="66"/>
        <v>1</v>
      </c>
      <c r="H163" s="327">
        <f t="shared" si="67"/>
        <v>0</v>
      </c>
      <c r="I163" s="325">
        <f t="shared" si="68"/>
        <v>12175.275074849113</v>
      </c>
      <c r="J163" s="328">
        <f t="shared" si="69"/>
        <v>1.5707141931268704</v>
      </c>
      <c r="K163" s="336">
        <f t="shared" si="94"/>
        <v>2.5617444076369651</v>
      </c>
      <c r="L163" s="337">
        <f t="shared" si="95"/>
        <v>1.1697748235467322</v>
      </c>
      <c r="M163" s="325">
        <f t="shared" si="72"/>
        <v>1.0019682632560947</v>
      </c>
      <c r="N163" s="337">
        <f t="shared" si="73"/>
        <v>6.2690354690745409E-2</v>
      </c>
      <c r="O163" s="343">
        <f t="shared" si="74"/>
        <v>1.0014196997320586</v>
      </c>
      <c r="P163" s="691">
        <f t="shared" si="75"/>
        <v>5.3254523593721757E-2</v>
      </c>
      <c r="Q163" s="336">
        <f t="shared" si="90"/>
        <v>15.128839843957106</v>
      </c>
      <c r="R163" s="692">
        <f t="shared" si="76"/>
        <v>2.4874486233189937E-2</v>
      </c>
      <c r="S163" s="329">
        <f t="shared" si="77"/>
        <v>0.99936019943587684</v>
      </c>
      <c r="T163" s="330">
        <f t="shared" si="78"/>
        <v>7.8786833213761231E-2</v>
      </c>
      <c r="U163" s="331">
        <f t="shared" si="79"/>
        <v>13.283414349881316</v>
      </c>
      <c r="V163" s="332">
        <f t="shared" si="80"/>
        <v>-113.65136421374781</v>
      </c>
      <c r="W163" s="334">
        <f t="shared" si="81"/>
        <v>66.348635786252188</v>
      </c>
      <c r="Y163" s="307">
        <f t="shared" si="82"/>
        <v>1000000000</v>
      </c>
      <c r="Z163" s="307">
        <f t="shared" si="83"/>
        <v>84147598.24000001</v>
      </c>
      <c r="AB163" s="333">
        <f t="shared" si="84"/>
        <v>24.151285382593898</v>
      </c>
      <c r="AC163" s="334">
        <f t="shared" si="85"/>
        <v>-26.564026487889521</v>
      </c>
      <c r="AE163" s="333">
        <f t="shared" si="86"/>
        <v>46.695318951954576</v>
      </c>
      <c r="AF163" s="334">
        <f t="shared" si="87"/>
        <v>-88.71339409089839</v>
      </c>
      <c r="AH163">
        <f t="shared" si="88"/>
        <v>0</v>
      </c>
      <c r="AI163">
        <f t="shared" si="93"/>
        <v>0</v>
      </c>
    </row>
    <row r="164" spans="1:35" x14ac:dyDescent="0.25">
      <c r="A164" s="335">
        <v>9226.2999999999993</v>
      </c>
      <c r="B164" s="352">
        <f t="shared" si="89"/>
        <v>9.2262999999999984</v>
      </c>
      <c r="C164" s="325">
        <f t="shared" si="62"/>
        <v>11.225407353295454</v>
      </c>
      <c r="D164" s="326">
        <f t="shared" si="63"/>
        <v>1.481594450812997</v>
      </c>
      <c r="E164" s="326">
        <f t="shared" si="64"/>
        <v>1.000067209440666</v>
      </c>
      <c r="F164" s="327">
        <f t="shared" si="65"/>
        <v>1.1593591041995545E-2</v>
      </c>
      <c r="G164" s="326">
        <f t="shared" si="66"/>
        <v>1</v>
      </c>
      <c r="H164" s="327">
        <f t="shared" si="67"/>
        <v>0</v>
      </c>
      <c r="I164" s="325">
        <f t="shared" si="68"/>
        <v>12245.752890892119</v>
      </c>
      <c r="J164" s="328">
        <f t="shared" si="69"/>
        <v>1.5707146658296607</v>
      </c>
      <c r="K164" s="336">
        <f t="shared" si="94"/>
        <v>2.5743192090113873</v>
      </c>
      <c r="L164" s="337">
        <f t="shared" si="95"/>
        <v>1.1718450227164894</v>
      </c>
      <c r="M164" s="325">
        <f t="shared" si="72"/>
        <v>1.0019910934858467</v>
      </c>
      <c r="N164" s="337">
        <f t="shared" si="73"/>
        <v>6.3052285895137519E-2</v>
      </c>
      <c r="O164" s="343">
        <f t="shared" si="74"/>
        <v>1.0014361716355971</v>
      </c>
      <c r="P164" s="691">
        <f t="shared" si="75"/>
        <v>5.3562205244062994E-2</v>
      </c>
      <c r="Q164" s="336">
        <f t="shared" si="90"/>
        <v>15.128892618915101</v>
      </c>
      <c r="R164" s="692">
        <f t="shared" si="76"/>
        <v>2.5018417394825496E-2</v>
      </c>
      <c r="S164" s="329">
        <f t="shared" si="77"/>
        <v>0.99935285068516888</v>
      </c>
      <c r="T164" s="330">
        <f t="shared" si="78"/>
        <v>7.9244437009244606E-2</v>
      </c>
      <c r="U164" s="331">
        <f t="shared" si="79"/>
        <v>13.226063357244769</v>
      </c>
      <c r="V164" s="332">
        <f t="shared" si="80"/>
        <v>-113.59595548744267</v>
      </c>
      <c r="W164" s="334">
        <f t="shared" si="81"/>
        <v>66.404044512557334</v>
      </c>
      <c r="Y164" s="307">
        <f t="shared" si="82"/>
        <v>1000000000</v>
      </c>
      <c r="Z164" s="307">
        <f t="shared" si="83"/>
        <v>85124611.689999983</v>
      </c>
      <c r="AB164" s="333">
        <f t="shared" si="84"/>
        <v>24.143485293493381</v>
      </c>
      <c r="AC164" s="334">
        <f t="shared" si="85"/>
        <v>-26.466177026959738</v>
      </c>
      <c r="AE164" s="333">
        <f t="shared" si="86"/>
        <v>46.645655478815215</v>
      </c>
      <c r="AF164" s="334">
        <f t="shared" si="87"/>
        <v>-88.765217037429807</v>
      </c>
      <c r="AH164">
        <f t="shared" si="88"/>
        <v>0</v>
      </c>
      <c r="AI164">
        <f t="shared" si="93"/>
        <v>0</v>
      </c>
    </row>
    <row r="165" spans="1:35" x14ac:dyDescent="0.25">
      <c r="A165" s="335">
        <v>9279.4</v>
      </c>
      <c r="B165" s="352">
        <f t="shared" si="89"/>
        <v>9.279399999999999</v>
      </c>
      <c r="C165" s="325">
        <f t="shared" si="62"/>
        <v>11.289501542451925</v>
      </c>
      <c r="D165" s="326">
        <f t="shared" si="63"/>
        <v>1.4821022150031944</v>
      </c>
      <c r="E165" s="326">
        <f t="shared" si="64"/>
        <v>1.0000679852596703</v>
      </c>
      <c r="F165" s="327">
        <f t="shared" si="65"/>
        <v>1.1660309449651067E-2</v>
      </c>
      <c r="G165" s="326">
        <f t="shared" si="66"/>
        <v>1</v>
      </c>
      <c r="H165" s="327">
        <f t="shared" si="67"/>
        <v>0</v>
      </c>
      <c r="I165" s="325">
        <f t="shared" si="68"/>
        <v>12316.230706937837</v>
      </c>
      <c r="J165" s="328">
        <f t="shared" si="69"/>
        <v>1.5707151331225067</v>
      </c>
      <c r="K165" s="336">
        <f t="shared" si="94"/>
        <v>2.5869049359216691</v>
      </c>
      <c r="L165" s="337">
        <f t="shared" si="95"/>
        <v>1.1738950868679972</v>
      </c>
      <c r="M165" s="325">
        <f t="shared" si="72"/>
        <v>1.0020140549646259</v>
      </c>
      <c r="N165" s="337">
        <f t="shared" si="73"/>
        <v>6.341420055939341E-2</v>
      </c>
      <c r="O165" s="343">
        <f t="shared" si="74"/>
        <v>1.001452738339969</v>
      </c>
      <c r="P165" s="691">
        <f t="shared" si="75"/>
        <v>5.3869876743776711E-2</v>
      </c>
      <c r="Q165" s="336">
        <f t="shared" si="90"/>
        <v>15.12894569829913</v>
      </c>
      <c r="R165" s="692">
        <f t="shared" si="76"/>
        <v>2.5162347564263058E-2</v>
      </c>
      <c r="S165" s="329">
        <f t="shared" si="77"/>
        <v>0.99934546136687108</v>
      </c>
      <c r="T165" s="330">
        <f t="shared" si="78"/>
        <v>7.9702067406750177E-2</v>
      </c>
      <c r="U165" s="331">
        <f t="shared" si="79"/>
        <v>13.169110308090712</v>
      </c>
      <c r="V165" s="332">
        <f t="shared" si="80"/>
        <v>-113.54136708559044</v>
      </c>
      <c r="W165" s="334">
        <f t="shared" si="81"/>
        <v>66.458632914409563</v>
      </c>
      <c r="Y165" s="307">
        <f t="shared" si="82"/>
        <v>1000000000</v>
      </c>
      <c r="Z165" s="307">
        <f t="shared" si="83"/>
        <v>86107264.359999999</v>
      </c>
      <c r="AB165" s="333">
        <f t="shared" si="84"/>
        <v>24.135801214378464</v>
      </c>
      <c r="AC165" s="334">
        <f t="shared" si="85"/>
        <v>-26.369479959950414</v>
      </c>
      <c r="AE165" s="333">
        <f t="shared" si="86"/>
        <v>46.596273293960131</v>
      </c>
      <c r="AF165" s="334">
        <f t="shared" si="87"/>
        <v>-88.816707389754299</v>
      </c>
      <c r="AH165">
        <f t="shared" si="88"/>
        <v>0</v>
      </c>
      <c r="AI165">
        <f t="shared" si="93"/>
        <v>0</v>
      </c>
    </row>
    <row r="166" spans="1:35" x14ac:dyDescent="0.25">
      <c r="A166" s="335">
        <v>9332.5</v>
      </c>
      <c r="B166" s="352">
        <f t="shared" si="89"/>
        <v>9.3324999999999996</v>
      </c>
      <c r="C166" s="325">
        <f t="shared" si="62"/>
        <v>11.353598609454227</v>
      </c>
      <c r="D166" s="326">
        <f t="shared" si="63"/>
        <v>1.4826042461269773</v>
      </c>
      <c r="E166" s="326">
        <f t="shared" si="64"/>
        <v>1.0000687655303162</v>
      </c>
      <c r="F166" s="327">
        <f t="shared" si="65"/>
        <v>1.1727027753493904E-2</v>
      </c>
      <c r="G166" s="326">
        <f t="shared" si="66"/>
        <v>1</v>
      </c>
      <c r="H166" s="327">
        <f t="shared" si="67"/>
        <v>0</v>
      </c>
      <c r="I166" s="325">
        <f t="shared" si="68"/>
        <v>12386.70852298621</v>
      </c>
      <c r="J166" s="328">
        <f t="shared" si="69"/>
        <v>1.5707155950977527</v>
      </c>
      <c r="K166" s="336">
        <f t="shared" si="94"/>
        <v>2.5995014296768337</v>
      </c>
      <c r="L166" s="337">
        <f t="shared" si="95"/>
        <v>1.1759252913500591</v>
      </c>
      <c r="M166" s="325">
        <f t="shared" si="72"/>
        <v>1.0020371476834096</v>
      </c>
      <c r="N166" s="337">
        <f t="shared" si="73"/>
        <v>6.3776098589844663E-2</v>
      </c>
      <c r="O166" s="343">
        <f t="shared" si="74"/>
        <v>1.0014693998404696</v>
      </c>
      <c r="P166" s="691">
        <f t="shared" si="75"/>
        <v>5.4177538035118662E-2</v>
      </c>
      <c r="Q166" s="336">
        <f t="shared" si="90"/>
        <v>15.128999082105993</v>
      </c>
      <c r="R166" s="692">
        <f t="shared" si="76"/>
        <v>2.5306276735806234E-2</v>
      </c>
      <c r="S166" s="329">
        <f t="shared" si="77"/>
        <v>0.9993380315129432</v>
      </c>
      <c r="T166" s="330">
        <f t="shared" si="78"/>
        <v>8.015972455841848E-2</v>
      </c>
      <c r="U166" s="331">
        <f t="shared" si="79"/>
        <v>13.11254973600356</v>
      </c>
      <c r="V166" s="332">
        <f t="shared" si="80"/>
        <v>-113.48758888731898</v>
      </c>
      <c r="W166" s="334">
        <f t="shared" si="81"/>
        <v>66.512411112681022</v>
      </c>
      <c r="Y166" s="307">
        <f t="shared" si="82"/>
        <v>1000000000</v>
      </c>
      <c r="Z166" s="307">
        <f t="shared" si="83"/>
        <v>87095556.25</v>
      </c>
      <c r="AB166" s="333">
        <f t="shared" si="84"/>
        <v>24.128230808945077</v>
      </c>
      <c r="AC166" s="334">
        <f t="shared" si="85"/>
        <v>-26.273919510461315</v>
      </c>
      <c r="AE166" s="333">
        <f t="shared" si="86"/>
        <v>46.547169267355663</v>
      </c>
      <c r="AF166" s="334">
        <f t="shared" si="87"/>
        <v>-88.867870800417833</v>
      </c>
      <c r="AH166">
        <f t="shared" si="88"/>
        <v>0</v>
      </c>
      <c r="AI166">
        <f t="shared" si="93"/>
        <v>0</v>
      </c>
    </row>
    <row r="167" spans="1:35" x14ac:dyDescent="0.25">
      <c r="A167" s="335">
        <v>9386.85</v>
      </c>
      <c r="B167" s="352">
        <f t="shared" si="89"/>
        <v>9.3868500000000008</v>
      </c>
      <c r="C167" s="325">
        <f t="shared" si="62"/>
        <v>11.419207482481193</v>
      </c>
      <c r="D167" s="326">
        <f t="shared" si="63"/>
        <v>1.4831122587145726</v>
      </c>
      <c r="E167" s="326">
        <f t="shared" si="64"/>
        <v>1.00006956877897</v>
      </c>
      <c r="F167" s="327">
        <f t="shared" si="65"/>
        <v>1.1795316530750465E-2</v>
      </c>
      <c r="G167" s="326">
        <f t="shared" si="66"/>
        <v>1</v>
      </c>
      <c r="H167" s="327">
        <f t="shared" si="67"/>
        <v>0</v>
      </c>
      <c r="I167" s="325">
        <f t="shared" si="68"/>
        <v>12458.845421335982</v>
      </c>
      <c r="J167" s="328">
        <f t="shared" si="69"/>
        <v>1.5707160625354684</v>
      </c>
      <c r="K167" s="336">
        <f t="shared" si="94"/>
        <v>2.6124054385203133</v>
      </c>
      <c r="L167" s="337">
        <f t="shared" si="95"/>
        <v>1.1779830039077546</v>
      </c>
      <c r="M167" s="325">
        <f t="shared" si="72"/>
        <v>1.0020609199171797</v>
      </c>
      <c r="N167" s="337">
        <f t="shared" si="73"/>
        <v>6.414649855363215E-2</v>
      </c>
      <c r="O167" s="343">
        <f t="shared" si="74"/>
        <v>1.0014865517256277</v>
      </c>
      <c r="P167" s="691">
        <f t="shared" si="75"/>
        <v>5.4492431191981036E-2</v>
      </c>
      <c r="Q167" s="336">
        <f t="shared" si="90"/>
        <v>15.129054037847027</v>
      </c>
      <c r="R167" s="692">
        <f t="shared" si="76"/>
        <v>2.5453593031168936E-2</v>
      </c>
      <c r="S167" s="329">
        <f t="shared" si="77"/>
        <v>0.99933038481196212</v>
      </c>
      <c r="T167" s="330">
        <f t="shared" si="78"/>
        <v>8.062818304858356E-2</v>
      </c>
      <c r="U167" s="331">
        <f t="shared" si="79"/>
        <v>13.055058552981961</v>
      </c>
      <c r="V167" s="332">
        <f t="shared" si="80"/>
        <v>-113.43337334505449</v>
      </c>
      <c r="W167" s="334">
        <f t="shared" si="81"/>
        <v>66.566626654945509</v>
      </c>
      <c r="Y167" s="307">
        <f t="shared" si="82"/>
        <v>1000000000</v>
      </c>
      <c r="Z167" s="307">
        <f t="shared" si="83"/>
        <v>88112952.922499999</v>
      </c>
      <c r="AB167" s="333">
        <f t="shared" si="84"/>
        <v>24.120597532489715</v>
      </c>
      <c r="AC167" s="334">
        <f t="shared" si="85"/>
        <v>-26.177270402208979</v>
      </c>
      <c r="AE167" s="333">
        <f t="shared" si="86"/>
        <v>46.497194152507753</v>
      </c>
      <c r="AF167" s="334">
        <f t="shared" si="87"/>
        <v>-88.919905813324647</v>
      </c>
      <c r="AH167">
        <f t="shared" si="88"/>
        <v>0</v>
      </c>
      <c r="AI167">
        <f t="shared" si="93"/>
        <v>0</v>
      </c>
    </row>
    <row r="168" spans="1:35" x14ac:dyDescent="0.25">
      <c r="A168" s="335">
        <v>9441.2000000000007</v>
      </c>
      <c r="B168" s="352">
        <f t="shared" si="89"/>
        <v>9.4412000000000003</v>
      </c>
      <c r="C168" s="325">
        <f t="shared" si="62"/>
        <v>11.484819268869327</v>
      </c>
      <c r="D168" s="326">
        <f t="shared" si="63"/>
        <v>1.4836144669659561</v>
      </c>
      <c r="E168" s="326">
        <f t="shared" si="64"/>
        <v>1.0000703766912979</v>
      </c>
      <c r="F168" s="327">
        <f t="shared" si="65"/>
        <v>1.1863605197990554E-2</v>
      </c>
      <c r="G168" s="326">
        <f t="shared" si="66"/>
        <v>1</v>
      </c>
      <c r="H168" s="327">
        <f t="shared" si="67"/>
        <v>0</v>
      </c>
      <c r="I168" s="325">
        <f t="shared" si="68"/>
        <v>12530.982319688443</v>
      </c>
      <c r="J168" s="328">
        <f t="shared" si="69"/>
        <v>1.5707165245914021</v>
      </c>
      <c r="K168" s="336">
        <f t="shared" si="94"/>
        <v>2.6253203999957733</v>
      </c>
      <c r="L168" s="337">
        <f t="shared" si="95"/>
        <v>1.180020479661845</v>
      </c>
      <c r="M168" s="325">
        <f t="shared" si="72"/>
        <v>1.0020848296232994</v>
      </c>
      <c r="N168" s="337">
        <f t="shared" si="73"/>
        <v>6.4516880892774423E-2</v>
      </c>
      <c r="O168" s="343">
        <f t="shared" si="74"/>
        <v>1.0015038029124819</v>
      </c>
      <c r="P168" s="691">
        <f t="shared" si="75"/>
        <v>5.4807313531817774E-2</v>
      </c>
      <c r="Q168" s="336">
        <f t="shared" si="90"/>
        <v>15.129109312505269</v>
      </c>
      <c r="R168" s="692">
        <f t="shared" si="76"/>
        <v>2.5600908269027247E-2</v>
      </c>
      <c r="S168" s="329">
        <f t="shared" si="77"/>
        <v>0.99932269571277577</v>
      </c>
      <c r="T168" s="330">
        <f t="shared" si="78"/>
        <v>8.1096669889822726E-2</v>
      </c>
      <c r="U168" s="331">
        <f t="shared" si="79"/>
        <v>12.997967298376301</v>
      </c>
      <c r="V168" s="332">
        <f t="shared" si="80"/>
        <v>-113.37998559396912</v>
      </c>
      <c r="W168" s="334">
        <f t="shared" si="81"/>
        <v>66.620014406030876</v>
      </c>
      <c r="Y168" s="307">
        <f t="shared" si="82"/>
        <v>1000000000</v>
      </c>
      <c r="Z168" s="307">
        <f t="shared" si="83"/>
        <v>89136257.440000013</v>
      </c>
      <c r="AB168" s="333">
        <f t="shared" si="84"/>
        <v>24.113078571546737</v>
      </c>
      <c r="AC168" s="334">
        <f t="shared" si="85"/>
        <v>-26.081779459224187</v>
      </c>
      <c r="AE168" s="333">
        <f t="shared" si="86"/>
        <v>46.447503974864013</v>
      </c>
      <c r="AF168" s="334">
        <f t="shared" si="87"/>
        <v>-88.971609892963642</v>
      </c>
      <c r="AH168">
        <f t="shared" si="88"/>
        <v>0</v>
      </c>
      <c r="AI168">
        <f t="shared" si="93"/>
        <v>0</v>
      </c>
    </row>
    <row r="169" spans="1:35" x14ac:dyDescent="0.25">
      <c r="A169" s="335">
        <v>9495.5499999999993</v>
      </c>
      <c r="B169" s="352">
        <f t="shared" si="89"/>
        <v>9.4955499999999997</v>
      </c>
      <c r="C169" s="325">
        <f t="shared" si="62"/>
        <v>11.55043391897093</v>
      </c>
      <c r="D169" s="326">
        <f t="shared" si="63"/>
        <v>1.4841109695438457</v>
      </c>
      <c r="E169" s="326">
        <f t="shared" si="64"/>
        <v>1.0000711892672884</v>
      </c>
      <c r="F169" s="327">
        <f t="shared" si="65"/>
        <v>1.1931893754577531E-2</v>
      </c>
      <c r="G169" s="326">
        <f t="shared" si="66"/>
        <v>1</v>
      </c>
      <c r="H169" s="327">
        <f t="shared" si="67"/>
        <v>0</v>
      </c>
      <c r="I169" s="325">
        <f t="shared" si="68"/>
        <v>12603.119218043546</v>
      </c>
      <c r="J169" s="328">
        <f t="shared" si="69"/>
        <v>1.5707169813579656</v>
      </c>
      <c r="K169" s="336">
        <f t="shared" si="94"/>
        <v>2.6382461532545203</v>
      </c>
      <c r="L169" s="337">
        <f t="shared" si="95"/>
        <v>1.1820379990136634</v>
      </c>
      <c r="M169" s="325">
        <f t="shared" si="72"/>
        <v>1.0021088767919286</v>
      </c>
      <c r="N169" s="337">
        <f t="shared" si="73"/>
        <v>6.4887245506916269E-2</v>
      </c>
      <c r="O169" s="343">
        <f t="shared" si="74"/>
        <v>1.0015211533959008</v>
      </c>
      <c r="P169" s="691">
        <f t="shared" si="75"/>
        <v>5.5122184992747729E-2</v>
      </c>
      <c r="Q169" s="336">
        <f t="shared" si="90"/>
        <v>15.129164906077229</v>
      </c>
      <c r="R169" s="692">
        <f t="shared" si="76"/>
        <v>2.5748222443273752E-2</v>
      </c>
      <c r="S169" s="329">
        <f t="shared" si="77"/>
        <v>0.99931496425025512</v>
      </c>
      <c r="T169" s="330">
        <f t="shared" si="78"/>
        <v>8.1565185245220356E-2</v>
      </c>
      <c r="U169" s="331">
        <f t="shared" si="79"/>
        <v>12.941270453670741</v>
      </c>
      <c r="V169" s="332">
        <f t="shared" si="80"/>
        <v>-113.32741523332818</v>
      </c>
      <c r="W169" s="334">
        <f t="shared" si="81"/>
        <v>66.672584766671818</v>
      </c>
      <c r="Y169" s="307">
        <f t="shared" si="82"/>
        <v>1000000000</v>
      </c>
      <c r="Z169" s="307">
        <f t="shared" si="83"/>
        <v>90165469.80249998</v>
      </c>
      <c r="AB169" s="333">
        <f t="shared" si="84"/>
        <v>24.105671599787755</v>
      </c>
      <c r="AC169" s="334">
        <f t="shared" si="85"/>
        <v>-25.987430615238839</v>
      </c>
      <c r="AE169" s="333">
        <f t="shared" si="86"/>
        <v>46.398095542321904</v>
      </c>
      <c r="AF169" s="334">
        <f t="shared" si="87"/>
        <v>-89.022988701672674</v>
      </c>
      <c r="AH169">
        <f t="shared" si="88"/>
        <v>0</v>
      </c>
      <c r="AI169">
        <f t="shared" si="93"/>
        <v>0</v>
      </c>
    </row>
    <row r="170" spans="1:35" x14ac:dyDescent="0.25">
      <c r="A170" s="335">
        <v>9549.9</v>
      </c>
      <c r="B170" s="352">
        <f t="shared" si="89"/>
        <v>9.5498999999999992</v>
      </c>
      <c r="C170" s="325">
        <f t="shared" si="62"/>
        <v>11.616051384257922</v>
      </c>
      <c r="D170" s="326">
        <f t="shared" si="63"/>
        <v>1.4846018628930311</v>
      </c>
      <c r="E170" s="326">
        <f t="shared" si="64"/>
        <v>1.0000720065069304</v>
      </c>
      <c r="F170" s="327">
        <f t="shared" si="65"/>
        <v>1.2000182199874766E-2</v>
      </c>
      <c r="G170" s="326">
        <f t="shared" si="66"/>
        <v>1</v>
      </c>
      <c r="H170" s="327">
        <f t="shared" si="67"/>
        <v>0</v>
      </c>
      <c r="I170" s="325">
        <f t="shared" si="68"/>
        <v>12675.256116401253</v>
      </c>
      <c r="J170" s="328">
        <f t="shared" si="69"/>
        <v>1.5707174329254667</v>
      </c>
      <c r="K170" s="336">
        <f t="shared" si="94"/>
        <v>2.651182540451607</v>
      </c>
      <c r="L170" s="337">
        <f t="shared" si="95"/>
        <v>1.1840358375484068</v>
      </c>
      <c r="M170" s="325">
        <f t="shared" si="72"/>
        <v>1.002133061413172</v>
      </c>
      <c r="N170" s="337">
        <f t="shared" si="73"/>
        <v>6.5257592295731567E-2</v>
      </c>
      <c r="O170" s="343">
        <f t="shared" si="74"/>
        <v>1.0015386031707236</v>
      </c>
      <c r="P170" s="691">
        <f t="shared" si="75"/>
        <v>5.543704551290269E-2</v>
      </c>
      <c r="Q170" s="336">
        <f t="shared" si="90"/>
        <v>15.129220818559396</v>
      </c>
      <c r="R170" s="692">
        <f t="shared" si="76"/>
        <v>2.5895535547801288E-2</v>
      </c>
      <c r="S170" s="329">
        <f t="shared" si="77"/>
        <v>0.99930719045947436</v>
      </c>
      <c r="T170" s="330">
        <f t="shared" si="78"/>
        <v>8.2033729277842055E-2</v>
      </c>
      <c r="U170" s="331">
        <f t="shared" si="79"/>
        <v>12.884962610251534</v>
      </c>
      <c r="V170" s="332">
        <f t="shared" si="80"/>
        <v>-113.27565201114277</v>
      </c>
      <c r="W170" s="334">
        <f t="shared" si="81"/>
        <v>66.724347988857232</v>
      </c>
      <c r="Y170" s="307">
        <f t="shared" si="82"/>
        <v>1000000000</v>
      </c>
      <c r="Z170" s="307">
        <f t="shared" si="83"/>
        <v>91200590.00999999</v>
      </c>
      <c r="AB170" s="333">
        <f t="shared" si="84"/>
        <v>24.098374347806729</v>
      </c>
      <c r="AC170" s="334">
        <f t="shared" si="85"/>
        <v>-25.894208079810234</v>
      </c>
      <c r="AE170" s="333">
        <f t="shared" si="86"/>
        <v>46.348965715759086</v>
      </c>
      <c r="AF170" s="334">
        <f t="shared" si="87"/>
        <v>-89.074047774710607</v>
      </c>
      <c r="AH170">
        <f t="shared" si="88"/>
        <v>0</v>
      </c>
      <c r="AI170">
        <f t="shared" si="93"/>
        <v>0</v>
      </c>
    </row>
    <row r="171" spans="1:35" x14ac:dyDescent="0.25">
      <c r="A171" s="335">
        <v>9605.5249999999996</v>
      </c>
      <c r="B171" s="352">
        <f t="shared" si="89"/>
        <v>9.6055250000000001</v>
      </c>
      <c r="C171" s="325">
        <f t="shared" si="62"/>
        <v>11.68321103923023</v>
      </c>
      <c r="D171" s="326">
        <f t="shared" si="63"/>
        <v>1.4850985623695949</v>
      </c>
      <c r="E171" s="326">
        <f t="shared" si="64"/>
        <v>1.0000728477472776</v>
      </c>
      <c r="F171" s="327">
        <f t="shared" si="65"/>
        <v>1.2070072512118507E-2</v>
      </c>
      <c r="G171" s="326">
        <f t="shared" si="66"/>
        <v>1</v>
      </c>
      <c r="H171" s="327">
        <f t="shared" si="67"/>
        <v>0</v>
      </c>
      <c r="I171" s="325">
        <f t="shared" si="68"/>
        <v>12749.08527870652</v>
      </c>
      <c r="J171" s="328">
        <f t="shared" si="69"/>
        <v>1.5707178897949736</v>
      </c>
      <c r="K171" s="336">
        <f t="shared" si="94"/>
        <v>2.6644332525730885</v>
      </c>
      <c r="L171" s="337">
        <f t="shared" si="95"/>
        <v>1.1860604473614687</v>
      </c>
      <c r="M171" s="325">
        <f t="shared" si="72"/>
        <v>1.0021579556997506</v>
      </c>
      <c r="N171" s="337">
        <f t="shared" si="73"/>
        <v>6.5636608510547617E-2</v>
      </c>
      <c r="O171" s="343">
        <f t="shared" si="74"/>
        <v>1.001556565108124</v>
      </c>
      <c r="P171" s="691">
        <f t="shared" si="75"/>
        <v>5.5759280972081576E-2</v>
      </c>
      <c r="Q171" s="336">
        <f t="shared" si="90"/>
        <v>15.1292783729122</v>
      </c>
      <c r="R171" s="692">
        <f t="shared" si="76"/>
        <v>2.6046303365499832E-2</v>
      </c>
      <c r="S171" s="329">
        <f t="shared" si="77"/>
        <v>0.99929919051029148</v>
      </c>
      <c r="T171" s="330">
        <f t="shared" si="78"/>
        <v>8.2513294778179813E-2</v>
      </c>
      <c r="U171" s="331">
        <f t="shared" si="79"/>
        <v>12.827731102608952</v>
      </c>
      <c r="V171" s="332">
        <f t="shared" si="80"/>
        <v>-113.2234996905671</v>
      </c>
      <c r="W171" s="334">
        <f t="shared" si="81"/>
        <v>66.776500309432905</v>
      </c>
      <c r="Y171" s="307">
        <f t="shared" si="82"/>
        <v>1000000000</v>
      </c>
      <c r="Z171" s="307">
        <f t="shared" si="83"/>
        <v>92266110.52562499</v>
      </c>
      <c r="AB171" s="333">
        <f t="shared" si="84"/>
        <v>24.091017209769653</v>
      </c>
      <c r="AC171" s="334">
        <f t="shared" si="85"/>
        <v>-25.799948688423829</v>
      </c>
      <c r="AE171" s="333">
        <f t="shared" si="86"/>
        <v>46.298968614488544</v>
      </c>
      <c r="AF171" s="334">
        <f t="shared" si="87"/>
        <v>-89.125979217712427</v>
      </c>
      <c r="AH171">
        <f t="shared" si="88"/>
        <v>0</v>
      </c>
      <c r="AI171">
        <f t="shared" si="93"/>
        <v>0</v>
      </c>
    </row>
    <row r="172" spans="1:35" x14ac:dyDescent="0.25">
      <c r="A172" s="335">
        <v>9661.15</v>
      </c>
      <c r="B172" s="352">
        <f t="shared" si="89"/>
        <v>9.6611499999999992</v>
      </c>
      <c r="C172" s="325">
        <f t="shared" si="62"/>
        <v>11.750373543622889</v>
      </c>
      <c r="D172" s="326">
        <f t="shared" si="63"/>
        <v>1.485589583920143</v>
      </c>
      <c r="E172" s="326">
        <f t="shared" si="64"/>
        <v>1.000073693872628</v>
      </c>
      <c r="F172" s="327">
        <f t="shared" si="65"/>
        <v>1.2139962706440421E-2</v>
      </c>
      <c r="G172" s="326">
        <f t="shared" si="66"/>
        <v>1</v>
      </c>
      <c r="H172" s="327">
        <f t="shared" si="67"/>
        <v>0</v>
      </c>
      <c r="I172" s="325">
        <f t="shared" si="68"/>
        <v>12822.914441014416</v>
      </c>
      <c r="J172" s="328">
        <f t="shared" si="69"/>
        <v>1.5707183414035402</v>
      </c>
      <c r="K172" s="336">
        <f t="shared" si="94"/>
        <v>2.6776947782076026</v>
      </c>
      <c r="L172" s="337">
        <f t="shared" si="95"/>
        <v>1.1880650111971398</v>
      </c>
      <c r="M172" s="325">
        <f t="shared" si="72"/>
        <v>1.0021829939424536</v>
      </c>
      <c r="N172" s="337">
        <f t="shared" si="73"/>
        <v>6.6015605841348218E-2</v>
      </c>
      <c r="O172" s="343">
        <f t="shared" si="74"/>
        <v>1.0015746310391063</v>
      </c>
      <c r="P172" s="691">
        <f t="shared" si="75"/>
        <v>5.608150484005521E-2</v>
      </c>
      <c r="Q172" s="336">
        <f t="shared" si="90"/>
        <v>15.129336261305875</v>
      </c>
      <c r="R172" s="692">
        <f t="shared" si="76"/>
        <v>2.6197070049758197E-2</v>
      </c>
      <c r="S172" s="329">
        <f t="shared" si="77"/>
        <v>0.99929114629858118</v>
      </c>
      <c r="T172" s="330">
        <f t="shared" si="78"/>
        <v>8.2992890662562699E-2</v>
      </c>
      <c r="U172" s="331">
        <f t="shared" si="79"/>
        <v>12.770895938637256</v>
      </c>
      <c r="V172" s="332">
        <f t="shared" si="80"/>
        <v>-113.17217156211166</v>
      </c>
      <c r="W172" s="334">
        <f t="shared" si="81"/>
        <v>66.827828437888343</v>
      </c>
      <c r="Y172" s="307">
        <f t="shared" si="82"/>
        <v>1000000000</v>
      </c>
      <c r="Z172" s="307">
        <f t="shared" si="83"/>
        <v>93337819.32249999</v>
      </c>
      <c r="AB172" s="333">
        <f t="shared" si="84"/>
        <v>24.083770365391352</v>
      </c>
      <c r="AC172" s="334">
        <f t="shared" si="85"/>
        <v>-25.706836463535371</v>
      </c>
      <c r="AE172" s="333">
        <f t="shared" si="86"/>
        <v>46.249256855817215</v>
      </c>
      <c r="AF172" s="334">
        <f t="shared" si="87"/>
        <v>-89.177587087150755</v>
      </c>
      <c r="AH172">
        <f t="shared" si="88"/>
        <v>0</v>
      </c>
      <c r="AI172">
        <f t="shared" si="93"/>
        <v>0</v>
      </c>
    </row>
    <row r="173" spans="1:35" x14ac:dyDescent="0.25">
      <c r="A173" s="335">
        <v>9716.7749999999996</v>
      </c>
      <c r="B173" s="352">
        <f t="shared" si="89"/>
        <v>9.7167750000000002</v>
      </c>
      <c r="C173" s="325">
        <f t="shared" si="62"/>
        <v>11.817538848853646</v>
      </c>
      <c r="D173" s="326">
        <f t="shared" si="63"/>
        <v>1.4860750241178036</v>
      </c>
      <c r="E173" s="326">
        <f t="shared" si="64"/>
        <v>1.0000745448829693</v>
      </c>
      <c r="F173" s="327">
        <f t="shared" si="65"/>
        <v>1.2209852782158033E-2</v>
      </c>
      <c r="G173" s="326">
        <f t="shared" si="66"/>
        <v>1</v>
      </c>
      <c r="H173" s="327">
        <f t="shared" si="67"/>
        <v>0</v>
      </c>
      <c r="I173" s="325">
        <f t="shared" si="68"/>
        <v>12896.743603324898</v>
      </c>
      <c r="J173" s="328">
        <f t="shared" si="69"/>
        <v>1.5707187878415174</v>
      </c>
      <c r="K173" s="336">
        <f t="shared" si="94"/>
        <v>2.6909669574828672</v>
      </c>
      <c r="L173" s="337">
        <f t="shared" si="95"/>
        <v>1.1900498094331879</v>
      </c>
      <c r="M173" s="325">
        <f t="shared" si="72"/>
        <v>1.0022081761304915</v>
      </c>
      <c r="N173" s="337">
        <f t="shared" si="73"/>
        <v>6.6394584180675231E-2</v>
      </c>
      <c r="O173" s="343">
        <f t="shared" si="74"/>
        <v>1.0015928009580428</v>
      </c>
      <c r="P173" s="691">
        <f t="shared" si="75"/>
        <v>5.6403717050540793E-2</v>
      </c>
      <c r="Q173" s="336">
        <f t="shared" si="90"/>
        <v>15.129394483736588</v>
      </c>
      <c r="R173" s="692">
        <f t="shared" si="76"/>
        <v>2.6347835594030145E-2</v>
      </c>
      <c r="S173" s="329">
        <f t="shared" si="77"/>
        <v>0.99928305786260352</v>
      </c>
      <c r="T173" s="330">
        <f t="shared" si="78"/>
        <v>8.3472517105741301E-2</v>
      </c>
      <c r="U173" s="331">
        <f t="shared" si="79"/>
        <v>12.714451659783165</v>
      </c>
      <c r="V173" s="332">
        <f t="shared" si="80"/>
        <v>-113.12165710704045</v>
      </c>
      <c r="W173" s="334">
        <f t="shared" si="81"/>
        <v>66.878342892959552</v>
      </c>
      <c r="Y173" s="307">
        <f t="shared" si="82"/>
        <v>1000000000</v>
      </c>
      <c r="Z173" s="307">
        <f t="shared" si="83"/>
        <v>94415716.40062499</v>
      </c>
      <c r="AB173" s="333">
        <f t="shared" si="84"/>
        <v>24.076631556551558</v>
      </c>
      <c r="AC173" s="334">
        <f t="shared" si="85"/>
        <v>-25.614855339701929</v>
      </c>
      <c r="AE173" s="333">
        <f t="shared" si="86"/>
        <v>46.199827239405195</v>
      </c>
      <c r="AF173" s="334">
        <f t="shared" si="87"/>
        <v>-89.228876926309837</v>
      </c>
      <c r="AH173">
        <f t="shared" si="88"/>
        <v>0</v>
      </c>
      <c r="AI173">
        <f t="shared" si="93"/>
        <v>0</v>
      </c>
    </row>
    <row r="174" spans="1:35" x14ac:dyDescent="0.25">
      <c r="A174" s="335">
        <v>9772.4</v>
      </c>
      <c r="B174" s="352">
        <f t="shared" si="89"/>
        <v>9.7723999999999993</v>
      </c>
      <c r="C174" s="325">
        <f t="shared" si="62"/>
        <v>11.884706907436483</v>
      </c>
      <c r="D174" s="326">
        <f t="shared" si="63"/>
        <v>1.4865549773631797</v>
      </c>
      <c r="E174" s="326">
        <f t="shared" si="64"/>
        <v>1.0000754007782893</v>
      </c>
      <c r="F174" s="327">
        <f t="shared" si="65"/>
        <v>1.2279742738588874E-2</v>
      </c>
      <c r="G174" s="326">
        <f t="shared" si="66"/>
        <v>1</v>
      </c>
      <c r="H174" s="327">
        <f t="shared" si="67"/>
        <v>0</v>
      </c>
      <c r="I174" s="325">
        <f t="shared" si="68"/>
        <v>12970.572765637919</v>
      </c>
      <c r="J174" s="328">
        <f t="shared" si="69"/>
        <v>1.5707192291971992</v>
      </c>
      <c r="K174" s="336">
        <f t="shared" si="94"/>
        <v>2.7042496335379651</v>
      </c>
      <c r="L174" s="337">
        <f t="shared" si="95"/>
        <v>1.1920151175683376</v>
      </c>
      <c r="M174" s="325">
        <f t="shared" si="72"/>
        <v>1.0022335022530142</v>
      </c>
      <c r="N174" s="337">
        <f t="shared" si="73"/>
        <v>6.6773543421103088E-2</v>
      </c>
      <c r="O174" s="343">
        <f t="shared" si="74"/>
        <v>1.0016110748592748</v>
      </c>
      <c r="P174" s="691">
        <f t="shared" si="75"/>
        <v>5.6725917537269945E-2</v>
      </c>
      <c r="Q174" s="336">
        <f t="shared" si="90"/>
        <v>15.129453040200486</v>
      </c>
      <c r="R174" s="692">
        <f t="shared" si="76"/>
        <v>2.6498599991769737E-2</v>
      </c>
      <c r="S174" s="329">
        <f t="shared" si="77"/>
        <v>0.99927492524084127</v>
      </c>
      <c r="T174" s="330">
        <f t="shared" si="78"/>
        <v>8.3952174282444905E-2</v>
      </c>
      <c r="U174" s="331">
        <f t="shared" si="79"/>
        <v>12.658392916283495</v>
      </c>
      <c r="V174" s="332">
        <f t="shared" si="80"/>
        <v>-113.07194596157146</v>
      </c>
      <c r="W174" s="334">
        <f t="shared" si="81"/>
        <v>66.928054038428542</v>
      </c>
      <c r="Y174" s="307">
        <f t="shared" si="82"/>
        <v>1000000000</v>
      </c>
      <c r="Z174" s="307">
        <f t="shared" si="83"/>
        <v>95499801.75999999</v>
      </c>
      <c r="AB174" s="333">
        <f t="shared" si="84"/>
        <v>24.069598580720019</v>
      </c>
      <c r="AC174" s="334">
        <f t="shared" si="85"/>
        <v>-25.523989530913124</v>
      </c>
      <c r="AE174" s="333">
        <f t="shared" si="86"/>
        <v>46.150676618113174</v>
      </c>
      <c r="AF174" s="334">
        <f t="shared" si="87"/>
        <v>-89.279854153996197</v>
      </c>
      <c r="AH174">
        <f t="shared" si="88"/>
        <v>0</v>
      </c>
      <c r="AI174">
        <f t="shared" si="93"/>
        <v>0</v>
      </c>
    </row>
    <row r="175" spans="1:35" x14ac:dyDescent="0.25">
      <c r="A175" s="335">
        <v>9829.2999999999993</v>
      </c>
      <c r="B175" s="352">
        <f t="shared" si="89"/>
        <v>9.8292999999999999</v>
      </c>
      <c r="C175" s="325">
        <f t="shared" si="62"/>
        <v>11.953417348837446</v>
      </c>
      <c r="D175" s="326">
        <f t="shared" si="63"/>
        <v>1.487040350941095</v>
      </c>
      <c r="E175" s="326">
        <f t="shared" si="64"/>
        <v>1.0000762813460879</v>
      </c>
      <c r="F175" s="327">
        <f t="shared" si="65"/>
        <v>1.2351234542923828E-2</v>
      </c>
      <c r="G175" s="326">
        <f t="shared" si="66"/>
        <v>1</v>
      </c>
      <c r="H175" s="327">
        <f t="shared" si="67"/>
        <v>0</v>
      </c>
      <c r="I175" s="325">
        <f t="shared" si="68"/>
        <v>13046.094191898677</v>
      </c>
      <c r="J175" s="328">
        <f t="shared" si="69"/>
        <v>1.5707196755009332</v>
      </c>
      <c r="K175" s="336">
        <f t="shared" si="94"/>
        <v>2.7178474664264072</v>
      </c>
      <c r="L175" s="337">
        <f t="shared" si="95"/>
        <v>1.1940055900936308</v>
      </c>
      <c r="M175" s="325">
        <f t="shared" si="72"/>
        <v>1.0022595577940907</v>
      </c>
      <c r="N175" s="337">
        <f t="shared" si="73"/>
        <v>6.7161169045740626E-2</v>
      </c>
      <c r="O175" s="343">
        <f t="shared" si="74"/>
        <v>1.0016298752017607</v>
      </c>
      <c r="P175" s="691">
        <f t="shared" si="75"/>
        <v>5.7055491094587144E-2</v>
      </c>
      <c r="Q175" s="336">
        <f t="shared" si="90"/>
        <v>15.12951328445912</v>
      </c>
      <c r="R175" s="692">
        <f t="shared" si="76"/>
        <v>2.6652818919705584E-2</v>
      </c>
      <c r="S175" s="329">
        <f t="shared" si="77"/>
        <v>0.99926656053218765</v>
      </c>
      <c r="T175" s="330">
        <f t="shared" si="78"/>
        <v>8.4442857828788118E-2</v>
      </c>
      <c r="U175" s="331">
        <f t="shared" si="79"/>
        <v>12.601442656681947</v>
      </c>
      <c r="V175" s="332">
        <f t="shared" si="80"/>
        <v>-113.02191586516531</v>
      </c>
      <c r="W175" s="334">
        <f t="shared" si="81"/>
        <v>66.978084134834688</v>
      </c>
      <c r="Y175" s="307">
        <f t="shared" si="82"/>
        <v>1000000000</v>
      </c>
      <c r="Z175" s="307">
        <f t="shared" si="83"/>
        <v>96615138.48999998</v>
      </c>
      <c r="AB175" s="333">
        <f t="shared" si="84"/>
        <v>24.062511659520254</v>
      </c>
      <c r="AC175" s="334">
        <f t="shared" si="85"/>
        <v>-25.432178739515358</v>
      </c>
      <c r="AE175" s="333">
        <f t="shared" si="86"/>
        <v>46.100684832644461</v>
      </c>
      <c r="AF175" s="334">
        <f t="shared" si="87"/>
        <v>-89.331681929180931</v>
      </c>
      <c r="AH175">
        <f t="shared" si="88"/>
        <v>0</v>
      </c>
      <c r="AI175">
        <f t="shared" si="93"/>
        <v>0</v>
      </c>
    </row>
    <row r="176" spans="1:35" x14ac:dyDescent="0.25">
      <c r="A176" s="335">
        <v>9886.2000000000007</v>
      </c>
      <c r="B176" s="352">
        <f t="shared" si="89"/>
        <v>9.8862000000000005</v>
      </c>
      <c r="C176" s="325">
        <f t="shared" si="62"/>
        <v>12.022130574124255</v>
      </c>
      <c r="D176" s="326">
        <f t="shared" si="63"/>
        <v>1.4875201762660173</v>
      </c>
      <c r="E176" s="326">
        <f t="shared" si="64"/>
        <v>1.0000771670253457</v>
      </c>
      <c r="F176" s="327">
        <f t="shared" si="65"/>
        <v>1.242272622099634E-2</v>
      </c>
      <c r="G176" s="326">
        <f t="shared" si="66"/>
        <v>1</v>
      </c>
      <c r="H176" s="327">
        <f t="shared" si="67"/>
        <v>0</v>
      </c>
      <c r="I176" s="325">
        <f t="shared" si="68"/>
        <v>13121.615618162006</v>
      </c>
      <c r="J176" s="328">
        <f t="shared" si="69"/>
        <v>1.5707201166672669</v>
      </c>
      <c r="K176" s="336">
        <f t="shared" si="94"/>
        <v>2.7314559601378985</v>
      </c>
      <c r="L176" s="337">
        <f t="shared" si="95"/>
        <v>1.1959762367396658</v>
      </c>
      <c r="M176" s="325">
        <f t="shared" si="72"/>
        <v>1.0022857639204559</v>
      </c>
      <c r="N176" s="337">
        <f t="shared" si="73"/>
        <v>6.7548774458614985E-2</v>
      </c>
      <c r="O176" s="343">
        <f t="shared" si="74"/>
        <v>1.0016487843359203</v>
      </c>
      <c r="P176" s="691">
        <f t="shared" si="75"/>
        <v>5.7385052244314977E-2</v>
      </c>
      <c r="Q176" s="336">
        <f t="shared" si="90"/>
        <v>15.129573878231193</v>
      </c>
      <c r="R176" s="692">
        <f t="shared" si="76"/>
        <v>2.6807036634091626E-2</v>
      </c>
      <c r="S176" s="329">
        <f t="shared" si="77"/>
        <v>0.99925814967110893</v>
      </c>
      <c r="T176" s="330">
        <f t="shared" si="78"/>
        <v>8.4933573903495263E-2</v>
      </c>
      <c r="U176" s="331">
        <f t="shared" si="79"/>
        <v>12.544884821729029</v>
      </c>
      <c r="V176" s="332">
        <f t="shared" si="80"/>
        <v>-112.97270487642999</v>
      </c>
      <c r="W176" s="334">
        <f t="shared" si="81"/>
        <v>67.027295123570013</v>
      </c>
      <c r="Y176" s="307">
        <f t="shared" si="82"/>
        <v>1000000000</v>
      </c>
      <c r="Z176" s="307">
        <f t="shared" si="83"/>
        <v>97736950.440000013</v>
      </c>
      <c r="AB176" s="333">
        <f t="shared" si="84"/>
        <v>24.055530987724005</v>
      </c>
      <c r="AC176" s="334">
        <f t="shared" si="85"/>
        <v>-25.341502434925442</v>
      </c>
      <c r="AE176" s="333">
        <f t="shared" si="86"/>
        <v>46.050978482601856</v>
      </c>
      <c r="AF176" s="334">
        <f t="shared" si="87"/>
        <v>-89.383193683857414</v>
      </c>
      <c r="AH176">
        <f t="shared" si="88"/>
        <v>0</v>
      </c>
      <c r="AI176">
        <f t="shared" si="93"/>
        <v>0</v>
      </c>
    </row>
    <row r="177" spans="1:35" x14ac:dyDescent="0.25">
      <c r="A177" s="335">
        <v>9943.1</v>
      </c>
      <c r="B177" s="352">
        <f t="shared" si="89"/>
        <v>9.9431000000000012</v>
      </c>
      <c r="C177" s="325">
        <f t="shared" si="62"/>
        <v>12.090846535833782</v>
      </c>
      <c r="D177" s="326">
        <f t="shared" si="63"/>
        <v>1.4879945477123313</v>
      </c>
      <c r="E177" s="326">
        <f t="shared" si="64"/>
        <v>1.0000780578160486</v>
      </c>
      <c r="F177" s="327">
        <f t="shared" si="65"/>
        <v>1.249421777207594E-2</v>
      </c>
      <c r="G177" s="326">
        <f t="shared" si="66"/>
        <v>1</v>
      </c>
      <c r="H177" s="327">
        <f t="shared" si="67"/>
        <v>0</v>
      </c>
      <c r="I177" s="325">
        <f t="shared" si="68"/>
        <v>13197.137044427858</v>
      </c>
      <c r="J177" s="328">
        <f t="shared" si="69"/>
        <v>1.5707205527843979</v>
      </c>
      <c r="K177" s="336">
        <f t="shared" si="94"/>
        <v>2.7450749561218615</v>
      </c>
      <c r="L177" s="337">
        <f t="shared" si="95"/>
        <v>1.1979273371691008</v>
      </c>
      <c r="M177" s="325">
        <f t="shared" si="72"/>
        <v>1.0023121206202985</v>
      </c>
      <c r="N177" s="337">
        <f t="shared" si="73"/>
        <v>6.793635954485E-2</v>
      </c>
      <c r="O177" s="343">
        <f t="shared" si="74"/>
        <v>1.0016678022555925</v>
      </c>
      <c r="P177" s="691">
        <f t="shared" si="75"/>
        <v>5.7714600915570499E-2</v>
      </c>
      <c r="Q177" s="336">
        <f t="shared" si="90"/>
        <v>15.129634821512507</v>
      </c>
      <c r="R177" s="692">
        <f t="shared" si="76"/>
        <v>2.6961253127922392E-2</v>
      </c>
      <c r="S177" s="329">
        <f t="shared" si="77"/>
        <v>0.99924969269951791</v>
      </c>
      <c r="T177" s="330">
        <f t="shared" si="78"/>
        <v>8.5424322693518129E-2</v>
      </c>
      <c r="U177" s="331">
        <f t="shared" si="79"/>
        <v>12.488714020892866</v>
      </c>
      <c r="V177" s="332">
        <f t="shared" si="80"/>
        <v>-112.92430239201414</v>
      </c>
      <c r="W177" s="334">
        <f t="shared" si="81"/>
        <v>67.075697607985859</v>
      </c>
      <c r="Y177" s="307">
        <f t="shared" si="82"/>
        <v>1000000000</v>
      </c>
      <c r="Z177" s="307">
        <f t="shared" si="83"/>
        <v>98865237.610000014</v>
      </c>
      <c r="AB177" s="333">
        <f t="shared" si="84"/>
        <v>24.048654378152555</v>
      </c>
      <c r="AC177" s="334">
        <f t="shared" si="85"/>
        <v>-25.251944592124776</v>
      </c>
      <c r="AE177" s="333">
        <f t="shared" si="86"/>
        <v>46.001554364734083</v>
      </c>
      <c r="AF177" s="334">
        <f t="shared" si="87"/>
        <v>-89.434394836032993</v>
      </c>
      <c r="AH177">
        <f t="shared" si="88"/>
        <v>0</v>
      </c>
      <c r="AI177">
        <f t="shared" si="93"/>
        <v>0</v>
      </c>
    </row>
    <row r="178" spans="1:35" x14ac:dyDescent="0.25">
      <c r="A178" s="335">
        <v>10000</v>
      </c>
      <c r="B178" s="352">
        <f t="shared" si="89"/>
        <v>10</v>
      </c>
      <c r="C178" s="325">
        <f t="shared" si="62"/>
        <v>12.159565187573929</v>
      </c>
      <c r="D178" s="326">
        <f t="shared" si="63"/>
        <v>1.4884635575309755</v>
      </c>
      <c r="E178" s="326">
        <f t="shared" si="64"/>
        <v>1.0000789537181833</v>
      </c>
      <c r="F178" s="327">
        <f t="shared" si="65"/>
        <v>1.2565709195432186E-2</v>
      </c>
      <c r="G178" s="326">
        <f t="shared" si="66"/>
        <v>1</v>
      </c>
      <c r="H178" s="327">
        <f t="shared" si="67"/>
        <v>0</v>
      </c>
      <c r="I178" s="325">
        <f t="shared" si="68"/>
        <v>13272.658470696193</v>
      </c>
      <c r="J178" s="328">
        <f t="shared" si="69"/>
        <v>1.5707209839385161</v>
      </c>
      <c r="K178" s="336">
        <f t="shared" si="94"/>
        <v>2.7587042988374479</v>
      </c>
      <c r="L178" s="337">
        <f t="shared" si="95"/>
        <v>1.1998591661195936</v>
      </c>
      <c r="M178" s="325">
        <f t="shared" si="72"/>
        <v>1.0023386278817403</v>
      </c>
      <c r="N178" s="337">
        <f t="shared" si="73"/>
        <v>6.832392418960602E-2</v>
      </c>
      <c r="O178" s="343">
        <f t="shared" si="74"/>
        <v>1.0016869289545809</v>
      </c>
      <c r="P178" s="691">
        <f t="shared" si="75"/>
        <v>5.8044137037487016E-2</v>
      </c>
      <c r="Q178" s="336">
        <f t="shared" si="90"/>
        <v>15.129696114298847</v>
      </c>
      <c r="R178" s="692">
        <f t="shared" si="76"/>
        <v>2.7115468394192765E-2</v>
      </c>
      <c r="S178" s="329">
        <f t="shared" si="77"/>
        <v>0.99924118965957087</v>
      </c>
      <c r="T178" s="330">
        <f t="shared" si="78"/>
        <v>8.591510438578466E-2</v>
      </c>
      <c r="U178" s="331">
        <f t="shared" si="79"/>
        <v>12.432924971075279</v>
      </c>
      <c r="V178" s="332">
        <f t="shared" si="80"/>
        <v>-112.87669796896843</v>
      </c>
      <c r="W178" s="334">
        <f t="shared" si="81"/>
        <v>67.123302031031571</v>
      </c>
      <c r="Y178" s="307">
        <f t="shared" si="82"/>
        <v>1000000000</v>
      </c>
      <c r="Z178" s="307">
        <f t="shared" si="83"/>
        <v>100000000</v>
      </c>
      <c r="AB178" s="333">
        <f t="shared" si="84"/>
        <v>24.041879697759928</v>
      </c>
      <c r="AC178" s="334">
        <f t="shared" si="85"/>
        <v>-25.163489468163586</v>
      </c>
      <c r="AE178" s="333">
        <f t="shared" si="86"/>
        <v>45.952409329091488</v>
      </c>
      <c r="AF178" s="334">
        <f t="shared" si="87"/>
        <v>-89.485290682049126</v>
      </c>
      <c r="AH178">
        <f t="shared" si="88"/>
        <v>0</v>
      </c>
      <c r="AI178">
        <f t="shared" si="93"/>
        <v>0</v>
      </c>
    </row>
    <row r="179" spans="1:35" x14ac:dyDescent="0.25">
      <c r="A179" s="335">
        <v>10058.25</v>
      </c>
      <c r="B179" s="352">
        <f t="shared" si="89"/>
        <v>10.058249999999999</v>
      </c>
      <c r="C179" s="325">
        <f t="shared" si="62"/>
        <v>12.229916985872334</v>
      </c>
      <c r="D179" s="326">
        <f t="shared" si="63"/>
        <v>1.4889382351968192</v>
      </c>
      <c r="E179" s="326">
        <f t="shared" si="64"/>
        <v>1.0000798761711098</v>
      </c>
      <c r="F179" s="327">
        <f t="shared" si="65"/>
        <v>1.2638896679420995E-2</v>
      </c>
      <c r="G179" s="326">
        <f t="shared" si="66"/>
        <v>1</v>
      </c>
      <c r="H179" s="327">
        <f t="shared" si="67"/>
        <v>0</v>
      </c>
      <c r="I179" s="325">
        <f t="shared" si="68"/>
        <v>13349.971705850397</v>
      </c>
      <c r="J179" s="328">
        <f t="shared" si="69"/>
        <v>1.5707214202690276</v>
      </c>
      <c r="K179" s="336">
        <f t="shared" si="94"/>
        <v>2.7726675676525514</v>
      </c>
      <c r="L179" s="337">
        <f t="shared" si="95"/>
        <v>1.2018171483498306</v>
      </c>
      <c r="M179" s="325">
        <f t="shared" si="72"/>
        <v>1.0023659199998918</v>
      </c>
      <c r="N179" s="337">
        <f t="shared" si="73"/>
        <v>6.8720662834516583E-2</v>
      </c>
      <c r="O179" s="343">
        <f t="shared" si="74"/>
        <v>1.0017066221252171</v>
      </c>
      <c r="P179" s="691">
        <f t="shared" si="75"/>
        <v>5.8381478605533478E-2</v>
      </c>
      <c r="Q179" s="336">
        <f t="shared" si="90"/>
        <v>15.129759223345117</v>
      </c>
      <c r="R179" s="692">
        <f t="shared" si="76"/>
        <v>2.7273341267487299E-2</v>
      </c>
      <c r="S179" s="329">
        <f t="shared" si="77"/>
        <v>0.99923243720133514</v>
      </c>
      <c r="T179" s="330">
        <f t="shared" si="78"/>
        <v>8.641756456099689E-2</v>
      </c>
      <c r="U179" s="331">
        <f t="shared" si="79"/>
        <v>12.37620231805106</v>
      </c>
      <c r="V179" s="332">
        <f t="shared" si="80"/>
        <v>-112.82878004216467</v>
      </c>
      <c r="W179" s="334">
        <f t="shared" si="81"/>
        <v>67.171219957835334</v>
      </c>
      <c r="Y179" s="307">
        <f t="shared" si="82"/>
        <v>1000000000</v>
      </c>
      <c r="Z179" s="307">
        <f t="shared" si="83"/>
        <v>101168393.0625</v>
      </c>
      <c r="AB179" s="333">
        <f t="shared" si="84"/>
        <v>24.035047695987931</v>
      </c>
      <c r="AC179" s="334">
        <f t="shared" si="85"/>
        <v>-25.074061799727101</v>
      </c>
      <c r="AE179" s="333">
        <f t="shared" si="86"/>
        <v>45.902384145419397</v>
      </c>
      <c r="AF179" s="334">
        <f t="shared" si="87"/>
        <v>-89.537083222457582</v>
      </c>
      <c r="AH179">
        <f t="shared" si="88"/>
        <v>0</v>
      </c>
      <c r="AI179">
        <f t="shared" si="93"/>
        <v>0</v>
      </c>
    </row>
    <row r="180" spans="1:35" x14ac:dyDescent="0.25">
      <c r="A180" s="335">
        <v>10116.5</v>
      </c>
      <c r="B180" s="352">
        <f t="shared" si="89"/>
        <v>10.1165</v>
      </c>
      <c r="C180" s="325">
        <f t="shared" si="62"/>
        <v>12.300271508279813</v>
      </c>
      <c r="D180" s="326">
        <f t="shared" si="63"/>
        <v>1.4894074828887989</v>
      </c>
      <c r="E180" s="326">
        <f t="shared" si="64"/>
        <v>1.000080803980862</v>
      </c>
      <c r="F180" s="327">
        <f t="shared" si="65"/>
        <v>1.2712084028004673E-2</v>
      </c>
      <c r="G180" s="326">
        <f t="shared" si="66"/>
        <v>1</v>
      </c>
      <c r="H180" s="327">
        <f t="shared" si="67"/>
        <v>0</v>
      </c>
      <c r="I180" s="325">
        <f t="shared" si="68"/>
        <v>13427.284941007112</v>
      </c>
      <c r="J180" s="328">
        <f t="shared" si="69"/>
        <v>1.5707218515748267</v>
      </c>
      <c r="K180" s="336">
        <f t="shared" si="94"/>
        <v>2.7866413594792445</v>
      </c>
      <c r="L180" s="337">
        <f t="shared" si="95"/>
        <v>1.20375550109421</v>
      </c>
      <c r="M180" s="325">
        <f t="shared" si="72"/>
        <v>1.0023933698833893</v>
      </c>
      <c r="N180" s="337">
        <f t="shared" si="73"/>
        <v>6.9117379813014204E-2</v>
      </c>
      <c r="O180" s="343">
        <f t="shared" si="74"/>
        <v>1.0017264292849097</v>
      </c>
      <c r="P180" s="691">
        <f t="shared" si="75"/>
        <v>5.8718806871441265E-2</v>
      </c>
      <c r="Q180" s="336">
        <f t="shared" si="90"/>
        <v>15.129822698668724</v>
      </c>
      <c r="R180" s="692">
        <f t="shared" si="76"/>
        <v>2.7431212839424592E-2</v>
      </c>
      <c r="S180" s="329">
        <f t="shared" si="77"/>
        <v>0.9992236365529823</v>
      </c>
      <c r="T180" s="330">
        <f t="shared" si="78"/>
        <v>8.6920059614617171E-2</v>
      </c>
      <c r="U180" s="331">
        <f t="shared" si="79"/>
        <v>12.31986887401321</v>
      </c>
      <c r="V180" s="332">
        <f t="shared" si="80"/>
        <v>-112.78167685191924</v>
      </c>
      <c r="W180" s="334">
        <f t="shared" si="81"/>
        <v>67.218323148080756</v>
      </c>
      <c r="Y180" s="307">
        <f t="shared" si="82"/>
        <v>1000000000</v>
      </c>
      <c r="Z180" s="307">
        <f t="shared" si="83"/>
        <v>102343572.25</v>
      </c>
      <c r="AB180" s="333">
        <f t="shared" si="84"/>
        <v>24.028318160627521</v>
      </c>
      <c r="AC180" s="334">
        <f t="shared" si="85"/>
        <v>-24.985757288696721</v>
      </c>
      <c r="AE180" s="333">
        <f t="shared" si="86"/>
        <v>45.852644929414438</v>
      </c>
      <c r="AF180" s="334">
        <f t="shared" si="87"/>
        <v>-89.588566654424156</v>
      </c>
      <c r="AH180">
        <f t="shared" si="88"/>
        <v>0</v>
      </c>
      <c r="AI180">
        <f t="shared" si="93"/>
        <v>0</v>
      </c>
    </row>
    <row r="181" spans="1:35" x14ac:dyDescent="0.25">
      <c r="A181" s="335">
        <v>10174.75</v>
      </c>
      <c r="B181" s="352">
        <f t="shared" si="89"/>
        <v>10.17475</v>
      </c>
      <c r="C181" s="325">
        <f t="shared" si="62"/>
        <v>12.370628708318518</v>
      </c>
      <c r="D181" s="326">
        <f t="shared" si="63"/>
        <v>1.4898713930464207</v>
      </c>
      <c r="E181" s="326">
        <f t="shared" si="64"/>
        <v>1.0000817371474247</v>
      </c>
      <c r="F181" s="327">
        <f t="shared" si="65"/>
        <v>1.2785271240399564E-2</v>
      </c>
      <c r="G181" s="326">
        <f t="shared" si="66"/>
        <v>1</v>
      </c>
      <c r="H181" s="327">
        <f t="shared" si="67"/>
        <v>0</v>
      </c>
      <c r="I181" s="325">
        <f t="shared" si="68"/>
        <v>13504.598176166299</v>
      </c>
      <c r="J181" s="328">
        <f t="shared" si="69"/>
        <v>1.5707222779422119</v>
      </c>
      <c r="K181" s="336">
        <f t="shared" si="94"/>
        <v>2.8006255168030356</v>
      </c>
      <c r="L181" s="337">
        <f t="shared" si="95"/>
        <v>1.2056745037205552</v>
      </c>
      <c r="M181" s="325">
        <f t="shared" si="72"/>
        <v>1.0024209775192723</v>
      </c>
      <c r="N181" s="337">
        <f t="shared" si="73"/>
        <v>6.9514075002009845E-2</v>
      </c>
      <c r="O181" s="343">
        <f t="shared" si="74"/>
        <v>1.0017463504268971</v>
      </c>
      <c r="P181" s="691">
        <f t="shared" si="75"/>
        <v>5.9056121759232312E-2</v>
      </c>
      <c r="Q181" s="336">
        <f t="shared" si="90"/>
        <v>15.129886540265057</v>
      </c>
      <c r="R181" s="692">
        <f t="shared" si="76"/>
        <v>2.7589083102490093E-2</v>
      </c>
      <c r="S181" s="329">
        <f t="shared" si="77"/>
        <v>0.99921478776053463</v>
      </c>
      <c r="T181" s="330">
        <f t="shared" si="78"/>
        <v>8.7422589747117724E-2</v>
      </c>
      <c r="U181" s="331">
        <f t="shared" si="79"/>
        <v>12.263919303120151</v>
      </c>
      <c r="V181" s="332">
        <f t="shared" si="80"/>
        <v>-112.73537770137429</v>
      </c>
      <c r="W181" s="334">
        <f t="shared" si="81"/>
        <v>67.26462229862571</v>
      </c>
      <c r="Y181" s="307">
        <f t="shared" si="82"/>
        <v>1000000000</v>
      </c>
      <c r="Z181" s="307">
        <f t="shared" si="83"/>
        <v>103525537.5625</v>
      </c>
      <c r="AB181" s="333">
        <f t="shared" si="84"/>
        <v>24.021688969411215</v>
      </c>
      <c r="AC181" s="334">
        <f t="shared" si="85"/>
        <v>-24.89855992636727</v>
      </c>
      <c r="AE181" s="333">
        <f t="shared" si="86"/>
        <v>45.803188467614333</v>
      </c>
      <c r="AF181" s="334">
        <f t="shared" si="87"/>
        <v>-89.639746285873485</v>
      </c>
      <c r="AH181">
        <f t="shared" si="88"/>
        <v>0</v>
      </c>
      <c r="AI181">
        <f t="shared" si="93"/>
        <v>0</v>
      </c>
    </row>
    <row r="182" spans="1:35" x14ac:dyDescent="0.25">
      <c r="A182" s="335">
        <v>10233</v>
      </c>
      <c r="B182" s="352">
        <f t="shared" si="89"/>
        <v>10.233000000000001</v>
      </c>
      <c r="C182" s="325">
        <f t="shared" si="62"/>
        <v>12.440988540560237</v>
      </c>
      <c r="D182" s="326">
        <f t="shared" si="63"/>
        <v>1.4903300560273398</v>
      </c>
      <c r="E182" s="326">
        <f t="shared" si="64"/>
        <v>1.0000826756707835</v>
      </c>
      <c r="F182" s="327">
        <f t="shared" si="65"/>
        <v>1.2858458315822009E-2</v>
      </c>
      <c r="G182" s="326">
        <f t="shared" si="66"/>
        <v>1</v>
      </c>
      <c r="H182" s="327">
        <f t="shared" si="67"/>
        <v>0</v>
      </c>
      <c r="I182" s="325">
        <f t="shared" si="68"/>
        <v>13581.911411327912</v>
      </c>
      <c r="J182" s="328">
        <f t="shared" si="69"/>
        <v>1.5707226994555172</v>
      </c>
      <c r="K182" s="336">
        <f t="shared" si="94"/>
        <v>2.8146198851241211</v>
      </c>
      <c r="L182" s="337">
        <f t="shared" si="95"/>
        <v>1.2075744306168503</v>
      </c>
      <c r="M182" s="325">
        <f t="shared" si="72"/>
        <v>1.0024487428945072</v>
      </c>
      <c r="N182" s="337">
        <f t="shared" si="73"/>
        <v>6.991074827845542E-2</v>
      </c>
      <c r="O182" s="343">
        <f t="shared" si="74"/>
        <v>1.0017663855443792</v>
      </c>
      <c r="P182" s="691">
        <f t="shared" si="75"/>
        <v>5.939342319294675E-2</v>
      </c>
      <c r="Q182" s="336">
        <f t="shared" si="90"/>
        <v>15.129950748129485</v>
      </c>
      <c r="R182" s="692">
        <f t="shared" si="76"/>
        <v>2.7746952049169649E-2</v>
      </c>
      <c r="S182" s="329">
        <f t="shared" si="77"/>
        <v>0.99920589087028289</v>
      </c>
      <c r="T182" s="330">
        <f t="shared" si="78"/>
        <v>8.7925155158943766E-2</v>
      </c>
      <c r="U182" s="331">
        <f t="shared" si="79"/>
        <v>12.208348375930939</v>
      </c>
      <c r="V182" s="332">
        <f t="shared" si="80"/>
        <v>-112.68987205960173</v>
      </c>
      <c r="W182" s="334">
        <f t="shared" si="81"/>
        <v>67.310127940398274</v>
      </c>
      <c r="Y182" s="307">
        <f t="shared" si="82"/>
        <v>1000000000</v>
      </c>
      <c r="Z182" s="307">
        <f t="shared" si="83"/>
        <v>104714289</v>
      </c>
      <c r="AB182" s="333">
        <f t="shared" si="84"/>
        <v>24.015158052910266</v>
      </c>
      <c r="AC182" s="334">
        <f t="shared" si="85"/>
        <v>-24.812453989247139</v>
      </c>
      <c r="AE182" s="333">
        <f t="shared" si="86"/>
        <v>45.754011600119355</v>
      </c>
      <c r="AF182" s="334">
        <f t="shared" si="87"/>
        <v>-89.690627305447464</v>
      </c>
      <c r="AH182">
        <f t="shared" si="88"/>
        <v>0</v>
      </c>
      <c r="AI182">
        <f t="shared" si="93"/>
        <v>0</v>
      </c>
    </row>
    <row r="183" spans="1:35" x14ac:dyDescent="0.25">
      <c r="A183" s="335">
        <v>10292.5</v>
      </c>
      <c r="B183" s="352">
        <f t="shared" si="89"/>
        <v>10.2925</v>
      </c>
      <c r="C183" s="325">
        <f t="shared" si="62"/>
        <v>12.512860911813211</v>
      </c>
      <c r="D183" s="326">
        <f t="shared" si="63"/>
        <v>1.4907932361150693</v>
      </c>
      <c r="E183" s="326">
        <f t="shared" si="64"/>
        <v>1.0000836398645712</v>
      </c>
      <c r="F183" s="327">
        <f t="shared" si="65"/>
        <v>1.2933215787115848E-2</v>
      </c>
      <c r="G183" s="326">
        <f t="shared" si="66"/>
        <v>1</v>
      </c>
      <c r="H183" s="327">
        <f t="shared" si="67"/>
        <v>0</v>
      </c>
      <c r="I183" s="325">
        <f t="shared" si="68"/>
        <v>13660.883728791592</v>
      </c>
      <c r="J183" s="328">
        <f t="shared" si="69"/>
        <v>1.5707231250884224</v>
      </c>
      <c r="K183" s="336">
        <f t="shared" si="94"/>
        <v>2.8289249462364716</v>
      </c>
      <c r="L183" s="337">
        <f t="shared" si="95"/>
        <v>1.2094957145404612</v>
      </c>
      <c r="M183" s="325">
        <f t="shared" si="72"/>
        <v>1.0024772669327342</v>
      </c>
      <c r="N183" s="337">
        <f t="shared" si="73"/>
        <v>7.0315911106132792E-2</v>
      </c>
      <c r="O183" s="343">
        <f t="shared" si="74"/>
        <v>1.0017869682633709</v>
      </c>
      <c r="P183" s="691">
        <f t="shared" si="75"/>
        <v>5.9737948885642718E-2</v>
      </c>
      <c r="Q183" s="336">
        <f t="shared" si="90"/>
        <v>15.13001671198241</v>
      </c>
      <c r="R183" s="692">
        <f t="shared" si="76"/>
        <v>2.7908207374611249E-2</v>
      </c>
      <c r="S183" s="329">
        <f t="shared" si="77"/>
        <v>0.99919675345096093</v>
      </c>
      <c r="T183" s="330">
        <f t="shared" si="78"/>
        <v>8.8438541867704196E-2</v>
      </c>
      <c r="U183" s="331">
        <f t="shared" si="79"/>
        <v>12.151970529349864</v>
      </c>
      <c r="V183" s="332">
        <f t="shared" si="80"/>
        <v>-112.64419835619668</v>
      </c>
      <c r="W183" s="334">
        <f t="shared" si="81"/>
        <v>67.355801643803318</v>
      </c>
      <c r="Y183" s="307">
        <f t="shared" si="82"/>
        <v>1000000000</v>
      </c>
      <c r="Z183" s="307">
        <f t="shared" si="83"/>
        <v>105935556.25</v>
      </c>
      <c r="AB183" s="333">
        <f t="shared" si="84"/>
        <v>24.00858635050071</v>
      </c>
      <c r="AC183" s="334">
        <f t="shared" si="85"/>
        <v>-24.725611036089266</v>
      </c>
      <c r="AE183" s="333">
        <f t="shared" si="86"/>
        <v>45.704064862619482</v>
      </c>
      <c r="AF183" s="334">
        <f t="shared" si="87"/>
        <v>-89.742297173765792</v>
      </c>
      <c r="AH183">
        <f t="shared" si="88"/>
        <v>0</v>
      </c>
      <c r="AI183">
        <f t="shared" si="93"/>
        <v>0</v>
      </c>
    </row>
    <row r="184" spans="1:35" x14ac:dyDescent="0.25">
      <c r="A184" s="335">
        <v>10352</v>
      </c>
      <c r="B184" s="352">
        <f t="shared" si="89"/>
        <v>10.352</v>
      </c>
      <c r="C184" s="325">
        <f t="shared" si="62"/>
        <v>12.584735936860131</v>
      </c>
      <c r="D184" s="326">
        <f t="shared" si="63"/>
        <v>1.4912511255922811</v>
      </c>
      <c r="E184" s="326">
        <f t="shared" si="64"/>
        <v>1.0000846096474949</v>
      </c>
      <c r="F184" s="327">
        <f t="shared" si="65"/>
        <v>1.3007973113842709E-2</v>
      </c>
      <c r="G184" s="326">
        <f t="shared" si="66"/>
        <v>1</v>
      </c>
      <c r="H184" s="327">
        <f t="shared" si="67"/>
        <v>0</v>
      </c>
      <c r="I184" s="325">
        <f t="shared" si="68"/>
        <v>13739.856046257721</v>
      </c>
      <c r="J184" s="328">
        <f t="shared" si="69"/>
        <v>1.5707235458285229</v>
      </c>
      <c r="K184" s="336">
        <f t="shared" si="94"/>
        <v>2.8432403447496823</v>
      </c>
      <c r="L184" s="337">
        <f t="shared" si="95"/>
        <v>1.211397658524799</v>
      </c>
      <c r="M184" s="325">
        <f t="shared" si="72"/>
        <v>1.0025059555251585</v>
      </c>
      <c r="N184" s="337">
        <f t="shared" si="73"/>
        <v>7.0721050811321615E-2</v>
      </c>
      <c r="O184" s="343">
        <f t="shared" si="74"/>
        <v>1.0018076698875304</v>
      </c>
      <c r="P184" s="691">
        <f t="shared" si="75"/>
        <v>6.0082460380486244E-2</v>
      </c>
      <c r="Q184" s="336">
        <f t="shared" si="90"/>
        <v>15.130083057981903</v>
      </c>
      <c r="R184" s="692">
        <f t="shared" si="76"/>
        <v>2.8069461310716186E-2</v>
      </c>
      <c r="S184" s="329">
        <f t="shared" si="77"/>
        <v>0.99918756594588998</v>
      </c>
      <c r="T184" s="330">
        <f t="shared" si="78"/>
        <v>8.8951965808852299E-2</v>
      </c>
      <c r="U184" s="331">
        <f t="shared" si="79"/>
        <v>12.095977049876836</v>
      </c>
      <c r="V184" s="332">
        <f t="shared" si="80"/>
        <v>-112.59933089029283</v>
      </c>
      <c r="W184" s="334">
        <f t="shared" si="81"/>
        <v>67.400669109707167</v>
      </c>
      <c r="Y184" s="307">
        <f t="shared" si="82"/>
        <v>1000000000</v>
      </c>
      <c r="Z184" s="307">
        <f t="shared" si="83"/>
        <v>107163904</v>
      </c>
      <c r="AB184" s="333">
        <f t="shared" si="84"/>
        <v>24.002112983161354</v>
      </c>
      <c r="AC184" s="334">
        <f t="shared" si="85"/>
        <v>-24.639874574670969</v>
      </c>
      <c r="AE184" s="333">
        <f t="shared" si="86"/>
        <v>45.654403349108364</v>
      </c>
      <c r="AF184" s="334">
        <f t="shared" si="87"/>
        <v>-89.793666053971791</v>
      </c>
      <c r="AH184">
        <f t="shared" si="88"/>
        <v>0</v>
      </c>
      <c r="AI184">
        <f t="shared" si="93"/>
        <v>0</v>
      </c>
    </row>
    <row r="185" spans="1:35" x14ac:dyDescent="0.25">
      <c r="A185" s="335">
        <v>10411.5</v>
      </c>
      <c r="B185" s="352">
        <f t="shared" si="89"/>
        <v>10.4115</v>
      </c>
      <c r="C185" s="325">
        <f t="shared" si="62"/>
        <v>12.656613570489498</v>
      </c>
      <c r="D185" s="326">
        <f t="shared" si="63"/>
        <v>1.4917038144023569</v>
      </c>
      <c r="E185" s="326">
        <f t="shared" si="64"/>
        <v>1.0000855850195387</v>
      </c>
      <c r="F185" s="327">
        <f t="shared" si="65"/>
        <v>1.3082730295167426E-2</v>
      </c>
      <c r="G185" s="326">
        <f t="shared" si="66"/>
        <v>1</v>
      </c>
      <c r="H185" s="327">
        <f t="shared" si="67"/>
        <v>0</v>
      </c>
      <c r="I185" s="325">
        <f t="shared" si="68"/>
        <v>13818.82836372625</v>
      </c>
      <c r="J185" s="328">
        <f t="shared" si="69"/>
        <v>1.5707239617597033</v>
      </c>
      <c r="K185" s="336">
        <f t="shared" si="94"/>
        <v>2.8575659253035486</v>
      </c>
      <c r="L185" s="337">
        <f t="shared" si="95"/>
        <v>1.2132805395709698</v>
      </c>
      <c r="M185" s="325">
        <f t="shared" si="72"/>
        <v>1.0025348086576531</v>
      </c>
      <c r="N185" s="337">
        <f t="shared" si="73"/>
        <v>7.112616726301485E-2</v>
      </c>
      <c r="O185" s="343">
        <f t="shared" si="74"/>
        <v>1.001828490409487</v>
      </c>
      <c r="P185" s="691">
        <f t="shared" si="75"/>
        <v>6.0426957596581121E-2</v>
      </c>
      <c r="Q185" s="336">
        <f t="shared" si="90"/>
        <v>15.130149786122942</v>
      </c>
      <c r="R185" s="692">
        <f t="shared" si="76"/>
        <v>2.823071384947733E-2</v>
      </c>
      <c r="S185" s="329">
        <f t="shared" si="77"/>
        <v>0.99917832840527032</v>
      </c>
      <c r="T185" s="330">
        <f t="shared" si="78"/>
        <v>8.9465427195928163E-2</v>
      </c>
      <c r="U185" s="331">
        <f t="shared" si="79"/>
        <v>12.040362690649937</v>
      </c>
      <c r="V185" s="332">
        <f t="shared" si="80"/>
        <v>-112.55525895803113</v>
      </c>
      <c r="W185" s="334">
        <f t="shared" si="81"/>
        <v>67.444741041968868</v>
      </c>
      <c r="Y185" s="307">
        <f t="shared" si="82"/>
        <v>1000000000</v>
      </c>
      <c r="Z185" s="307">
        <f t="shared" si="83"/>
        <v>108399332.25</v>
      </c>
      <c r="AB185" s="333">
        <f t="shared" si="84"/>
        <v>23.995735906308319</v>
      </c>
      <c r="AC185" s="334">
        <f t="shared" si="85"/>
        <v>-24.555228731298019</v>
      </c>
      <c r="AE185" s="333">
        <f t="shared" si="86"/>
        <v>45.605023857429849</v>
      </c>
      <c r="AF185" s="334">
        <f t="shared" si="87"/>
        <v>-89.844739111724465</v>
      </c>
      <c r="AH185">
        <f t="shared" si="88"/>
        <v>0</v>
      </c>
      <c r="AI185">
        <f t="shared" si="93"/>
        <v>0</v>
      </c>
    </row>
    <row r="186" spans="1:35" x14ac:dyDescent="0.25">
      <c r="A186" s="335">
        <v>10471</v>
      </c>
      <c r="B186" s="352">
        <f t="shared" si="89"/>
        <v>10.471</v>
      </c>
      <c r="C186" s="325">
        <f t="shared" si="62"/>
        <v>12.728493768509418</v>
      </c>
      <c r="D186" s="326">
        <f t="shared" si="63"/>
        <v>1.4921513904656063</v>
      </c>
      <c r="E186" s="326">
        <f t="shared" si="64"/>
        <v>1.0000865659806859</v>
      </c>
      <c r="F186" s="327">
        <f t="shared" si="65"/>
        <v>1.315748733025485E-2</v>
      </c>
      <c r="G186" s="326">
        <f t="shared" si="66"/>
        <v>1</v>
      </c>
      <c r="H186" s="327">
        <f t="shared" si="67"/>
        <v>0</v>
      </c>
      <c r="I186" s="325">
        <f t="shared" si="68"/>
        <v>13897.800681197146</v>
      </c>
      <c r="J186" s="328">
        <f t="shared" si="69"/>
        <v>1.5707243729639415</v>
      </c>
      <c r="K186" s="336">
        <f t="shared" si="94"/>
        <v>2.8719015355283193</v>
      </c>
      <c r="L186" s="337">
        <f t="shared" si="95"/>
        <v>1.215144629695853</v>
      </c>
      <c r="M186" s="325">
        <f t="shared" si="72"/>
        <v>1.0025638263160122</v>
      </c>
      <c r="N186" s="337">
        <f t="shared" si="73"/>
        <v>7.1531260330251048E-2</v>
      </c>
      <c r="O186" s="343">
        <f t="shared" si="74"/>
        <v>1.0018494298218277</v>
      </c>
      <c r="P186" s="691">
        <f t="shared" si="75"/>
        <v>6.0771440453051433E-2</v>
      </c>
      <c r="Q186" s="336">
        <f t="shared" si="90"/>
        <v>15.130216896400471</v>
      </c>
      <c r="R186" s="692">
        <f t="shared" si="76"/>
        <v>2.8391964982887992E-2</v>
      </c>
      <c r="S186" s="329">
        <f t="shared" si="77"/>
        <v>0.99916904087959402</v>
      </c>
      <c r="T186" s="330">
        <f t="shared" si="78"/>
        <v>8.997892624244172E-2</v>
      </c>
      <c r="U186" s="331">
        <f t="shared" si="79"/>
        <v>11.985122309237969</v>
      </c>
      <c r="V186" s="332">
        <f t="shared" si="80"/>
        <v>-112.51197202510465</v>
      </c>
      <c r="W186" s="334">
        <f t="shared" si="81"/>
        <v>67.488027974895346</v>
      </c>
      <c r="Y186" s="307">
        <f t="shared" si="82"/>
        <v>1000000000</v>
      </c>
      <c r="Z186" s="307">
        <f t="shared" si="83"/>
        <v>109641841</v>
      </c>
      <c r="AB186" s="333">
        <f t="shared" si="84"/>
        <v>23.989453126444126</v>
      </c>
      <c r="AC186" s="334">
        <f t="shared" si="85"/>
        <v>-24.471657917744722</v>
      </c>
      <c r="AE186" s="333">
        <f t="shared" si="86"/>
        <v>45.555923238772806</v>
      </c>
      <c r="AF186" s="334">
        <f t="shared" si="87"/>
        <v>-89.895521396767563</v>
      </c>
      <c r="AH186">
        <f t="shared" si="88"/>
        <v>0</v>
      </c>
      <c r="AI186">
        <f t="shared" si="93"/>
        <v>0</v>
      </c>
    </row>
    <row r="187" spans="1:35" x14ac:dyDescent="0.25">
      <c r="A187" s="335">
        <v>10532</v>
      </c>
      <c r="B187" s="352">
        <f t="shared" si="89"/>
        <v>10.532</v>
      </c>
      <c r="C187" s="325">
        <f t="shared" si="62"/>
        <v>12.802188689321305</v>
      </c>
      <c r="D187" s="326">
        <f t="shared" si="63"/>
        <v>1.492605032216836</v>
      </c>
      <c r="E187" s="326">
        <f t="shared" si="64"/>
        <v>1.0000875774741611</v>
      </c>
      <c r="F187" s="327">
        <f t="shared" si="65"/>
        <v>1.3234128843790906E-2</v>
      </c>
      <c r="G187" s="326">
        <f t="shared" si="66"/>
        <v>1</v>
      </c>
      <c r="H187" s="327">
        <f t="shared" si="67"/>
        <v>0</v>
      </c>
      <c r="I187" s="325">
        <f t="shared" si="68"/>
        <v>13978.763897430224</v>
      </c>
      <c r="J187" s="328">
        <f t="shared" si="69"/>
        <v>1.5707247897113468</v>
      </c>
      <c r="K187" s="336">
        <f t="shared" si="94"/>
        <v>2.88660880339097</v>
      </c>
      <c r="L187" s="337">
        <f t="shared" si="95"/>
        <v>1.217036485838239</v>
      </c>
      <c r="M187" s="325">
        <f t="shared" si="72"/>
        <v>1.0025937462967343</v>
      </c>
      <c r="N187" s="337">
        <f t="shared" si="73"/>
        <v>7.1946541414529872E-2</v>
      </c>
      <c r="O187" s="343">
        <f t="shared" si="74"/>
        <v>1.0018710205347281</v>
      </c>
      <c r="P187" s="691">
        <f t="shared" si="75"/>
        <v>6.1124592759438774E-2</v>
      </c>
      <c r="Q187" s="336">
        <f t="shared" si="90"/>
        <v>15.130286095236885</v>
      </c>
      <c r="R187" s="692">
        <f t="shared" si="76"/>
        <v>2.8557279803600445E-2</v>
      </c>
      <c r="S187" s="329">
        <f t="shared" si="77"/>
        <v>0.99915946737664851</v>
      </c>
      <c r="T187" s="330">
        <f t="shared" si="78"/>
        <v>9.0505409962052752E-2</v>
      </c>
      <c r="U187" s="331">
        <f t="shared" si="79"/>
        <v>11.928872275646526</v>
      </c>
      <c r="V187" s="332">
        <f t="shared" si="80"/>
        <v>-112.4683979064063</v>
      </c>
      <c r="W187" s="334">
        <f t="shared" si="81"/>
        <v>67.531602093593705</v>
      </c>
      <c r="Y187" s="307">
        <f t="shared" si="82"/>
        <v>1000000000</v>
      </c>
      <c r="Z187" s="307">
        <f t="shared" si="83"/>
        <v>110923024</v>
      </c>
      <c r="AB187" s="333">
        <f t="shared" si="84"/>
        <v>23.983107815308259</v>
      </c>
      <c r="AC187" s="334">
        <f t="shared" si="85"/>
        <v>-24.3870802765517</v>
      </c>
      <c r="AE187" s="333">
        <f t="shared" si="86"/>
        <v>45.50587105525512</v>
      </c>
      <c r="AF187" s="334">
        <f t="shared" si="87"/>
        <v>-89.947287214438063</v>
      </c>
      <c r="AH187">
        <f t="shared" si="88"/>
        <v>0</v>
      </c>
      <c r="AI187">
        <f t="shared" si="93"/>
        <v>0</v>
      </c>
    </row>
    <row r="188" spans="1:35" x14ac:dyDescent="0.25">
      <c r="A188" s="335">
        <v>10593</v>
      </c>
      <c r="B188" s="352">
        <f t="shared" si="89"/>
        <v>10.593</v>
      </c>
      <c r="C188" s="325">
        <f t="shared" si="62"/>
        <v>12.875886214548151</v>
      </c>
      <c r="D188" s="326">
        <f t="shared" si="63"/>
        <v>1.4930534810539058</v>
      </c>
      <c r="E188" s="326">
        <f t="shared" si="64"/>
        <v>1.0000885948420604</v>
      </c>
      <c r="F188" s="327">
        <f t="shared" si="65"/>
        <v>1.3310770201845727E-2</v>
      </c>
      <c r="G188" s="326">
        <f t="shared" si="66"/>
        <v>1</v>
      </c>
      <c r="H188" s="327">
        <f t="shared" si="67"/>
        <v>0</v>
      </c>
      <c r="I188" s="325">
        <f t="shared" si="68"/>
        <v>14059.7271136657</v>
      </c>
      <c r="J188" s="328">
        <f t="shared" si="69"/>
        <v>1.5707252016590558</v>
      </c>
      <c r="K188" s="336">
        <f t="shared" si="94"/>
        <v>2.9013262980064058</v>
      </c>
      <c r="L188" s="337">
        <f t="shared" si="95"/>
        <v>1.2189091550718387</v>
      </c>
      <c r="M188" s="325">
        <f t="shared" si="72"/>
        <v>1.0026238391728115</v>
      </c>
      <c r="N188" s="337">
        <f t="shared" si="73"/>
        <v>7.2361797641823752E-2</v>
      </c>
      <c r="O188" s="343">
        <f t="shared" si="74"/>
        <v>1.0018927361921328</v>
      </c>
      <c r="P188" s="691">
        <f t="shared" si="75"/>
        <v>6.1477729800973269E-2</v>
      </c>
      <c r="Q188" s="336">
        <f t="shared" si="90"/>
        <v>15.130355695709195</v>
      </c>
      <c r="R188" s="692">
        <f t="shared" si="76"/>
        <v>2.8722593130169484E-2</v>
      </c>
      <c r="S188" s="329">
        <f t="shared" si="77"/>
        <v>0.99914984144504204</v>
      </c>
      <c r="T188" s="330">
        <f t="shared" si="78"/>
        <v>9.1031933718212249E-2</v>
      </c>
      <c r="U188" s="331">
        <f t="shared" si="79"/>
        <v>11.873004692605855</v>
      </c>
      <c r="V188" s="332">
        <f t="shared" si="80"/>
        <v>-112.42562697717403</v>
      </c>
      <c r="W188" s="334">
        <f t="shared" si="81"/>
        <v>67.574373022825966</v>
      </c>
      <c r="Y188" s="307">
        <f t="shared" si="82"/>
        <v>1000000000</v>
      </c>
      <c r="Z188" s="307">
        <f t="shared" si="83"/>
        <v>112211649</v>
      </c>
      <c r="AB188" s="333">
        <f t="shared" si="84"/>
        <v>23.976857530483443</v>
      </c>
      <c r="AC188" s="334">
        <f t="shared" si="85"/>
        <v>-24.303600265052619</v>
      </c>
      <c r="AE188" s="333">
        <f t="shared" si="86"/>
        <v>45.456105447192634</v>
      </c>
      <c r="AF188" s="334">
        <f t="shared" si="87"/>
        <v>-89.998757802877137</v>
      </c>
      <c r="AH188">
        <f t="shared" si="88"/>
        <v>0</v>
      </c>
      <c r="AI188">
        <f t="shared" si="93"/>
        <v>0</v>
      </c>
    </row>
    <row r="189" spans="1:35" x14ac:dyDescent="0.25">
      <c r="A189" s="335">
        <v>10654</v>
      </c>
      <c r="B189" s="352">
        <f t="shared" si="89"/>
        <v>10.654</v>
      </c>
      <c r="C189" s="325">
        <f t="shared" si="62"/>
        <v>12.949586299723917</v>
      </c>
      <c r="D189" s="326">
        <f t="shared" si="63"/>
        <v>1.493496825458309</v>
      </c>
      <c r="E189" s="326">
        <f t="shared" si="64"/>
        <v>1.0000896180843659</v>
      </c>
      <c r="F189" s="327">
        <f t="shared" si="65"/>
        <v>1.3387411403519428E-2</v>
      </c>
      <c r="G189" s="326">
        <f t="shared" si="66"/>
        <v>1</v>
      </c>
      <c r="H189" s="327">
        <f t="shared" si="67"/>
        <v>0</v>
      </c>
      <c r="I189" s="325">
        <f t="shared" si="68"/>
        <v>14140.690329903537</v>
      </c>
      <c r="J189" s="328">
        <f t="shared" si="69"/>
        <v>1.5707256088895112</v>
      </c>
      <c r="K189" s="336">
        <f t="shared" si="94"/>
        <v>2.9160538645295695</v>
      </c>
      <c r="L189" s="337">
        <f t="shared" si="95"/>
        <v>1.2207629148729924</v>
      </c>
      <c r="M189" s="325">
        <f t="shared" si="72"/>
        <v>1.0026541049286768</v>
      </c>
      <c r="N189" s="337">
        <f t="shared" si="73"/>
        <v>7.2777028871165605E-2</v>
      </c>
      <c r="O189" s="343">
        <f t="shared" si="74"/>
        <v>1.0019145767859177</v>
      </c>
      <c r="P189" s="691">
        <f t="shared" si="75"/>
        <v>6.1830851490573893E-2</v>
      </c>
      <c r="Q189" s="336">
        <f t="shared" si="90"/>
        <v>15.130425697811869</v>
      </c>
      <c r="R189" s="692">
        <f t="shared" si="76"/>
        <v>2.8887904953968847E-2</v>
      </c>
      <c r="S189" s="329">
        <f t="shared" si="77"/>
        <v>0.99914016314013743</v>
      </c>
      <c r="T189" s="330">
        <f t="shared" si="78"/>
        <v>9.1558497740888603E-2</v>
      </c>
      <c r="U189" s="331">
        <f t="shared" si="79"/>
        <v>11.817514343458548</v>
      </c>
      <c r="V189" s="332">
        <f t="shared" si="80"/>
        <v>-112.38364842317041</v>
      </c>
      <c r="W189" s="334">
        <f t="shared" si="81"/>
        <v>67.616351576829587</v>
      </c>
      <c r="Y189" s="307">
        <f t="shared" si="82"/>
        <v>1000000000</v>
      </c>
      <c r="Z189" s="307">
        <f t="shared" si="83"/>
        <v>113507716</v>
      </c>
      <c r="AB189" s="333">
        <f t="shared" si="84"/>
        <v>23.970700281439825</v>
      </c>
      <c r="AC189" s="334">
        <f t="shared" si="85"/>
        <v>-24.22120198167104</v>
      </c>
      <c r="AE189" s="333">
        <f t="shared" si="86"/>
        <v>45.406623188592128</v>
      </c>
      <c r="AF189" s="334">
        <f t="shared" si="87"/>
        <v>-90.049938244928725</v>
      </c>
      <c r="AH189">
        <f t="shared" si="88"/>
        <v>0</v>
      </c>
      <c r="AI189">
        <f t="shared" si="93"/>
        <v>0</v>
      </c>
    </row>
    <row r="190" spans="1:35" x14ac:dyDescent="0.25">
      <c r="A190" s="335">
        <v>10715</v>
      </c>
      <c r="B190" s="352">
        <f t="shared" si="89"/>
        <v>10.715</v>
      </c>
      <c r="C190" s="325">
        <f t="shared" si="62"/>
        <v>13.023288901387586</v>
      </c>
      <c r="D190" s="326">
        <f t="shared" si="63"/>
        <v>1.4939351519166997</v>
      </c>
      <c r="E190" s="326">
        <f t="shared" si="64"/>
        <v>1.0000906472010598</v>
      </c>
      <c r="F190" s="327">
        <f t="shared" si="65"/>
        <v>1.3464052447912126E-2</v>
      </c>
      <c r="G190" s="326">
        <f t="shared" si="66"/>
        <v>1</v>
      </c>
      <c r="H190" s="327">
        <f t="shared" si="67"/>
        <v>0</v>
      </c>
      <c r="I190" s="325">
        <f t="shared" si="68"/>
        <v>14221.653546143692</v>
      </c>
      <c r="J190" s="328">
        <f t="shared" si="69"/>
        <v>1.5707260114832784</v>
      </c>
      <c r="K190" s="336">
        <f t="shared" si="94"/>
        <v>2.9307913511229509</v>
      </c>
      <c r="L190" s="337">
        <f t="shared" si="95"/>
        <v>1.222598037662469</v>
      </c>
      <c r="M190" s="325">
        <f t="shared" si="72"/>
        <v>1.0026845435486749</v>
      </c>
      <c r="N190" s="337">
        <f t="shared" si="73"/>
        <v>7.3192234961639777E-2</v>
      </c>
      <c r="O190" s="343">
        <f t="shared" si="74"/>
        <v>1.0019365423079123</v>
      </c>
      <c r="P190" s="691">
        <f t="shared" si="75"/>
        <v>6.2183957741182516E-2</v>
      </c>
      <c r="Q190" s="336">
        <f t="shared" si="90"/>
        <v>15.130496101539334</v>
      </c>
      <c r="R190" s="692">
        <f t="shared" si="76"/>
        <v>2.9053215266372796E-2</v>
      </c>
      <c r="S190" s="329">
        <f t="shared" si="77"/>
        <v>0.99913043251762013</v>
      </c>
      <c r="T190" s="330">
        <f t="shared" si="78"/>
        <v>9.2085102260016025E-2</v>
      </c>
      <c r="U190" s="331">
        <f t="shared" si="79"/>
        <v>11.762396115536538</v>
      </c>
      <c r="V190" s="332">
        <f t="shared" si="80"/>
        <v>-112.34245160541731</v>
      </c>
      <c r="W190" s="334">
        <f t="shared" si="81"/>
        <v>67.65754839458269</v>
      </c>
      <c r="Y190" s="307">
        <f t="shared" si="82"/>
        <v>1000000000</v>
      </c>
      <c r="Z190" s="307">
        <f t="shared" si="83"/>
        <v>114811225</v>
      </c>
      <c r="AB190" s="333">
        <f t="shared" si="84"/>
        <v>23.964634127732491</v>
      </c>
      <c r="AC190" s="334">
        <f t="shared" si="85"/>
        <v>-24.139869814388842</v>
      </c>
      <c r="AE190" s="333">
        <f t="shared" si="86"/>
        <v>45.357421107365525</v>
      </c>
      <c r="AF190" s="334">
        <f t="shared" si="87"/>
        <v>-90.100833509138937</v>
      </c>
      <c r="AH190">
        <f t="shared" si="88"/>
        <v>0</v>
      </c>
      <c r="AI190">
        <f t="shared" si="93"/>
        <v>0</v>
      </c>
    </row>
    <row r="191" spans="1:35" x14ac:dyDescent="0.25">
      <c r="A191" s="335">
        <v>10777.5</v>
      </c>
      <c r="B191" s="352">
        <f t="shared" si="89"/>
        <v>10.7775</v>
      </c>
      <c r="C191" s="325">
        <f t="shared" si="62"/>
        <v>13.09880642775946</v>
      </c>
      <c r="D191" s="326">
        <f t="shared" si="63"/>
        <v>1.4943791407415854</v>
      </c>
      <c r="E191" s="326">
        <f t="shared" si="64"/>
        <v>1.0000917077167251</v>
      </c>
      <c r="F191" s="327">
        <f t="shared" si="65"/>
        <v>1.3542577944079658E-2</v>
      </c>
      <c r="G191" s="326">
        <f t="shared" si="66"/>
        <v>1</v>
      </c>
      <c r="H191" s="327">
        <f t="shared" si="67"/>
        <v>0</v>
      </c>
      <c r="I191" s="325">
        <f t="shared" si="68"/>
        <v>14304.607661146212</v>
      </c>
      <c r="J191" s="328">
        <f t="shared" si="69"/>
        <v>1.5707264192501038</v>
      </c>
      <c r="K191" s="336">
        <f t="shared" si="94"/>
        <v>2.9459013682167283</v>
      </c>
      <c r="L191" s="337">
        <f t="shared" si="95"/>
        <v>1.2244592360071458</v>
      </c>
      <c r="M191" s="325">
        <f t="shared" si="72"/>
        <v>1.0027159099353984</v>
      </c>
      <c r="N191" s="337">
        <f t="shared" si="73"/>
        <v>7.3617624816924312E-2</v>
      </c>
      <c r="O191" s="343">
        <f t="shared" si="74"/>
        <v>1.0019591775310901</v>
      </c>
      <c r="P191" s="691">
        <f t="shared" si="75"/>
        <v>6.2545730828237542E-2</v>
      </c>
      <c r="Q191" s="336">
        <f t="shared" si="90"/>
        <v>15.130568653060388</v>
      </c>
      <c r="R191" s="692">
        <f t="shared" si="76"/>
        <v>2.9222589009838863E-2</v>
      </c>
      <c r="S191" s="329">
        <f t="shared" si="77"/>
        <v>0.99912040841289007</v>
      </c>
      <c r="T191" s="330">
        <f t="shared" si="78"/>
        <v>9.2624698313417256E-2</v>
      </c>
      <c r="U191" s="331">
        <f t="shared" si="79"/>
        <v>11.706303241201915</v>
      </c>
      <c r="V191" s="332">
        <f t="shared" si="80"/>
        <v>-112.30104161449232</v>
      </c>
      <c r="W191" s="334">
        <f t="shared" si="81"/>
        <v>67.69895838550768</v>
      </c>
      <c r="Y191" s="307">
        <f t="shared" si="82"/>
        <v>1000000000</v>
      </c>
      <c r="Z191" s="307">
        <f t="shared" si="83"/>
        <v>116154506.25</v>
      </c>
      <c r="AB191" s="333">
        <f t="shared" si="84"/>
        <v>23.958511311296185</v>
      </c>
      <c r="AC191" s="334">
        <f t="shared" si="85"/>
        <v>-24.057627410981752</v>
      </c>
      <c r="AE191" s="333">
        <f t="shared" si="86"/>
        <v>45.307296473830988</v>
      </c>
      <c r="AF191" s="334">
        <f t="shared" si="87"/>
        <v>-90.152689592002361</v>
      </c>
      <c r="AH191">
        <f t="shared" si="88"/>
        <v>0</v>
      </c>
      <c r="AI191">
        <f t="shared" si="93"/>
        <v>0</v>
      </c>
    </row>
    <row r="192" spans="1:35" x14ac:dyDescent="0.25">
      <c r="A192" s="335">
        <v>10840</v>
      </c>
      <c r="B192" s="352">
        <f t="shared" si="89"/>
        <v>10.84</v>
      </c>
      <c r="C192" s="325">
        <f t="shared" si="62"/>
        <v>13.174326506645077</v>
      </c>
      <c r="D192" s="326">
        <f t="shared" si="63"/>
        <v>1.4948180394380937</v>
      </c>
      <c r="E192" s="326">
        <f t="shared" si="64"/>
        <v>1.0000927743991963</v>
      </c>
      <c r="F192" s="327">
        <f t="shared" si="65"/>
        <v>1.3621103273223396E-2</v>
      </c>
      <c r="G192" s="326">
        <f t="shared" si="66"/>
        <v>1</v>
      </c>
      <c r="H192" s="327">
        <f t="shared" si="67"/>
        <v>0</v>
      </c>
      <c r="I192" s="325">
        <f t="shared" si="68"/>
        <v>14387.561776151086</v>
      </c>
      <c r="J192" s="328">
        <f t="shared" si="69"/>
        <v>1.5707268223148212</v>
      </c>
      <c r="K192" s="336">
        <f t="shared" si="94"/>
        <v>2.961021485917541</v>
      </c>
      <c r="L192" s="337">
        <f t="shared" si="95"/>
        <v>1.2263014326859845</v>
      </c>
      <c r="M192" s="325">
        <f t="shared" si="72"/>
        <v>1.0027474577587421</v>
      </c>
      <c r="N192" s="337">
        <f t="shared" si="73"/>
        <v>7.4042987982469458E-2</v>
      </c>
      <c r="O192" s="343">
        <f t="shared" si="74"/>
        <v>1.0019819438845161</v>
      </c>
      <c r="P192" s="691">
        <f t="shared" si="75"/>
        <v>6.2907487522712482E-2</v>
      </c>
      <c r="Q192" s="336">
        <f t="shared" si="90"/>
        <v>15.130641626189187</v>
      </c>
      <c r="R192" s="692">
        <f t="shared" si="76"/>
        <v>2.9391961148333163E-2</v>
      </c>
      <c r="S192" s="329">
        <f t="shared" si="77"/>
        <v>0.99911032950530509</v>
      </c>
      <c r="T192" s="330">
        <f t="shared" si="78"/>
        <v>9.3164337367973277E-2</v>
      </c>
      <c r="U192" s="331">
        <f t="shared" si="79"/>
        <v>11.650590471037185</v>
      </c>
      <c r="V192" s="332">
        <f t="shared" si="80"/>
        <v>-112.26043021795289</v>
      </c>
      <c r="W192" s="334">
        <f t="shared" si="81"/>
        <v>67.739569782047113</v>
      </c>
      <c r="Y192" s="307">
        <f t="shared" si="82"/>
        <v>1000000000</v>
      </c>
      <c r="Z192" s="307">
        <f t="shared" si="83"/>
        <v>117505600</v>
      </c>
      <c r="AB192" s="333">
        <f t="shared" si="84"/>
        <v>23.952480156062009</v>
      </c>
      <c r="AC192" s="334">
        <f t="shared" si="85"/>
        <v>-23.976471924211793</v>
      </c>
      <c r="AE192" s="333">
        <f t="shared" si="86"/>
        <v>45.257459392795326</v>
      </c>
      <c r="AF192" s="334">
        <f t="shared" si="87"/>
        <v>-90.204256505346677</v>
      </c>
      <c r="AH192">
        <f t="shared" si="88"/>
        <v>0</v>
      </c>
      <c r="AI192">
        <f t="shared" si="93"/>
        <v>0</v>
      </c>
    </row>
    <row r="193" spans="1:35" x14ac:dyDescent="0.25">
      <c r="A193" s="335">
        <v>10902.5</v>
      </c>
      <c r="B193" s="352">
        <f t="shared" si="89"/>
        <v>10.9025</v>
      </c>
      <c r="C193" s="325">
        <f t="shared" si="62"/>
        <v>13.249849094398805</v>
      </c>
      <c r="D193" s="326">
        <f t="shared" si="63"/>
        <v>1.495251934875077</v>
      </c>
      <c r="E193" s="326">
        <f t="shared" si="64"/>
        <v>1.000093847248454</v>
      </c>
      <c r="F193" s="327">
        <f t="shared" si="65"/>
        <v>1.3699628434375468E-2</v>
      </c>
      <c r="G193" s="326">
        <f t="shared" si="66"/>
        <v>1</v>
      </c>
      <c r="H193" s="327">
        <f t="shared" si="67"/>
        <v>0</v>
      </c>
      <c r="I193" s="325">
        <f t="shared" si="68"/>
        <v>14470.515891158269</v>
      </c>
      <c r="J193" s="328">
        <f t="shared" si="69"/>
        <v>1.5707272207582965</v>
      </c>
      <c r="K193" s="336">
        <f t="shared" si="94"/>
        <v>2.9761515502792339</v>
      </c>
      <c r="L193" s="337">
        <f t="shared" si="95"/>
        <v>1.2281249048993277</v>
      </c>
      <c r="M193" s="325">
        <f t="shared" si="72"/>
        <v>1.0027791870015814</v>
      </c>
      <c r="N193" s="337">
        <f t="shared" si="73"/>
        <v>7.4468324306876332E-2</v>
      </c>
      <c r="O193" s="343">
        <f t="shared" si="74"/>
        <v>1.0020048413592524</v>
      </c>
      <c r="P193" s="691">
        <f t="shared" si="75"/>
        <v>6.3269227731043279E-2</v>
      </c>
      <c r="Q193" s="336">
        <f t="shared" si="90"/>
        <v>15.130715020919634</v>
      </c>
      <c r="R193" s="692">
        <f t="shared" si="76"/>
        <v>2.9561331672579402E-2</v>
      </c>
      <c r="S193" s="329">
        <f t="shared" si="77"/>
        <v>0.99910019585581356</v>
      </c>
      <c r="T193" s="330">
        <f t="shared" si="78"/>
        <v>9.3704019670888261E-2</v>
      </c>
      <c r="U193" s="331">
        <f t="shared" si="79"/>
        <v>11.595252628331252</v>
      </c>
      <c r="V193" s="332">
        <f t="shared" si="80"/>
        <v>-112.22060652561518</v>
      </c>
      <c r="W193" s="334">
        <f t="shared" si="81"/>
        <v>67.779393474384818</v>
      </c>
      <c r="Y193" s="307">
        <f t="shared" si="82"/>
        <v>1000000000</v>
      </c>
      <c r="Z193" s="307">
        <f t="shared" si="83"/>
        <v>118864506.25</v>
      </c>
      <c r="AB193" s="333">
        <f t="shared" si="84"/>
        <v>23.946538728972449</v>
      </c>
      <c r="AC193" s="334">
        <f t="shared" si="85"/>
        <v>-23.896387467627957</v>
      </c>
      <c r="AE193" s="333">
        <f t="shared" si="86"/>
        <v>45.207906620752723</v>
      </c>
      <c r="AF193" s="334">
        <f t="shared" si="87"/>
        <v>-90.255539240609735</v>
      </c>
      <c r="AH193">
        <f t="shared" si="88"/>
        <v>0</v>
      </c>
      <c r="AI193">
        <f t="shared" si="93"/>
        <v>0</v>
      </c>
    </row>
    <row r="194" spans="1:35" x14ac:dyDescent="0.25">
      <c r="A194" s="335">
        <v>10965</v>
      </c>
      <c r="B194" s="352">
        <f t="shared" si="89"/>
        <v>10.965</v>
      </c>
      <c r="C194" s="325">
        <f t="shared" si="62"/>
        <v>13.325374148363029</v>
      </c>
      <c r="D194" s="326">
        <f t="shared" si="63"/>
        <v>1.4956809119596131</v>
      </c>
      <c r="E194" s="326">
        <f t="shared" si="64"/>
        <v>1.0000949262644778</v>
      </c>
      <c r="F194" s="327">
        <f t="shared" si="65"/>
        <v>1.3778153426568006E-2</v>
      </c>
      <c r="G194" s="326">
        <f t="shared" si="66"/>
        <v>1</v>
      </c>
      <c r="H194" s="327">
        <f t="shared" si="67"/>
        <v>0</v>
      </c>
      <c r="I194" s="325">
        <f t="shared" si="68"/>
        <v>14553.470006167723</v>
      </c>
      <c r="J194" s="328">
        <f t="shared" si="69"/>
        <v>1.5707276146595528</v>
      </c>
      <c r="K194" s="336">
        <f t="shared" si="94"/>
        <v>2.9912914103700574</v>
      </c>
      <c r="L194" s="337">
        <f t="shared" si="95"/>
        <v>1.2299299247391577</v>
      </c>
      <c r="M194" s="325">
        <f t="shared" si="72"/>
        <v>1.002811097646696</v>
      </c>
      <c r="N194" s="337">
        <f t="shared" si="73"/>
        <v>7.4893633638804066E-2</v>
      </c>
      <c r="O194" s="343">
        <f t="shared" si="74"/>
        <v>1.0020278699463101</v>
      </c>
      <c r="P194" s="691">
        <f t="shared" si="75"/>
        <v>6.3630951359691629E-2</v>
      </c>
      <c r="Q194" s="336">
        <f t="shared" si="90"/>
        <v>15.130788837245598</v>
      </c>
      <c r="R194" s="692">
        <f t="shared" si="76"/>
        <v>2.9730700573301839E-2</v>
      </c>
      <c r="S194" s="329">
        <f t="shared" si="77"/>
        <v>0.99909000752571941</v>
      </c>
      <c r="T194" s="330">
        <f t="shared" si="78"/>
        <v>9.4243745469327622E-2</v>
      </c>
      <c r="U194" s="331">
        <f t="shared" si="79"/>
        <v>11.540284639637612</v>
      </c>
      <c r="V194" s="332">
        <f t="shared" si="80"/>
        <v>-112.18155982747565</v>
      </c>
      <c r="W194" s="334">
        <f t="shared" si="81"/>
        <v>67.818440172524348</v>
      </c>
      <c r="Y194" s="307">
        <f t="shared" si="82"/>
        <v>1000000000</v>
      </c>
      <c r="Z194" s="307">
        <f t="shared" si="83"/>
        <v>120231225</v>
      </c>
      <c r="AB194" s="333">
        <f t="shared" si="84"/>
        <v>23.940685145910706</v>
      </c>
      <c r="AC194" s="334">
        <f t="shared" si="85"/>
        <v>-23.81735844736453</v>
      </c>
      <c r="AE194" s="333">
        <f t="shared" si="86"/>
        <v>45.158634968522058</v>
      </c>
      <c r="AF194" s="334">
        <f t="shared" si="87"/>
        <v>-90.306542676825742</v>
      </c>
      <c r="AH194">
        <f t="shared" si="88"/>
        <v>0</v>
      </c>
      <c r="AI194">
        <f t="shared" si="93"/>
        <v>0</v>
      </c>
    </row>
    <row r="195" spans="1:35" x14ac:dyDescent="0.25">
      <c r="A195" s="335">
        <v>11028.75</v>
      </c>
      <c r="B195" s="352">
        <f t="shared" si="89"/>
        <v>11.02875</v>
      </c>
      <c r="C195" s="325">
        <f t="shared" si="62"/>
        <v>13.402412200858475</v>
      </c>
      <c r="D195" s="326">
        <f t="shared" si="63"/>
        <v>1.4961134877664057</v>
      </c>
      <c r="E195" s="326">
        <f t="shared" si="64"/>
        <v>1.0000960332138042</v>
      </c>
      <c r="F195" s="327">
        <f t="shared" si="65"/>
        <v>1.3858248743538566E-2</v>
      </c>
      <c r="G195" s="326">
        <f t="shared" si="66"/>
        <v>1</v>
      </c>
      <c r="H195" s="327">
        <f t="shared" si="67"/>
        <v>0</v>
      </c>
      <c r="I195" s="325">
        <f t="shared" si="68"/>
        <v>14638.083203479666</v>
      </c>
      <c r="J195" s="328">
        <f t="shared" si="69"/>
        <v>1.5707280118395246</v>
      </c>
      <c r="K195" s="336">
        <f t="shared" si="94"/>
        <v>3.006744005763955</v>
      </c>
      <c r="L195" s="337">
        <f t="shared" si="95"/>
        <v>1.2317523123097383</v>
      </c>
      <c r="M195" s="325">
        <f t="shared" si="72"/>
        <v>1.0028438333673775</v>
      </c>
      <c r="N195" s="337">
        <f t="shared" si="73"/>
        <v>7.5327421192828217E-2</v>
      </c>
      <c r="O195" s="343">
        <f t="shared" si="74"/>
        <v>1.0020514941676477</v>
      </c>
      <c r="P195" s="691">
        <f t="shared" si="75"/>
        <v>6.3999892283545551E-2</v>
      </c>
      <c r="Q195" s="336">
        <f t="shared" si="90"/>
        <v>15.130864564219394</v>
      </c>
      <c r="R195" s="692">
        <f t="shared" si="76"/>
        <v>2.9903455169865485E-2</v>
      </c>
      <c r="S195" s="329">
        <f t="shared" si="77"/>
        <v>0.99907955916101354</v>
      </c>
      <c r="T195" s="330">
        <f t="shared" si="78"/>
        <v>9.4794310849111843E-2</v>
      </c>
      <c r="U195" s="331">
        <f t="shared" si="79"/>
        <v>11.484593158118592</v>
      </c>
      <c r="V195" s="332">
        <f t="shared" si="80"/>
        <v>-112.1425217322699</v>
      </c>
      <c r="W195" s="334">
        <f t="shared" si="81"/>
        <v>67.857478267730102</v>
      </c>
      <c r="Y195" s="307">
        <f t="shared" si="82"/>
        <v>1000000000</v>
      </c>
      <c r="Z195" s="307">
        <f t="shared" si="83"/>
        <v>121633326.5625</v>
      </c>
      <c r="AB195" s="333">
        <f t="shared" si="84"/>
        <v>23.93480308363765</v>
      </c>
      <c r="AC195" s="334">
        <f t="shared" si="85"/>
        <v>-23.737820283629269</v>
      </c>
      <c r="AE195" s="333">
        <f t="shared" si="86"/>
        <v>45.108664240844575</v>
      </c>
      <c r="AF195" s="334">
        <f t="shared" si="87"/>
        <v>-90.358283393920019</v>
      </c>
      <c r="AH195">
        <f t="shared" si="88"/>
        <v>0</v>
      </c>
      <c r="AI195">
        <f t="shared" si="93"/>
        <v>0</v>
      </c>
    </row>
    <row r="196" spans="1:35" x14ac:dyDescent="0.25">
      <c r="A196" s="335">
        <v>11092.5</v>
      </c>
      <c r="B196" s="352">
        <f t="shared" si="89"/>
        <v>11.092499999999999</v>
      </c>
      <c r="C196" s="325">
        <f t="shared" si="62"/>
        <v>13.479452732571307</v>
      </c>
      <c r="D196" s="326">
        <f t="shared" si="63"/>
        <v>1.4965411189605884</v>
      </c>
      <c r="E196" s="326">
        <f t="shared" si="64"/>
        <v>1.0000971465789923</v>
      </c>
      <c r="F196" s="327">
        <f t="shared" si="65"/>
        <v>1.3938343882689604E-2</v>
      </c>
      <c r="G196" s="326">
        <f t="shared" si="66"/>
        <v>1</v>
      </c>
      <c r="H196" s="327">
        <f t="shared" si="67"/>
        <v>0</v>
      </c>
      <c r="I196" s="325">
        <f t="shared" si="68"/>
        <v>14722.696400793891</v>
      </c>
      <c r="J196" s="328">
        <f t="shared" si="69"/>
        <v>1.5707284044542094</v>
      </c>
      <c r="K196" s="336">
        <f t="shared" si="94"/>
        <v>3.0222064847114996</v>
      </c>
      <c r="L196" s="337">
        <f t="shared" si="95"/>
        <v>1.2335560581002405</v>
      </c>
      <c r="M196" s="325">
        <f t="shared" si="72"/>
        <v>1.0028767577824897</v>
      </c>
      <c r="N196" s="337">
        <f t="shared" si="73"/>
        <v>7.5761180346003251E-2</v>
      </c>
      <c r="O196" s="343">
        <f t="shared" si="74"/>
        <v>1.0020752547791927</v>
      </c>
      <c r="P196" s="691">
        <f t="shared" si="75"/>
        <v>6.436881576139955E-2</v>
      </c>
      <c r="Q196" s="336">
        <f t="shared" si="90"/>
        <v>15.130940729808172</v>
      </c>
      <c r="R196" s="692">
        <f t="shared" si="76"/>
        <v>3.0076208057822705E-2</v>
      </c>
      <c r="S196" s="329">
        <f t="shared" si="77"/>
        <v>0.99906905403657498</v>
      </c>
      <c r="T196" s="330">
        <f t="shared" si="78"/>
        <v>9.5344922000960744E-2</v>
      </c>
      <c r="U196" s="331">
        <f t="shared" si="79"/>
        <v>11.429276127170896</v>
      </c>
      <c r="V196" s="332">
        <f t="shared" si="80"/>
        <v>-112.10427007255248</v>
      </c>
      <c r="W196" s="334">
        <f t="shared" si="81"/>
        <v>67.895729927447519</v>
      </c>
      <c r="Y196" s="307">
        <f t="shared" si="82"/>
        <v>1000000000</v>
      </c>
      <c r="Z196" s="307">
        <f t="shared" si="83"/>
        <v>123043556.25</v>
      </c>
      <c r="AB196" s="333">
        <f t="shared" si="84"/>
        <v>23.92900860396265</v>
      </c>
      <c r="AC196" s="334">
        <f t="shared" si="85"/>
        <v>-23.659348326395836</v>
      </c>
      <c r="AE196" s="333">
        <f t="shared" si="86"/>
        <v>45.058979455319772</v>
      </c>
      <c r="AF196" s="334">
        <f t="shared" si="87"/>
        <v>-90.409743438314536</v>
      </c>
      <c r="AH196">
        <f t="shared" si="88"/>
        <v>0</v>
      </c>
      <c r="AI196">
        <f t="shared" si="93"/>
        <v>0</v>
      </c>
    </row>
    <row r="197" spans="1:35" x14ac:dyDescent="0.25">
      <c r="A197" s="335">
        <v>11156.25</v>
      </c>
      <c r="B197" s="352">
        <f t="shared" si="89"/>
        <v>11.15625</v>
      </c>
      <c r="C197" s="325">
        <f t="shared" si="62"/>
        <v>13.556495701233914</v>
      </c>
      <c r="D197" s="326">
        <f t="shared" si="63"/>
        <v>1.4969638896866477</v>
      </c>
      <c r="E197" s="326">
        <f t="shared" si="64"/>
        <v>1.0000982663600206</v>
      </c>
      <c r="F197" s="327">
        <f t="shared" si="65"/>
        <v>1.4018438842994059E-2</v>
      </c>
      <c r="G197" s="326">
        <f t="shared" si="66"/>
        <v>1</v>
      </c>
      <c r="H197" s="327">
        <f t="shared" si="67"/>
        <v>0</v>
      </c>
      <c r="I197" s="325">
        <f t="shared" si="68"/>
        <v>14807.30959811036</v>
      </c>
      <c r="J197" s="328">
        <f t="shared" si="69"/>
        <v>1.5707287925818694</v>
      </c>
      <c r="K197" s="336">
        <f t="shared" si="94"/>
        <v>3.0376786962840536</v>
      </c>
      <c r="L197" s="337">
        <f t="shared" si="95"/>
        <v>1.235341435135197</v>
      </c>
      <c r="M197" s="325">
        <f t="shared" si="72"/>
        <v>1.0029098708734485</v>
      </c>
      <c r="N197" s="337">
        <f t="shared" si="73"/>
        <v>7.6194910937913363E-2</v>
      </c>
      <c r="O197" s="343">
        <f t="shared" si="74"/>
        <v>1.0020991517712432</v>
      </c>
      <c r="P197" s="691">
        <f t="shared" si="75"/>
        <v>6.473772169407388E-2</v>
      </c>
      <c r="Q197" s="336">
        <f t="shared" si="90"/>
        <v>15.131017334005318</v>
      </c>
      <c r="R197" s="692">
        <f t="shared" si="76"/>
        <v>3.0248959227331753E-2</v>
      </c>
      <c r="S197" s="329">
        <f t="shared" si="77"/>
        <v>0.99905849221860354</v>
      </c>
      <c r="T197" s="330">
        <f t="shared" si="78"/>
        <v>9.589557918704239E-2</v>
      </c>
      <c r="U197" s="331">
        <f t="shared" si="79"/>
        <v>11.374328478021592</v>
      </c>
      <c r="V197" s="332">
        <f t="shared" si="80"/>
        <v>-112.06679404178549</v>
      </c>
      <c r="W197" s="334">
        <f t="shared" si="81"/>
        <v>67.933205958214515</v>
      </c>
      <c r="Y197" s="307">
        <f t="shared" si="82"/>
        <v>1000000000</v>
      </c>
      <c r="Z197" s="307">
        <f t="shared" si="83"/>
        <v>124461914.0625</v>
      </c>
      <c r="AB197" s="333">
        <f t="shared" si="84"/>
        <v>23.923299855613116</v>
      </c>
      <c r="AC197" s="334">
        <f t="shared" si="85"/>
        <v>-23.581926927803778</v>
      </c>
      <c r="AE197" s="333">
        <f t="shared" si="86"/>
        <v>45.009577394607689</v>
      </c>
      <c r="AF197" s="334">
        <f t="shared" si="87"/>
        <v>-90.460927646213221</v>
      </c>
      <c r="AH197">
        <f t="shared" si="88"/>
        <v>0</v>
      </c>
      <c r="AI197">
        <f t="shared" si="93"/>
        <v>0</v>
      </c>
    </row>
    <row r="198" spans="1:35" x14ac:dyDescent="0.25">
      <c r="A198" s="335">
        <v>11220</v>
      </c>
      <c r="B198" s="352">
        <f t="shared" si="89"/>
        <v>11.22</v>
      </c>
      <c r="C198" s="325">
        <f t="shared" si="62"/>
        <v>13.633541065532777</v>
      </c>
      <c r="D198" s="326">
        <f t="shared" si="63"/>
        <v>1.4973818821940545</v>
      </c>
      <c r="E198" s="326">
        <f t="shared" si="64"/>
        <v>1.0000993925568675</v>
      </c>
      <c r="F198" s="327">
        <f t="shared" si="65"/>
        <v>1.4098533623424885E-2</v>
      </c>
      <c r="G198" s="326">
        <f t="shared" si="66"/>
        <v>1</v>
      </c>
      <c r="H198" s="327">
        <f t="shared" si="67"/>
        <v>0</v>
      </c>
      <c r="I198" s="325">
        <f t="shared" si="68"/>
        <v>14891.922795429035</v>
      </c>
      <c r="J198" s="328">
        <f t="shared" si="69"/>
        <v>1.5707291762989877</v>
      </c>
      <c r="K198" s="336">
        <f t="shared" si="94"/>
        <v>3.05316049251832</v>
      </c>
      <c r="L198" s="337">
        <f t="shared" si="95"/>
        <v>1.237108711375045</v>
      </c>
      <c r="M198" s="325">
        <f t="shared" si="72"/>
        <v>1.0029431726215665</v>
      </c>
      <c r="N198" s="337">
        <f t="shared" si="73"/>
        <v>7.6628612808206903E-2</v>
      </c>
      <c r="O198" s="343">
        <f t="shared" si="74"/>
        <v>1.0021231851340424</v>
      </c>
      <c r="P198" s="691">
        <f t="shared" si="75"/>
        <v>6.5106609982417338E-2</v>
      </c>
      <c r="Q198" s="336">
        <f t="shared" si="90"/>
        <v>15.131094376804171</v>
      </c>
      <c r="R198" s="692">
        <f t="shared" si="76"/>
        <v>3.0421708668551484E-2</v>
      </c>
      <c r="S198" s="329">
        <f t="shared" si="77"/>
        <v>0.99904787377368354</v>
      </c>
      <c r="T198" s="330">
        <f t="shared" si="78"/>
        <v>9.644628266948195E-2</v>
      </c>
      <c r="U198" s="331">
        <f t="shared" si="79"/>
        <v>11.319745242612676</v>
      </c>
      <c r="V198" s="332">
        <f t="shared" si="80"/>
        <v>-112.03008301490364</v>
      </c>
      <c r="W198" s="334">
        <f t="shared" si="81"/>
        <v>67.969916985096361</v>
      </c>
      <c r="Y198" s="307">
        <f t="shared" si="82"/>
        <v>1000000000</v>
      </c>
      <c r="Z198" s="307">
        <f t="shared" si="83"/>
        <v>125888400</v>
      </c>
      <c r="AB198" s="333">
        <f t="shared" si="84"/>
        <v>23.917675034261343</v>
      </c>
      <c r="AC198" s="334">
        <f t="shared" si="85"/>
        <v>-23.505540730045613</v>
      </c>
      <c r="AE198" s="333">
        <f t="shared" si="86"/>
        <v>44.960454895139264</v>
      </c>
      <c r="AF198" s="334">
        <f t="shared" si="87"/>
        <v>-90.511840745241116</v>
      </c>
      <c r="AH198">
        <f t="shared" si="88"/>
        <v>0</v>
      </c>
      <c r="AI198">
        <f t="shared" si="93"/>
        <v>0</v>
      </c>
    </row>
    <row r="199" spans="1:35" x14ac:dyDescent="0.25">
      <c r="A199" s="335">
        <v>11285.5</v>
      </c>
      <c r="B199" s="352">
        <f t="shared" si="89"/>
        <v>11.285500000000001</v>
      </c>
      <c r="C199" s="325">
        <f t="shared" si="62"/>
        <v>13.712703853356345</v>
      </c>
      <c r="D199" s="326">
        <f t="shared" si="63"/>
        <v>1.49780645673836</v>
      </c>
      <c r="E199" s="326">
        <f t="shared" si="64"/>
        <v>1.0001005563513161</v>
      </c>
      <c r="F199" s="327">
        <f t="shared" si="65"/>
        <v>1.4180826895675364E-2</v>
      </c>
      <c r="G199" s="326">
        <f t="shared" si="66"/>
        <v>1</v>
      </c>
      <c r="H199" s="327">
        <f t="shared" si="67"/>
        <v>0</v>
      </c>
      <c r="I199" s="325">
        <f t="shared" si="68"/>
        <v>14978.858707970478</v>
      </c>
      <c r="J199" s="328">
        <f t="shared" si="69"/>
        <v>1.5707295660342646</v>
      </c>
      <c r="K199" s="336">
        <f t="shared" si="94"/>
        <v>3.0690771097148009</v>
      </c>
      <c r="L199" s="337">
        <f t="shared" si="95"/>
        <v>1.2389059245454883</v>
      </c>
      <c r="M199" s="325">
        <f t="shared" si="72"/>
        <v>1.0029775850120428</v>
      </c>
      <c r="N199" s="337">
        <f t="shared" si="73"/>
        <v>7.7074190136469975E-2</v>
      </c>
      <c r="O199" s="343">
        <f t="shared" si="74"/>
        <v>1.0021480202632969</v>
      </c>
      <c r="P199" s="691">
        <f t="shared" si="75"/>
        <v>6.5485606134234986E-2</v>
      </c>
      <c r="Q199" s="336">
        <f t="shared" si="90"/>
        <v>15.131173991323388</v>
      </c>
      <c r="R199" s="692">
        <f t="shared" si="76"/>
        <v>3.0599198440846305E-2</v>
      </c>
      <c r="S199" s="329">
        <f t="shared" si="77"/>
        <v>0.99903690493245167</v>
      </c>
      <c r="T199" s="330">
        <f t="shared" si="78"/>
        <v>9.7012151998011595E-2</v>
      </c>
      <c r="U199" s="331">
        <f t="shared" si="79"/>
        <v>11.264038082189366</v>
      </c>
      <c r="V199" s="332">
        <f t="shared" si="80"/>
        <v>-111.99315004733653</v>
      </c>
      <c r="W199" s="334">
        <f t="shared" si="81"/>
        <v>68.006849952663472</v>
      </c>
      <c r="Y199" s="307">
        <f t="shared" si="82"/>
        <v>1000000000</v>
      </c>
      <c r="Z199" s="307">
        <f t="shared" si="83"/>
        <v>127362510.25</v>
      </c>
      <c r="AB199" s="333">
        <f t="shared" si="84"/>
        <v>23.911981372183217</v>
      </c>
      <c r="AC199" s="334">
        <f t="shared" si="85"/>
        <v>-23.428120030948101</v>
      </c>
      <c r="AE199" s="333">
        <f t="shared" si="86"/>
        <v>44.910271843291405</v>
      </c>
      <c r="AF199" s="334">
        <f t="shared" si="87"/>
        <v>-90.563873941876352</v>
      </c>
      <c r="AH199">
        <f t="shared" si="88"/>
        <v>0</v>
      </c>
      <c r="AI199">
        <f t="shared" si="93"/>
        <v>0</v>
      </c>
    </row>
    <row r="200" spans="1:35" x14ac:dyDescent="0.25">
      <c r="A200" s="335">
        <v>11351</v>
      </c>
      <c r="B200" s="352">
        <f t="shared" si="89"/>
        <v>11.351000000000001</v>
      </c>
      <c r="C200" s="325">
        <f t="shared" si="62"/>
        <v>13.791869084703736</v>
      </c>
      <c r="D200" s="326">
        <f t="shared" si="63"/>
        <v>1.4982261572478159</v>
      </c>
      <c r="E200" s="326">
        <f t="shared" si="64"/>
        <v>1.0001017269186123</v>
      </c>
      <c r="F200" s="327">
        <f t="shared" si="65"/>
        <v>1.4263119975843119E-2</v>
      </c>
      <c r="G200" s="326">
        <f t="shared" si="66"/>
        <v>1</v>
      </c>
      <c r="H200" s="327">
        <f t="shared" si="67"/>
        <v>0</v>
      </c>
      <c r="I200" s="325">
        <f t="shared" si="68"/>
        <v>15065.794620514172</v>
      </c>
      <c r="J200" s="328">
        <f t="shared" si="69"/>
        <v>1.5707299512716717</v>
      </c>
      <c r="K200" s="336">
        <f t="shared" si="94"/>
        <v>3.0850035376458629</v>
      </c>
      <c r="L200" s="337">
        <f t="shared" si="95"/>
        <v>1.2406845870724534</v>
      </c>
      <c r="M200" s="325">
        <f t="shared" si="72"/>
        <v>1.0030121965191552</v>
      </c>
      <c r="N200" s="337">
        <f t="shared" si="73"/>
        <v>7.7519736801610506E-2</v>
      </c>
      <c r="O200" s="343">
        <f t="shared" si="74"/>
        <v>1.0021729993320254</v>
      </c>
      <c r="P200" s="691">
        <f t="shared" si="75"/>
        <v>6.5864583447598338E-2</v>
      </c>
      <c r="Q200" s="336">
        <f t="shared" si="90"/>
        <v>15.131254068840551</v>
      </c>
      <c r="R200" s="692">
        <f t="shared" si="76"/>
        <v>3.0776686367602023E-2</v>
      </c>
      <c r="S200" s="329">
        <f t="shared" si="77"/>
        <v>0.99902587645642926</v>
      </c>
      <c r="T200" s="330">
        <f t="shared" si="78"/>
        <v>9.7578070760430166E-2</v>
      </c>
      <c r="U200" s="331">
        <f t="shared" si="79"/>
        <v>11.208705299675731</v>
      </c>
      <c r="V200" s="332">
        <f t="shared" si="80"/>
        <v>-111.95700249412742</v>
      </c>
      <c r="W200" s="334">
        <f t="shared" si="81"/>
        <v>68.042997505872577</v>
      </c>
      <c r="Y200" s="307">
        <f t="shared" si="82"/>
        <v>1000000000</v>
      </c>
      <c r="Z200" s="307">
        <f t="shared" si="83"/>
        <v>128845201</v>
      </c>
      <c r="AB200" s="333">
        <f t="shared" si="84"/>
        <v>23.906372592604011</v>
      </c>
      <c r="AC200" s="334">
        <f t="shared" si="85"/>
        <v>-23.351760190853888</v>
      </c>
      <c r="AE200" s="333">
        <f t="shared" si="86"/>
        <v>44.860377310194252</v>
      </c>
      <c r="AF200" s="334">
        <f t="shared" si="87"/>
        <v>-90.615630720243914</v>
      </c>
      <c r="AH200">
        <f t="shared" si="88"/>
        <v>0</v>
      </c>
      <c r="AI200">
        <f t="shared" si="93"/>
        <v>0</v>
      </c>
    </row>
    <row r="201" spans="1:35" x14ac:dyDescent="0.25">
      <c r="A201" s="335">
        <v>11416.5</v>
      </c>
      <c r="B201" s="352">
        <f t="shared" si="89"/>
        <v>11.416499999999999</v>
      </c>
      <c r="C201" s="325">
        <f t="shared" si="62"/>
        <v>13.871036717737676</v>
      </c>
      <c r="D201" s="326">
        <f t="shared" si="63"/>
        <v>1.4986410670275641</v>
      </c>
      <c r="E201" s="326">
        <f t="shared" si="64"/>
        <v>1.0001029042587328</v>
      </c>
      <c r="F201" s="327">
        <f t="shared" si="65"/>
        <v>1.4345412862814219E-2</v>
      </c>
      <c r="G201" s="326">
        <f t="shared" si="66"/>
        <v>1</v>
      </c>
      <c r="H201" s="327">
        <f t="shared" si="67"/>
        <v>0</v>
      </c>
      <c r="I201" s="325">
        <f t="shared" si="68"/>
        <v>15152.730533060076</v>
      </c>
      <c r="J201" s="328">
        <f t="shared" si="69"/>
        <v>1.5707303320886261</v>
      </c>
      <c r="K201" s="336">
        <f t="shared" si="94"/>
        <v>3.1009396251476931</v>
      </c>
      <c r="L201" s="337">
        <f t="shared" si="95"/>
        <v>1.2424449736160355</v>
      </c>
      <c r="M201" s="325">
        <f t="shared" si="72"/>
        <v>1.0030470071222906</v>
      </c>
      <c r="N201" s="337">
        <f t="shared" si="73"/>
        <v>7.796525262991931E-2</v>
      </c>
      <c r="O201" s="343">
        <f t="shared" si="74"/>
        <v>1.0021981223294651</v>
      </c>
      <c r="P201" s="691">
        <f t="shared" si="75"/>
        <v>6.6243541815059745E-2</v>
      </c>
      <c r="Q201" s="336">
        <f t="shared" si="90"/>
        <v>15.131334609348315</v>
      </c>
      <c r="R201" s="692">
        <f t="shared" si="76"/>
        <v>3.095417243814658E-2</v>
      </c>
      <c r="S201" s="329">
        <f t="shared" si="77"/>
        <v>0.99901478841910651</v>
      </c>
      <c r="T201" s="330">
        <f t="shared" si="78"/>
        <v>9.8144039240904021E-2</v>
      </c>
      <c r="U201" s="331">
        <f t="shared" si="79"/>
        <v>11.153741821900082</v>
      </c>
      <c r="V201" s="332">
        <f t="shared" si="80"/>
        <v>-111.92162940781807</v>
      </c>
      <c r="W201" s="334">
        <f t="shared" si="81"/>
        <v>68.078370592181926</v>
      </c>
      <c r="Y201" s="307">
        <f t="shared" si="82"/>
        <v>1000000000</v>
      </c>
      <c r="Z201" s="307">
        <f t="shared" si="83"/>
        <v>130336472.25</v>
      </c>
      <c r="AB201" s="333">
        <f t="shared" si="84"/>
        <v>23.900846884239417</v>
      </c>
      <c r="AC201" s="334">
        <f t="shared" si="85"/>
        <v>-23.276445467381578</v>
      </c>
      <c r="AE201" s="333">
        <f t="shared" si="86"/>
        <v>44.810768034138292</v>
      </c>
      <c r="AF201" s="334">
        <f t="shared" si="87"/>
        <v>-90.66711586972221</v>
      </c>
      <c r="AH201">
        <f t="shared" si="88"/>
        <v>0</v>
      </c>
      <c r="AI201">
        <f t="shared" si="93"/>
        <v>0</v>
      </c>
    </row>
    <row r="202" spans="1:35" x14ac:dyDescent="0.25">
      <c r="A202" s="335">
        <v>11482</v>
      </c>
      <c r="B202" s="352">
        <f t="shared" si="89"/>
        <v>11.481999999999999</v>
      </c>
      <c r="C202" s="325">
        <f t="shared" si="62"/>
        <v>13.950206711569342</v>
      </c>
      <c r="D202" s="326">
        <f t="shared" si="63"/>
        <v>1.4990512674983427</v>
      </c>
      <c r="E202" s="326">
        <f t="shared" si="64"/>
        <v>1.0001040883716534</v>
      </c>
      <c r="F202" s="327">
        <f t="shared" si="65"/>
        <v>1.4427705555474757E-2</v>
      </c>
      <c r="G202" s="326">
        <f t="shared" si="66"/>
        <v>1</v>
      </c>
      <c r="H202" s="327">
        <f t="shared" si="67"/>
        <v>0</v>
      </c>
      <c r="I202" s="325">
        <f t="shared" si="68"/>
        <v>15239.666445608153</v>
      </c>
      <c r="J202" s="328">
        <f t="shared" si="69"/>
        <v>1.570730708560778</v>
      </c>
      <c r="K202" s="336">
        <f t="shared" si="94"/>
        <v>3.1168852240572207</v>
      </c>
      <c r="L202" s="337">
        <f t="shared" si="95"/>
        <v>1.2441873536740398</v>
      </c>
      <c r="M202" s="325">
        <f t="shared" si="72"/>
        <v>1.0030820168007213</v>
      </c>
      <c r="N202" s="337">
        <f t="shared" si="73"/>
        <v>7.8410737447760268E-2</v>
      </c>
      <c r="O202" s="343">
        <f t="shared" si="74"/>
        <v>1.0022233892447927</v>
      </c>
      <c r="P202" s="691">
        <f t="shared" si="75"/>
        <v>6.6622481129204131E-2</v>
      </c>
      <c r="Q202" s="336">
        <f t="shared" si="90"/>
        <v>15.131415612839296</v>
      </c>
      <c r="R202" s="692">
        <f t="shared" si="76"/>
        <v>3.1131656641808603E-2</v>
      </c>
      <c r="S202" s="329">
        <f t="shared" si="77"/>
        <v>0.99900364089440319</v>
      </c>
      <c r="T202" s="330">
        <f t="shared" si="78"/>
        <v>9.8710057723550501E-2</v>
      </c>
      <c r="U202" s="331">
        <f t="shared" si="79"/>
        <v>11.099142676803522</v>
      </c>
      <c r="V202" s="332">
        <f t="shared" si="80"/>
        <v>-111.88702002865767</v>
      </c>
      <c r="W202" s="334">
        <f t="shared" si="81"/>
        <v>68.112979971342327</v>
      </c>
      <c r="Y202" s="307">
        <f t="shared" si="82"/>
        <v>1000000000</v>
      </c>
      <c r="Z202" s="307">
        <f t="shared" si="83"/>
        <v>131836324</v>
      </c>
      <c r="AB202" s="333">
        <f t="shared" si="84"/>
        <v>23.89540248213266</v>
      </c>
      <c r="AC202" s="334">
        <f t="shared" si="85"/>
        <v>-23.202160413830139</v>
      </c>
      <c r="AE202" s="333">
        <f t="shared" si="86"/>
        <v>44.761440808200291</v>
      </c>
      <c r="AF202" s="334">
        <f t="shared" si="87"/>
        <v>-90.718334071718459</v>
      </c>
      <c r="AH202">
        <f t="shared" si="88"/>
        <v>0</v>
      </c>
      <c r="AI202">
        <f t="shared" si="93"/>
        <v>0</v>
      </c>
    </row>
    <row r="203" spans="1:35" x14ac:dyDescent="0.25">
      <c r="A203" s="335">
        <v>11548.75</v>
      </c>
      <c r="B203" s="352">
        <f t="shared" si="89"/>
        <v>11.54875</v>
      </c>
      <c r="C203" s="325">
        <f t="shared" si="62"/>
        <v>14.030889970578048</v>
      </c>
      <c r="D203" s="326">
        <f t="shared" si="63"/>
        <v>1.4994645336414594</v>
      </c>
      <c r="E203" s="326">
        <f t="shared" si="64"/>
        <v>1.0001053020500352</v>
      </c>
      <c r="F203" s="327">
        <f t="shared" si="65"/>
        <v>1.4511568518307729E-2</v>
      </c>
      <c r="G203" s="326">
        <f t="shared" si="66"/>
        <v>1</v>
      </c>
      <c r="H203" s="327">
        <f t="shared" si="67"/>
        <v>0</v>
      </c>
      <c r="I203" s="325">
        <f t="shared" si="68"/>
        <v>15328.26144045896</v>
      </c>
      <c r="J203" s="328">
        <f t="shared" si="69"/>
        <v>1.5707310878240848</v>
      </c>
      <c r="K203" s="336">
        <f t="shared" si="94"/>
        <v>3.133144763347953</v>
      </c>
      <c r="L203" s="337">
        <f t="shared" si="95"/>
        <v>1.2459447338170664</v>
      </c>
      <c r="M203" s="325">
        <f t="shared" si="72"/>
        <v>1.0031178993914718</v>
      </c>
      <c r="N203" s="337">
        <f t="shared" si="73"/>
        <v>7.8864691800744999E-2</v>
      </c>
      <c r="O203" s="343">
        <f t="shared" si="74"/>
        <v>1.0022492864057733</v>
      </c>
      <c r="P203" s="691">
        <f t="shared" si="75"/>
        <v>6.7008632396264409E-2</v>
      </c>
      <c r="Q203" s="336">
        <f t="shared" si="90"/>
        <v>15.131498638511593</v>
      </c>
      <c r="R203" s="692">
        <f t="shared" si="76"/>
        <v>3.1312526016882246E-2</v>
      </c>
      <c r="S203" s="329">
        <f t="shared" si="77"/>
        <v>0.99899221950656203</v>
      </c>
      <c r="T203" s="330">
        <f t="shared" si="78"/>
        <v>9.9286929822384809E-2</v>
      </c>
      <c r="U203" s="331">
        <f t="shared" si="79"/>
        <v>11.04387134631715</v>
      </c>
      <c r="V203" s="332">
        <f t="shared" si="80"/>
        <v>-111.85252492467636</v>
      </c>
      <c r="W203" s="334">
        <f t="shared" si="81"/>
        <v>68.147475075323641</v>
      </c>
      <c r="Y203" s="307">
        <f t="shared" si="82"/>
        <v>1000000000</v>
      </c>
      <c r="Z203" s="307">
        <f t="shared" si="83"/>
        <v>133373626.5625</v>
      </c>
      <c r="AB203" s="333">
        <f t="shared" si="84"/>
        <v>23.88993604714522</v>
      </c>
      <c r="AC203" s="334">
        <f t="shared" si="85"/>
        <v>-23.127501347253723</v>
      </c>
      <c r="AE203" s="333">
        <f t="shared" si="86"/>
        <v>44.711459133851349</v>
      </c>
      <c r="AF203" s="334">
        <f t="shared" si="87"/>
        <v>-90.770259820348301</v>
      </c>
      <c r="AH203">
        <f t="shared" si="88"/>
        <v>0</v>
      </c>
      <c r="AI203">
        <f t="shared" si="93"/>
        <v>0</v>
      </c>
    </row>
    <row r="204" spans="1:35" x14ac:dyDescent="0.25">
      <c r="A204" s="335">
        <v>11615.5</v>
      </c>
      <c r="B204" s="352">
        <f t="shared" si="89"/>
        <v>11.615500000000001</v>
      </c>
      <c r="C204" s="325">
        <f t="shared" si="62"/>
        <v>14.111575598504821</v>
      </c>
      <c r="D204" s="326">
        <f t="shared" si="63"/>
        <v>1.4998730739975237</v>
      </c>
      <c r="E204" s="326">
        <f t="shared" si="64"/>
        <v>1.0001065227621371</v>
      </c>
      <c r="F204" s="327">
        <f t="shared" si="65"/>
        <v>1.4595431277007248E-2</v>
      </c>
      <c r="G204" s="326">
        <f t="shared" si="66"/>
        <v>1</v>
      </c>
      <c r="H204" s="327">
        <f t="shared" si="67"/>
        <v>0</v>
      </c>
      <c r="I204" s="325">
        <f t="shared" si="68"/>
        <v>15416.856435311949</v>
      </c>
      <c r="J204" s="328">
        <f t="shared" si="69"/>
        <v>1.5707314627284186</v>
      </c>
      <c r="K204" s="336">
        <f t="shared" si="94"/>
        <v>3.1494138790659165</v>
      </c>
      <c r="L204" s="337">
        <f t="shared" si="95"/>
        <v>1.2476839628778513</v>
      </c>
      <c r="M204" s="325">
        <f t="shared" si="72"/>
        <v>1.0031539886844834</v>
      </c>
      <c r="N204" s="337">
        <f t="shared" si="73"/>
        <v>7.9318613584500541E-2</v>
      </c>
      <c r="O204" s="343">
        <f t="shared" si="74"/>
        <v>1.0022753330072161</v>
      </c>
      <c r="P204" s="691">
        <f t="shared" si="75"/>
        <v>6.7394763650709386E-2</v>
      </c>
      <c r="Q204" s="336">
        <f t="shared" si="90"/>
        <v>15.131582144991215</v>
      </c>
      <c r="R204" s="692">
        <f t="shared" si="76"/>
        <v>3.1493393430763933E-2</v>
      </c>
      <c r="S204" s="329">
        <f t="shared" si="77"/>
        <v>0.99898073649552621</v>
      </c>
      <c r="T204" s="330">
        <f t="shared" si="78"/>
        <v>9.9863854445686101E-2</v>
      </c>
      <c r="U204" s="331">
        <f t="shared" si="79"/>
        <v>10.988968270610791</v>
      </c>
      <c r="V204" s="332">
        <f t="shared" si="80"/>
        <v>-111.81880097301554</v>
      </c>
      <c r="W204" s="334">
        <f t="shared" si="81"/>
        <v>68.181199026984459</v>
      </c>
      <c r="Y204" s="307">
        <f t="shared" si="82"/>
        <v>1000000000</v>
      </c>
      <c r="Z204" s="307">
        <f t="shared" si="83"/>
        <v>134919840.25</v>
      </c>
      <c r="AB204" s="333">
        <f t="shared" si="84"/>
        <v>23.88455049135014</v>
      </c>
      <c r="AC204" s="334">
        <f t="shared" si="85"/>
        <v>-23.053880145254411</v>
      </c>
      <c r="AE204" s="333">
        <f t="shared" si="86"/>
        <v>44.661763821545904</v>
      </c>
      <c r="AF204" s="334">
        <f t="shared" si="87"/>
        <v>-90.821917822451098</v>
      </c>
      <c r="AH204">
        <f t="shared" si="88"/>
        <v>0</v>
      </c>
      <c r="AI204">
        <f t="shared" si="93"/>
        <v>0</v>
      </c>
    </row>
    <row r="205" spans="1:35" x14ac:dyDescent="0.25">
      <c r="A205" s="335">
        <v>11682.25</v>
      </c>
      <c r="B205" s="352">
        <f t="shared" si="89"/>
        <v>11.68225</v>
      </c>
      <c r="C205" s="325">
        <f t="shared" ref="C205:C268" si="96">SQRT(1+(A205/pole1)^2)</f>
        <v>14.192263554946454</v>
      </c>
      <c r="D205" s="326">
        <f t="shared" ref="D205:D268" si="97">ATAN(A205/pole1)</f>
        <v>1.5002769690322149</v>
      </c>
      <c r="E205" s="326">
        <f t="shared" ref="E205:E268" si="98">SQRT(1+(A205/Zero1)^2)</f>
        <v>1.0001077505079332</v>
      </c>
      <c r="F205" s="327">
        <f t="shared" ref="F205:F268" si="99">ATAN(A205/Zero1)</f>
        <v>1.4679293830394452E-2</v>
      </c>
      <c r="G205" s="326">
        <f t="shared" ref="G205:G268" si="100">IF(VIN_nom&gt;Vout, 1, SQRT(1+(A205/z_RHP)^2))</f>
        <v>1</v>
      </c>
      <c r="H205" s="327">
        <f t="shared" ref="H205:H268" si="101">IF(VIN_nom&gt;Vout, 0, -ATAN(A205/z_RHP))</f>
        <v>0</v>
      </c>
      <c r="I205" s="325">
        <f t="shared" ref="I205:I268" si="102">SQRT(1+(A205/Pole2)^2)</f>
        <v>15505.451430167081</v>
      </c>
      <c r="J205" s="328">
        <f t="shared" ref="J205:J268" si="103">ATAN(A205/Pole2)</f>
        <v>1.5707318333484983</v>
      </c>
      <c r="K205" s="336">
        <f t="shared" si="94"/>
        <v>3.165692423565686</v>
      </c>
      <c r="L205" s="337">
        <f t="shared" si="95"/>
        <v>1.24940531026059</v>
      </c>
      <c r="M205" s="325">
        <f t="shared" ref="M205:M268" si="104">SQRT(1+(A205/pole4)^2)</f>
        <v>1.0031902846574481</v>
      </c>
      <c r="N205" s="337">
        <f t="shared" ref="N205:N268" si="105">ATAN(A205/pole4)</f>
        <v>7.97725026154954E-2</v>
      </c>
      <c r="O205" s="343">
        <f t="shared" ref="O205:O268" si="106">IF(VOUT_setting=1,1,SQRT(1+(A205*zterm1)^2))</f>
        <v>1.0023015290374708</v>
      </c>
      <c r="P205" s="691">
        <f t="shared" ref="P205:P268" si="107">IF(VOUT_setting=1,0,ATAN(((A205*zterm1))))</f>
        <v>6.7780874778961456E-2</v>
      </c>
      <c r="Q205" s="336">
        <f t="shared" si="90"/>
        <v>15.131666132270208</v>
      </c>
      <c r="R205" s="692">
        <f t="shared" ref="R205:R268" si="108">IF(VOUT_setting=1,0,ATAN(A205*$Q$4/(1+Afbr-$Q$5*(A205)^2)))</f>
        <v>3.1674258872161812E-2</v>
      </c>
      <c r="S205" s="329">
        <f t="shared" ref="S205:S268" si="109">SQRT((1-(Z205/pterm2))^2+(A205/pterm1)^2)</f>
        <v>0.99896919194090505</v>
      </c>
      <c r="T205" s="330">
        <f t="shared" ref="T205:T268" si="110">IF((ATAN((A205/pterm1)/(1-A205^2/pterm2))&gt;0),ATAN((A205/pterm1)/(1-A205^2/pterm2)),PI()+ATAN((A205/pterm1)/(1-A205^2/pterm2)))</f>
        <v>0.10044083189399075</v>
      </c>
      <c r="U205" s="331">
        <f t="shared" ref="U205:U268" si="111">20*LOG10(((E205*K205*G205*O205)/(C205*I205*S205*M205*Q205))*Adc)</f>
        <v>10.93442849512617</v>
      </c>
      <c r="V205" s="332">
        <f t="shared" ref="V205:V268" si="112">((F205+L205+H205+P205)-(D205+J205+T205+N205+R205))*radconv</f>
        <v>-111.78583736520858</v>
      </c>
      <c r="W205" s="334">
        <f t="shared" ref="W205:W268" si="113">IF(V205&gt;0,V205,V205+180)</f>
        <v>68.214162634791421</v>
      </c>
      <c r="Y205" s="307">
        <f t="shared" ref="Y205:Y268" si="114">IF(U205&lt;0,A205,1000000000)</f>
        <v>1000000000</v>
      </c>
      <c r="Z205" s="307">
        <f t="shared" ref="Z205:Z268" si="115">A205^2</f>
        <v>136474965.0625</v>
      </c>
      <c r="AB205" s="333">
        <f t="shared" ref="AB205:AB268" si="116">20*LOG10((K205/(I205*M205))*AEA)</f>
        <v>23.879244086522775</v>
      </c>
      <c r="AC205" s="334">
        <f t="shared" ref="AC205:AC268" si="117">(L205-(J205+N205))*radconv</f>
        <v>-22.981281365874299</v>
      </c>
      <c r="AE205" s="333">
        <f t="shared" ref="AE205:AE268" si="118">20*LOG10((E205*G205/(C205*S205))*Acs*Am)</f>
        <v>44.612351645142844</v>
      </c>
      <c r="AF205" s="334">
        <f t="shared" ref="AF205:AF268" si="119">(F205+H205-(D205+T205))*radconv</f>
        <v>-90.873312705657739</v>
      </c>
      <c r="AH205">
        <f t="shared" ref="AH205:AH268" si="120">SUM((U206&lt;0)*(U205&gt;0))*A205</f>
        <v>0</v>
      </c>
      <c r="AI205">
        <f t="shared" si="93"/>
        <v>0</v>
      </c>
    </row>
    <row r="206" spans="1:35" x14ac:dyDescent="0.25">
      <c r="A206" s="335">
        <v>11749</v>
      </c>
      <c r="B206" s="352">
        <f t="shared" ref="B206:B269" si="121">A206/1000</f>
        <v>11.749000000000001</v>
      </c>
      <c r="C206" s="325">
        <f t="shared" si="96"/>
        <v>14.272953800412219</v>
      </c>
      <c r="D206" s="326">
        <f t="shared" si="97"/>
        <v>1.5006762973977461</v>
      </c>
      <c r="E206" s="326">
        <f t="shared" si="98"/>
        <v>1.0001089852873979</v>
      </c>
      <c r="F206" s="327">
        <f t="shared" si="99"/>
        <v>1.4763156177290506E-2</v>
      </c>
      <c r="G206" s="326">
        <f t="shared" si="100"/>
        <v>1</v>
      </c>
      <c r="H206" s="327">
        <f t="shared" si="101"/>
        <v>0</v>
      </c>
      <c r="I206" s="325">
        <f t="shared" si="102"/>
        <v>15594.046425024315</v>
      </c>
      <c r="J206" s="328">
        <f t="shared" si="103"/>
        <v>1.5707321997573447</v>
      </c>
      <c r="K206" s="336">
        <f t="shared" si="94"/>
        <v>3.181980252138469</v>
      </c>
      <c r="L206" s="337">
        <f t="shared" si="95"/>
        <v>1.2511090402820841</v>
      </c>
      <c r="M206" s="325">
        <f t="shared" si="104"/>
        <v>1.0032267872879332</v>
      </c>
      <c r="N206" s="337">
        <f t="shared" si="105"/>
        <v>8.0226358710278556E-2</v>
      </c>
      <c r="O206" s="343">
        <f t="shared" si="106"/>
        <v>1.0023278744848216</v>
      </c>
      <c r="P206" s="691">
        <f t="shared" si="107"/>
        <v>6.8166965667478888E-2</v>
      </c>
      <c r="Q206" s="336">
        <f t="shared" si="90"/>
        <v>15.131750600340578</v>
      </c>
      <c r="R206" s="692">
        <f t="shared" si="108"/>
        <v>3.1855122329784769E-2</v>
      </c>
      <c r="S206" s="329">
        <f t="shared" si="109"/>
        <v>0.99895758592277162</v>
      </c>
      <c r="T206" s="330">
        <f t="shared" si="110"/>
        <v>0.10101786246778068</v>
      </c>
      <c r="U206" s="331">
        <f t="shared" si="111"/>
        <v>10.880247163541661</v>
      </c>
      <c r="V206" s="332">
        <f t="shared" si="112"/>
        <v>-111.75362348027349</v>
      </c>
      <c r="W206" s="334">
        <f t="shared" si="113"/>
        <v>68.24637651972651</v>
      </c>
      <c r="Y206" s="307">
        <f t="shared" si="114"/>
        <v>1000000000</v>
      </c>
      <c r="Z206" s="307">
        <f t="shared" si="115"/>
        <v>138039001</v>
      </c>
      <c r="AB206" s="333">
        <f t="shared" si="116"/>
        <v>23.874015148657563</v>
      </c>
      <c r="AC206" s="334">
        <f t="shared" si="117"/>
        <v>-22.90968985854898</v>
      </c>
      <c r="AE206" s="333">
        <f t="shared" si="118"/>
        <v>44.563219432519645</v>
      </c>
      <c r="AF206" s="334">
        <f t="shared" si="119"/>
        <v>-90.924448993691939</v>
      </c>
      <c r="AH206">
        <f t="shared" si="120"/>
        <v>0</v>
      </c>
      <c r="AI206">
        <f t="shared" si="93"/>
        <v>0</v>
      </c>
    </row>
    <row r="207" spans="1:35" x14ac:dyDescent="0.25">
      <c r="A207" s="335">
        <v>11817.5</v>
      </c>
      <c r="B207" s="352">
        <f t="shared" si="121"/>
        <v>11.817500000000001</v>
      </c>
      <c r="C207" s="325">
        <f t="shared" si="96"/>
        <v>14.355761859826806</v>
      </c>
      <c r="D207" s="326">
        <f t="shared" si="97"/>
        <v>1.5010814278459481</v>
      </c>
      <c r="E207" s="326">
        <f t="shared" si="98"/>
        <v>1.0001102597520208</v>
      </c>
      <c r="F207" s="327">
        <f t="shared" si="99"/>
        <v>1.4849216946575844E-2</v>
      </c>
      <c r="G207" s="326">
        <f t="shared" si="100"/>
        <v>1</v>
      </c>
      <c r="H207" s="327">
        <f t="shared" si="101"/>
        <v>0</v>
      </c>
      <c r="I207" s="325">
        <f t="shared" si="102"/>
        <v>15684.964135104678</v>
      </c>
      <c r="J207" s="328">
        <f t="shared" si="103"/>
        <v>1.5707325714689639</v>
      </c>
      <c r="K207" s="336">
        <f t="shared" si="94"/>
        <v>3.1987046060628952</v>
      </c>
      <c r="L207" s="337">
        <f t="shared" si="95"/>
        <v>1.2528393931033317</v>
      </c>
      <c r="M207" s="325">
        <f t="shared" si="104"/>
        <v>1.0032644617480873</v>
      </c>
      <c r="N207" s="337">
        <f t="shared" si="105"/>
        <v>8.0692079218903576E-2</v>
      </c>
      <c r="O207" s="343">
        <f t="shared" si="106"/>
        <v>1.0023550659688276</v>
      </c>
      <c r="P207" s="691">
        <f t="shared" si="107"/>
        <v>6.8563157627354057E-2</v>
      </c>
      <c r="Q207" s="336">
        <f t="shared" ref="Q207:Q270" si="122">IF(VOUT_setting=1,1,SQRT((1+Afbr-$Q$5*(A207)^2)^2+(A207*$Q$4)^2))</f>
        <v>15.131837782785338</v>
      </c>
      <c r="R207" s="692">
        <f t="shared" si="108"/>
        <v>3.2040725451685979E-2</v>
      </c>
      <c r="S207" s="329">
        <f t="shared" si="109"/>
        <v>0.99894561180973529</v>
      </c>
      <c r="T207" s="330">
        <f t="shared" si="110"/>
        <v>0.10161007673197632</v>
      </c>
      <c r="U207" s="331">
        <f t="shared" si="111"/>
        <v>10.82501301873714</v>
      </c>
      <c r="V207" s="332">
        <f t="shared" si="112"/>
        <v>-111.72133355584434</v>
      </c>
      <c r="W207" s="334">
        <f t="shared" si="113"/>
        <v>68.278666444155661</v>
      </c>
      <c r="Y207" s="307">
        <f t="shared" si="114"/>
        <v>1000000000</v>
      </c>
      <c r="Z207" s="307">
        <f t="shared" si="115"/>
        <v>139653306.25</v>
      </c>
      <c r="AB207" s="333">
        <f t="shared" si="116"/>
        <v>23.868727941732672</v>
      </c>
      <c r="AC207" s="334">
        <f t="shared" si="117"/>
        <v>-22.837253061824057</v>
      </c>
      <c r="AE207" s="333">
        <f t="shared" si="118"/>
        <v>44.513086908237398</v>
      </c>
      <c r="AF207" s="334">
        <f t="shared" si="119"/>
        <v>-90.976661717629966</v>
      </c>
      <c r="AH207">
        <f t="shared" si="120"/>
        <v>0</v>
      </c>
      <c r="AI207">
        <f t="shared" si="93"/>
        <v>0</v>
      </c>
    </row>
    <row r="208" spans="1:35" x14ac:dyDescent="0.25">
      <c r="A208" s="335">
        <v>11886</v>
      </c>
      <c r="B208" s="352">
        <f t="shared" si="121"/>
        <v>11.885999999999999</v>
      </c>
      <c r="C208" s="325">
        <f t="shared" si="96"/>
        <v>14.43857224843534</v>
      </c>
      <c r="D208" s="326">
        <f t="shared" si="97"/>
        <v>1.5014819112225057</v>
      </c>
      <c r="E208" s="326">
        <f t="shared" si="98"/>
        <v>1.0001115416238977</v>
      </c>
      <c r="F208" s="327">
        <f t="shared" si="99"/>
        <v>1.4935277495885432E-2</v>
      </c>
      <c r="G208" s="326">
        <f t="shared" si="100"/>
        <v>1</v>
      </c>
      <c r="H208" s="327">
        <f t="shared" si="101"/>
        <v>0</v>
      </c>
      <c r="I208" s="325">
        <f t="shared" si="102"/>
        <v>15775.881845187185</v>
      </c>
      <c r="J208" s="328">
        <f t="shared" si="103"/>
        <v>1.5707329388961735</v>
      </c>
      <c r="K208" s="336">
        <f t="shared" si="94"/>
        <v>3.2154384376506884</v>
      </c>
      <c r="L208" s="337">
        <f t="shared" si="95"/>
        <v>1.2545517407524385</v>
      </c>
      <c r="M208" s="325">
        <f t="shared" si="104"/>
        <v>1.0033023537955115</v>
      </c>
      <c r="N208" s="337">
        <f t="shared" si="105"/>
        <v>8.1157764650490502E-2</v>
      </c>
      <c r="O208" s="343">
        <f t="shared" si="106"/>
        <v>1.0023824147820224</v>
      </c>
      <c r="P208" s="691">
        <f t="shared" si="107"/>
        <v>6.8959328030158765E-2</v>
      </c>
      <c r="Q208" s="336">
        <f t="shared" si="122"/>
        <v>15.13192547154476</v>
      </c>
      <c r="R208" s="692">
        <f t="shared" si="108"/>
        <v>3.2226326460339481E-2</v>
      </c>
      <c r="S208" s="329">
        <f t="shared" si="109"/>
        <v>0.9989335731404968</v>
      </c>
      <c r="T208" s="330">
        <f t="shared" si="110"/>
        <v>0.10220234758478561</v>
      </c>
      <c r="U208" s="331">
        <f t="shared" si="111"/>
        <v>10.770146303104367</v>
      </c>
      <c r="V208" s="332">
        <f t="shared" si="112"/>
        <v>-111.68981110789335</v>
      </c>
      <c r="W208" s="334">
        <f t="shared" si="113"/>
        <v>68.310188892106652</v>
      </c>
      <c r="Y208" s="307">
        <f t="shared" si="114"/>
        <v>1000000000</v>
      </c>
      <c r="Z208" s="307">
        <f t="shared" si="115"/>
        <v>141276996</v>
      </c>
      <c r="AB208" s="333">
        <f t="shared" si="116"/>
        <v>23.863518860788918</v>
      </c>
      <c r="AC208" s="334">
        <f t="shared" si="117"/>
        <v>-22.765845630228529</v>
      </c>
      <c r="AE208" s="333">
        <f t="shared" si="118"/>
        <v>44.463242620583408</v>
      </c>
      <c r="AF208" s="334">
        <f t="shared" si="119"/>
        <v>-91.028611438867799</v>
      </c>
      <c r="AH208">
        <f t="shared" si="120"/>
        <v>0</v>
      </c>
      <c r="AI208">
        <f t="shared" si="93"/>
        <v>0</v>
      </c>
    </row>
    <row r="209" spans="1:35" x14ac:dyDescent="0.25">
      <c r="A209" s="335">
        <v>11954.5</v>
      </c>
      <c r="B209" s="352">
        <f t="shared" si="121"/>
        <v>11.954499999999999</v>
      </c>
      <c r="C209" s="325">
        <f t="shared" si="96"/>
        <v>14.521384926390086</v>
      </c>
      <c r="D209" s="326">
        <f t="shared" si="97"/>
        <v>1.5018778269019215</v>
      </c>
      <c r="E209" s="326">
        <f t="shared" si="98"/>
        <v>1.0001128309029996</v>
      </c>
      <c r="F209" s="327">
        <f t="shared" si="99"/>
        <v>1.5021337823945316E-2</v>
      </c>
      <c r="G209" s="326">
        <f t="shared" si="100"/>
        <v>1</v>
      </c>
      <c r="H209" s="327">
        <f t="shared" si="101"/>
        <v>0</v>
      </c>
      <c r="I209" s="325">
        <f t="shared" si="102"/>
        <v>15866.799555271797</v>
      </c>
      <c r="J209" s="328">
        <f t="shared" si="103"/>
        <v>1.5707333021126235</v>
      </c>
      <c r="K209" s="336">
        <f t="shared" si="94"/>
        <v>3.2321815996969843</v>
      </c>
      <c r="L209" s="337">
        <f t="shared" si="95"/>
        <v>1.2562463529170931</v>
      </c>
      <c r="M209" s="325">
        <f t="shared" si="104"/>
        <v>1.0033404634055529</v>
      </c>
      <c r="N209" s="337">
        <f t="shared" si="105"/>
        <v>8.1623414807045158E-2</v>
      </c>
      <c r="O209" s="343">
        <f t="shared" si="106"/>
        <v>1.0024099209115285</v>
      </c>
      <c r="P209" s="691">
        <f t="shared" si="107"/>
        <v>6.9355476753303835E-2</v>
      </c>
      <c r="Q209" s="336">
        <f t="shared" si="122"/>
        <v>15.132013666610048</v>
      </c>
      <c r="R209" s="692">
        <f t="shared" si="108"/>
        <v>3.2411925343545089E-2</v>
      </c>
      <c r="S209" s="329">
        <f t="shared" si="109"/>
        <v>0.99892147000311582</v>
      </c>
      <c r="T209" s="330">
        <f t="shared" si="110"/>
        <v>0.10279467535076774</v>
      </c>
      <c r="U209" s="331">
        <f t="shared" si="111"/>
        <v>10.715642074544514</v>
      </c>
      <c r="V209" s="332">
        <f t="shared" si="112"/>
        <v>-111.65904525014753</v>
      </c>
      <c r="W209" s="334">
        <f t="shared" si="113"/>
        <v>68.340954749852472</v>
      </c>
      <c r="Y209" s="307">
        <f t="shared" si="114"/>
        <v>1000000000</v>
      </c>
      <c r="Z209" s="307">
        <f t="shared" si="115"/>
        <v>142910070.25</v>
      </c>
      <c r="AB209" s="333">
        <f t="shared" si="116"/>
        <v>23.85838622249782</v>
      </c>
      <c r="AC209" s="334">
        <f t="shared" si="117"/>
        <v>-22.695452104671684</v>
      </c>
      <c r="AE209" s="333">
        <f t="shared" si="118"/>
        <v>44.413683311000071</v>
      </c>
      <c r="AF209" s="334">
        <f t="shared" si="119"/>
        <v>-91.080302723898313</v>
      </c>
      <c r="AH209">
        <f t="shared" si="120"/>
        <v>0</v>
      </c>
      <c r="AI209">
        <f t="shared" si="93"/>
        <v>0</v>
      </c>
    </row>
    <row r="210" spans="1:35" x14ac:dyDescent="0.25">
      <c r="A210" s="335">
        <v>12023</v>
      </c>
      <c r="B210" s="352">
        <f t="shared" si="121"/>
        <v>12.023</v>
      </c>
      <c r="C210" s="325">
        <f t="shared" si="96"/>
        <v>14.604199854746032</v>
      </c>
      <c r="D210" s="326">
        <f t="shared" si="97"/>
        <v>1.5022692524640904</v>
      </c>
      <c r="E210" s="326">
        <f t="shared" si="98"/>
        <v>1.0001141275892984</v>
      </c>
      <c r="F210" s="327">
        <f t="shared" si="99"/>
        <v>1.5107397929481568E-2</v>
      </c>
      <c r="G210" s="326">
        <f t="shared" si="100"/>
        <v>1</v>
      </c>
      <c r="H210" s="327">
        <f t="shared" si="101"/>
        <v>0</v>
      </c>
      <c r="I210" s="325">
        <f t="shared" si="102"/>
        <v>15957.717265358477</v>
      </c>
      <c r="J210" s="328">
        <f t="shared" si="103"/>
        <v>1.5707336611902851</v>
      </c>
      <c r="K210" s="336">
        <f t="shared" si="94"/>
        <v>3.2489339479501185</v>
      </c>
      <c r="L210" s="337">
        <f t="shared" si="95"/>
        <v>1.2579234941347781</v>
      </c>
      <c r="M210" s="325">
        <f t="shared" si="104"/>
        <v>1.0033787905534224</v>
      </c>
      <c r="N210" s="337">
        <f t="shared" si="105"/>
        <v>8.2089029490664586E-2</v>
      </c>
      <c r="O210" s="343">
        <f t="shared" si="106"/>
        <v>1.0024375843443962</v>
      </c>
      <c r="P210" s="691">
        <f t="shared" si="107"/>
        <v>6.9751603674240811E-2</v>
      </c>
      <c r="Q210" s="336">
        <f t="shared" si="122"/>
        <v>15.132102367972356</v>
      </c>
      <c r="R210" s="692">
        <f t="shared" si="108"/>
        <v>3.2597522089103513E-2</v>
      </c>
      <c r="S210" s="329">
        <f t="shared" si="109"/>
        <v>0.99890930248616661</v>
      </c>
      <c r="T210" s="330">
        <f t="shared" si="110"/>
        <v>0.10338706035441995</v>
      </c>
      <c r="U210" s="331">
        <f t="shared" si="111"/>
        <v>10.661495489100275</v>
      </c>
      <c r="V210" s="332">
        <f t="shared" si="112"/>
        <v>-111.62902528849858</v>
      </c>
      <c r="W210" s="334">
        <f t="shared" si="113"/>
        <v>68.370974711501418</v>
      </c>
      <c r="Y210" s="307">
        <f t="shared" si="114"/>
        <v>1000000000</v>
      </c>
      <c r="Z210" s="307">
        <f t="shared" si="115"/>
        <v>144552529</v>
      </c>
      <c r="AB210" s="333">
        <f t="shared" si="116"/>
        <v>23.85332838690795</v>
      </c>
      <c r="AC210" s="334">
        <f t="shared" si="117"/>
        <v>-22.626057321056852</v>
      </c>
      <c r="AE210" s="333">
        <f t="shared" si="118"/>
        <v>44.364405775695403</v>
      </c>
      <c r="AF210" s="334">
        <f t="shared" si="119"/>
        <v>-91.131740036387328</v>
      </c>
      <c r="AH210">
        <f t="shared" si="120"/>
        <v>0</v>
      </c>
      <c r="AI210">
        <f t="shared" si="93"/>
        <v>0</v>
      </c>
    </row>
    <row r="211" spans="1:35" x14ac:dyDescent="0.25">
      <c r="A211" s="335">
        <v>12093</v>
      </c>
      <c r="B211" s="352">
        <f t="shared" si="121"/>
        <v>12.093</v>
      </c>
      <c r="C211" s="325">
        <f t="shared" si="96"/>
        <v>14.688830533936088</v>
      </c>
      <c r="D211" s="326">
        <f t="shared" si="97"/>
        <v>1.502664689616467</v>
      </c>
      <c r="E211" s="326">
        <f t="shared" si="98"/>
        <v>1.000115460322432</v>
      </c>
      <c r="F211" s="327">
        <f t="shared" si="99"/>
        <v>1.519534233166445E-2</v>
      </c>
      <c r="G211" s="326">
        <f t="shared" si="100"/>
        <v>1</v>
      </c>
      <c r="H211" s="327">
        <f t="shared" si="101"/>
        <v>0</v>
      </c>
      <c r="I211" s="325">
        <f t="shared" si="102"/>
        <v>16050.625874208283</v>
      </c>
      <c r="J211" s="328">
        <f t="shared" si="103"/>
        <v>1.5707340239284238</v>
      </c>
      <c r="K211" s="336">
        <f t="shared" si="94"/>
        <v>3.2660624789945816</v>
      </c>
      <c r="L211" s="337">
        <f t="shared" si="95"/>
        <v>1.2596195820924507</v>
      </c>
      <c r="M211" s="325">
        <f t="shared" si="104"/>
        <v>1.0034181816913479</v>
      </c>
      <c r="N211" s="337">
        <f t="shared" si="105"/>
        <v>8.2564803263804221E-2</v>
      </c>
      <c r="O211" s="343">
        <f t="shared" si="106"/>
        <v>1.0024660160402894</v>
      </c>
      <c r="P211" s="691">
        <f t="shared" si="107"/>
        <v>7.0156382256264249E-2</v>
      </c>
      <c r="Q211" s="336">
        <f t="shared" si="122"/>
        <v>15.132193534739608</v>
      </c>
      <c r="R211" s="692">
        <f t="shared" si="108"/>
        <v>3.2787180775904999E-2</v>
      </c>
      <c r="S211" s="329">
        <f t="shared" si="109"/>
        <v>0.99889680211029008</v>
      </c>
      <c r="T211" s="330">
        <f t="shared" si="110"/>
        <v>0.10399247676153678</v>
      </c>
      <c r="U211" s="331">
        <f t="shared" si="111"/>
        <v>10.606527747546469</v>
      </c>
      <c r="V211" s="332">
        <f t="shared" si="112"/>
        <v>-111.59910759908236</v>
      </c>
      <c r="W211" s="334">
        <f t="shared" si="113"/>
        <v>68.400892400917641</v>
      </c>
      <c r="Y211" s="307">
        <f t="shared" si="114"/>
        <v>1000000000</v>
      </c>
      <c r="Z211" s="307">
        <f t="shared" si="115"/>
        <v>146240649</v>
      </c>
      <c r="AB211" s="333">
        <f t="shared" si="116"/>
        <v>23.848235410881664</v>
      </c>
      <c r="AC211" s="334">
        <f t="shared" si="117"/>
        <v>-22.556159251887699</v>
      </c>
      <c r="AE211" s="333">
        <f t="shared" si="118"/>
        <v>44.314336989543087</v>
      </c>
      <c r="AF211" s="334">
        <f t="shared" si="119"/>
        <v>-91.184045878239829</v>
      </c>
      <c r="AH211">
        <f t="shared" si="120"/>
        <v>0</v>
      </c>
      <c r="AI211">
        <f t="shared" si="93"/>
        <v>0</v>
      </c>
    </row>
    <row r="212" spans="1:35" x14ac:dyDescent="0.25">
      <c r="A212" s="335">
        <v>12163</v>
      </c>
      <c r="B212" s="352">
        <f t="shared" si="121"/>
        <v>12.163</v>
      </c>
      <c r="C212" s="325">
        <f t="shared" si="96"/>
        <v>14.77346348371046</v>
      </c>
      <c r="D212" s="326">
        <f t="shared" si="97"/>
        <v>1.5030555961365424</v>
      </c>
      <c r="E212" s="326">
        <f t="shared" si="98"/>
        <v>1.0001168007906562</v>
      </c>
      <c r="F212" s="327">
        <f t="shared" si="99"/>
        <v>1.5283286498781691E-2</v>
      </c>
      <c r="G212" s="326">
        <f t="shared" si="100"/>
        <v>1</v>
      </c>
      <c r="H212" s="327">
        <f t="shared" si="101"/>
        <v>0</v>
      </c>
      <c r="I212" s="325">
        <f t="shared" si="102"/>
        <v>16143.534483060173</v>
      </c>
      <c r="J212" s="328">
        <f t="shared" si="103"/>
        <v>1.5707343824913311</v>
      </c>
      <c r="K212" s="336">
        <f t="shared" si="94"/>
        <v>3.2832003075188312</v>
      </c>
      <c r="L212" s="337">
        <f t="shared" si="95"/>
        <v>1.2612979681710923</v>
      </c>
      <c r="M212" s="325">
        <f t="shared" si="104"/>
        <v>1.0034577999458358</v>
      </c>
      <c r="N212" s="337">
        <f t="shared" si="105"/>
        <v>8.3040539575877176E-2</v>
      </c>
      <c r="O212" s="343">
        <f t="shared" si="106"/>
        <v>1.0024946119765972</v>
      </c>
      <c r="P212" s="691">
        <f t="shared" si="107"/>
        <v>7.0561137812163582E-2</v>
      </c>
      <c r="Q212" s="336">
        <f t="shared" si="122"/>
        <v>15.132285230201411</v>
      </c>
      <c r="R212" s="692">
        <f t="shared" si="108"/>
        <v>3.2976837204659604E-2</v>
      </c>
      <c r="S212" s="329">
        <f t="shared" si="109"/>
        <v>0.99888423469309084</v>
      </c>
      <c r="T212" s="330">
        <f t="shared" si="110"/>
        <v>0.10459795362547865</v>
      </c>
      <c r="U212" s="331">
        <f t="shared" si="111"/>
        <v>10.551923558908815</v>
      </c>
      <c r="V212" s="332">
        <f t="shared" si="112"/>
        <v>-111.56994684824375</v>
      </c>
      <c r="W212" s="334">
        <f t="shared" si="113"/>
        <v>68.430053151756255</v>
      </c>
      <c r="Y212" s="307">
        <f t="shared" si="114"/>
        <v>1000000000</v>
      </c>
      <c r="Z212" s="307">
        <f t="shared" si="115"/>
        <v>147938569</v>
      </c>
      <c r="AB212" s="333">
        <f t="shared" si="116"/>
        <v>23.843217219803869</v>
      </c>
      <c r="AC212" s="334">
        <f t="shared" si="117"/>
        <v>-22.487273040093488</v>
      </c>
      <c r="AE212" s="333">
        <f t="shared" si="118"/>
        <v>44.264555858474857</v>
      </c>
      <c r="AF212" s="334">
        <f t="shared" si="119"/>
        <v>-91.236095611371837</v>
      </c>
      <c r="AH212">
        <f t="shared" si="120"/>
        <v>0</v>
      </c>
      <c r="AI212">
        <f t="shared" si="93"/>
        <v>0</v>
      </c>
    </row>
    <row r="213" spans="1:35" x14ac:dyDescent="0.25">
      <c r="A213" s="335">
        <v>12233</v>
      </c>
      <c r="B213" s="352">
        <f t="shared" si="121"/>
        <v>12.233000000000001</v>
      </c>
      <c r="C213" s="325">
        <f t="shared" si="96"/>
        <v>14.858098665268834</v>
      </c>
      <c r="D213" s="326">
        <f t="shared" si="97"/>
        <v>1.503442049326418</v>
      </c>
      <c r="E213" s="326">
        <f t="shared" si="98"/>
        <v>1.0001181489939392</v>
      </c>
      <c r="F213" s="327">
        <f t="shared" si="99"/>
        <v>1.537123042947389E-2</v>
      </c>
      <c r="G213" s="326">
        <f t="shared" si="100"/>
        <v>1</v>
      </c>
      <c r="H213" s="327">
        <f t="shared" si="101"/>
        <v>0</v>
      </c>
      <c r="I213" s="325">
        <f t="shared" si="102"/>
        <v>16236.443091914118</v>
      </c>
      <c r="J213" s="328">
        <f t="shared" si="103"/>
        <v>1.5707347369506819</v>
      </c>
      <c r="K213" s="336">
        <f t="shared" si="94"/>
        <v>3.3003472886848271</v>
      </c>
      <c r="L213" s="337">
        <f t="shared" si="95"/>
        <v>1.2629589187511474</v>
      </c>
      <c r="M213" s="325">
        <f t="shared" si="104"/>
        <v>1.0034976452899869</v>
      </c>
      <c r="N213" s="337">
        <f t="shared" si="105"/>
        <v>8.3516238215991037E-2</v>
      </c>
      <c r="O213" s="343">
        <f t="shared" si="106"/>
        <v>1.0025233721392648</v>
      </c>
      <c r="P213" s="691">
        <f t="shared" si="107"/>
        <v>7.0965870211295065E-2</v>
      </c>
      <c r="Q213" s="336">
        <f t="shared" si="122"/>
        <v>15.132377454348164</v>
      </c>
      <c r="R213" s="692">
        <f t="shared" si="108"/>
        <v>3.316649136235171E-2</v>
      </c>
      <c r="S213" s="329">
        <f t="shared" si="109"/>
        <v>0.99887160033075539</v>
      </c>
      <c r="T213" s="330">
        <f t="shared" si="110"/>
        <v>0.10520349129232696</v>
      </c>
      <c r="U213" s="331">
        <f t="shared" si="111"/>
        <v>10.497678055463027</v>
      </c>
      <c r="V213" s="332">
        <f t="shared" si="112"/>
        <v>-111.54153222126156</v>
      </c>
      <c r="W213" s="334">
        <f t="shared" si="113"/>
        <v>68.458467778738438</v>
      </c>
      <c r="Y213" s="307">
        <f t="shared" si="114"/>
        <v>1000000000</v>
      </c>
      <c r="Z213" s="307">
        <f t="shared" si="115"/>
        <v>149646289</v>
      </c>
      <c r="AB213" s="333">
        <f t="shared" si="116"/>
        <v>23.83827219562496</v>
      </c>
      <c r="AC213" s="334">
        <f t="shared" si="117"/>
        <v>-22.419383415222402</v>
      </c>
      <c r="AE213" s="333">
        <f t="shared" si="118"/>
        <v>44.215059133048172</v>
      </c>
      <c r="AF213" s="334">
        <f t="shared" si="119"/>
        <v>-91.287893684774417</v>
      </c>
      <c r="AH213">
        <f t="shared" si="120"/>
        <v>0</v>
      </c>
      <c r="AI213">
        <f t="shared" si="93"/>
        <v>0</v>
      </c>
    </row>
    <row r="214" spans="1:35" x14ac:dyDescent="0.25">
      <c r="A214" s="335">
        <v>12303</v>
      </c>
      <c r="B214" s="352">
        <f t="shared" si="121"/>
        <v>12.303000000000001</v>
      </c>
      <c r="C214" s="325">
        <f t="shared" si="96"/>
        <v>14.942736040688954</v>
      </c>
      <c r="D214" s="326">
        <f t="shared" si="97"/>
        <v>1.5038241247421951</v>
      </c>
      <c r="E214" s="326">
        <f t="shared" si="98"/>
        <v>1.0001195049322502</v>
      </c>
      <c r="F214" s="327">
        <f t="shared" si="99"/>
        <v>1.5459174122381663E-2</v>
      </c>
      <c r="G214" s="326">
        <f t="shared" si="100"/>
        <v>1</v>
      </c>
      <c r="H214" s="327">
        <f t="shared" si="101"/>
        <v>0</v>
      </c>
      <c r="I214" s="325">
        <f t="shared" si="102"/>
        <v>16329.351700770078</v>
      </c>
      <c r="J214" s="328">
        <f t="shared" si="103"/>
        <v>1.5707350873765198</v>
      </c>
      <c r="K214" s="336">
        <f t="shared" si="94"/>
        <v>3.3175032805724332</v>
      </c>
      <c r="L214" s="337">
        <f t="shared" si="95"/>
        <v>1.2646026950920966</v>
      </c>
      <c r="M214" s="325">
        <f t="shared" si="104"/>
        <v>1.003537717696751</v>
      </c>
      <c r="N214" s="337">
        <f t="shared" si="105"/>
        <v>8.39918989733551E-2</v>
      </c>
      <c r="O214" s="343">
        <f t="shared" si="106"/>
        <v>1.0025522965141589</v>
      </c>
      <c r="P214" s="691">
        <f t="shared" si="107"/>
        <v>7.1370579323060263E-2</v>
      </c>
      <c r="Q214" s="336">
        <f t="shared" si="122"/>
        <v>15.13247020717021</v>
      </c>
      <c r="R214" s="692">
        <f t="shared" si="108"/>
        <v>3.3356143235966661E-2</v>
      </c>
      <c r="S214" s="329">
        <f t="shared" si="109"/>
        <v>0.99885889912003056</v>
      </c>
      <c r="T214" s="330">
        <f t="shared" si="110"/>
        <v>0.10580909010809379</v>
      </c>
      <c r="U214" s="331">
        <f t="shared" si="111"/>
        <v>10.44378646587856</v>
      </c>
      <c r="V214" s="332">
        <f t="shared" si="112"/>
        <v>-111.51385309669172</v>
      </c>
      <c r="W214" s="334">
        <f t="shared" si="113"/>
        <v>68.486146903308281</v>
      </c>
      <c r="Y214" s="307">
        <f t="shared" si="114"/>
        <v>1000000000</v>
      </c>
      <c r="Z214" s="307">
        <f t="shared" si="115"/>
        <v>151363809</v>
      </c>
      <c r="AB214" s="333">
        <f t="shared" si="116"/>
        <v>23.833398762105617</v>
      </c>
      <c r="AC214" s="334">
        <f t="shared" si="117"/>
        <v>-22.352475400144598</v>
      </c>
      <c r="AE214" s="333">
        <f t="shared" si="118"/>
        <v>44.165843618405205</v>
      </c>
      <c r="AF214" s="334">
        <f t="shared" si="119"/>
        <v>-91.339444447396204</v>
      </c>
      <c r="AH214">
        <f t="shared" si="120"/>
        <v>0</v>
      </c>
      <c r="AI214">
        <f t="shared" si="93"/>
        <v>0</v>
      </c>
    </row>
    <row r="215" spans="1:35" x14ac:dyDescent="0.25">
      <c r="A215" s="335">
        <v>12374.5</v>
      </c>
      <c r="B215" s="352">
        <f t="shared" si="121"/>
        <v>12.374499999999999</v>
      </c>
      <c r="C215" s="325">
        <f t="shared" si="96"/>
        <v>15.029189300498615</v>
      </c>
      <c r="D215" s="326">
        <f t="shared" si="97"/>
        <v>1.5042099447803885</v>
      </c>
      <c r="E215" s="326">
        <f t="shared" si="98"/>
        <v>1.000120897911779</v>
      </c>
      <c r="F215" s="327">
        <f t="shared" si="99"/>
        <v>1.5549002076099125E-2</v>
      </c>
      <c r="G215" s="326">
        <f t="shared" si="100"/>
        <v>1</v>
      </c>
      <c r="H215" s="327">
        <f t="shared" si="101"/>
        <v>0</v>
      </c>
      <c r="I215" s="325">
        <f t="shared" si="102"/>
        <v>16424.251208389283</v>
      </c>
      <c r="J215" s="328">
        <f t="shared" si="103"/>
        <v>1.5707354412185663</v>
      </c>
      <c r="K215" s="336">
        <f t="shared" ref="K215:K278" si="123">SQRT(1+(A215/Zero2)^2)</f>
        <v>3.3350360586928405</v>
      </c>
      <c r="L215" s="337">
        <f t="shared" ref="L215:L278" si="124">ATAN(A215/Zero2)</f>
        <v>1.2662642314141614</v>
      </c>
      <c r="M215" s="325">
        <f t="shared" si="104"/>
        <v>1.0035788831828505</v>
      </c>
      <c r="N215" s="337">
        <f t="shared" si="105"/>
        <v>8.4477713133064708E-2</v>
      </c>
      <c r="O215" s="343">
        <f t="shared" si="106"/>
        <v>1.0025820102104872</v>
      </c>
      <c r="P215" s="691">
        <f t="shared" si="107"/>
        <v>7.1783936595957665E-2</v>
      </c>
      <c r="Q215" s="336">
        <f t="shared" si="122"/>
        <v>15.132565493332434</v>
      </c>
      <c r="R215" s="692">
        <f t="shared" si="108"/>
        <v>3.3549856706752652E-2</v>
      </c>
      <c r="S215" s="329">
        <f t="shared" si="109"/>
        <v>0.99884585682924831</v>
      </c>
      <c r="T215" s="330">
        <f t="shared" si="110"/>
        <v>0.10642772952949173</v>
      </c>
      <c r="U215" s="331">
        <f t="shared" si="111"/>
        <v>10.389100564621112</v>
      </c>
      <c r="V215" s="332">
        <f t="shared" si="112"/>
        <v>-111.48632931477229</v>
      </c>
      <c r="W215" s="334">
        <f t="shared" si="113"/>
        <v>68.513670685227709</v>
      </c>
      <c r="Y215" s="307">
        <f t="shared" si="114"/>
        <v>1000000000</v>
      </c>
      <c r="Z215" s="307">
        <f t="shared" si="115"/>
        <v>153128250.25</v>
      </c>
      <c r="AB215" s="333">
        <f t="shared" si="116"/>
        <v>23.828493209575299</v>
      </c>
      <c r="AC215" s="334">
        <f t="shared" si="117"/>
        <v>-22.285131755940583</v>
      </c>
      <c r="AE215" s="333">
        <f t="shared" si="118"/>
        <v>44.115860533802149</v>
      </c>
      <c r="AF215" s="334">
        <f t="shared" si="119"/>
        <v>-91.391848972552367</v>
      </c>
      <c r="AH215">
        <f t="shared" si="120"/>
        <v>0</v>
      </c>
      <c r="AI215">
        <f t="shared" si="93"/>
        <v>0</v>
      </c>
    </row>
    <row r="216" spans="1:35" x14ac:dyDescent="0.25">
      <c r="A216" s="335">
        <v>12446</v>
      </c>
      <c r="B216" s="352">
        <f t="shared" si="121"/>
        <v>12.446</v>
      </c>
      <c r="C216" s="325">
        <f t="shared" si="96"/>
        <v>15.115644771918493</v>
      </c>
      <c r="D216" s="326">
        <f t="shared" si="97"/>
        <v>1.5045913514007259</v>
      </c>
      <c r="E216" s="326">
        <f t="shared" si="98"/>
        <v>1.0001222989613221</v>
      </c>
      <c r="F216" s="327">
        <f t="shared" si="99"/>
        <v>1.5638829778865364E-2</v>
      </c>
      <c r="G216" s="326">
        <f t="shared" si="100"/>
        <v>1</v>
      </c>
      <c r="H216" s="327">
        <f t="shared" si="101"/>
        <v>0</v>
      </c>
      <c r="I216" s="325">
        <f t="shared" si="102"/>
        <v>16519.150716010521</v>
      </c>
      <c r="J216" s="328">
        <f t="shared" si="103"/>
        <v>1.5707357909950965</v>
      </c>
      <c r="K216" s="336">
        <f t="shared" si="123"/>
        <v>3.3525779475433315</v>
      </c>
      <c r="L216" s="337">
        <f t="shared" si="124"/>
        <v>1.2679083847292214</v>
      </c>
      <c r="M216" s="325">
        <f t="shared" si="104"/>
        <v>1.0036202855095557</v>
      </c>
      <c r="N216" s="337">
        <f t="shared" si="105"/>
        <v>8.4963487324853815E-2</v>
      </c>
      <c r="O216" s="343">
        <f t="shared" si="106"/>
        <v>1.0026118952020528</v>
      </c>
      <c r="P216" s="691">
        <f t="shared" si="107"/>
        <v>7.2197269297480438E-2</v>
      </c>
      <c r="Q216" s="336">
        <f t="shared" si="122"/>
        <v>15.132661331049675</v>
      </c>
      <c r="R216" s="692">
        <f t="shared" si="108"/>
        <v>3.3743567767078958E-2</v>
      </c>
      <c r="S216" s="329">
        <f t="shared" si="109"/>
        <v>0.99883274500027963</v>
      </c>
      <c r="T216" s="330">
        <f t="shared" si="110"/>
        <v>0.1070464334780668</v>
      </c>
      <c r="U216" s="331">
        <f t="shared" si="111"/>
        <v>10.334774141732993</v>
      </c>
      <c r="V216" s="332">
        <f t="shared" si="112"/>
        <v>-111.45955109388413</v>
      </c>
      <c r="W216" s="334">
        <f t="shared" si="113"/>
        <v>68.54044890611587</v>
      </c>
      <c r="Y216" s="307">
        <f t="shared" si="114"/>
        <v>1000000000</v>
      </c>
      <c r="Z216" s="307">
        <f t="shared" si="115"/>
        <v>154902916</v>
      </c>
      <c r="AB216" s="333">
        <f t="shared" si="116"/>
        <v>23.823659152456273</v>
      </c>
      <c r="AC216" s="334">
        <f t="shared" si="117"/>
        <v>-22.218781561744237</v>
      </c>
      <c r="AE216" s="333">
        <f t="shared" si="118"/>
        <v>44.066164272049619</v>
      </c>
      <c r="AF216" s="334">
        <f t="shared" si="119"/>
        <v>-91.444004339005204</v>
      </c>
      <c r="AH216">
        <f t="shared" si="120"/>
        <v>0</v>
      </c>
      <c r="AI216">
        <f t="shared" si="93"/>
        <v>0</v>
      </c>
    </row>
    <row r="217" spans="1:35" x14ac:dyDescent="0.25">
      <c r="A217" s="335">
        <v>12517.5</v>
      </c>
      <c r="B217" s="352">
        <f t="shared" si="121"/>
        <v>12.5175</v>
      </c>
      <c r="C217" s="325">
        <f t="shared" si="96"/>
        <v>15.202102417215825</v>
      </c>
      <c r="D217" s="326">
        <f t="shared" si="97"/>
        <v>1.504968419791469</v>
      </c>
      <c r="E217" s="326">
        <f t="shared" si="98"/>
        <v>1.0001237080808456</v>
      </c>
      <c r="F217" s="327">
        <f t="shared" si="99"/>
        <v>1.5728657229231793E-2</v>
      </c>
      <c r="G217" s="326">
        <f t="shared" si="100"/>
        <v>1</v>
      </c>
      <c r="H217" s="327">
        <f t="shared" si="101"/>
        <v>0</v>
      </c>
      <c r="I217" s="325">
        <f t="shared" si="102"/>
        <v>16614.050223633756</v>
      </c>
      <c r="J217" s="328">
        <f t="shared" si="103"/>
        <v>1.5707361367757777</v>
      </c>
      <c r="K217" s="336">
        <f t="shared" si="123"/>
        <v>3.3701288048568712</v>
      </c>
      <c r="L217" s="337">
        <f t="shared" si="124"/>
        <v>1.2695354176582478</v>
      </c>
      <c r="M217" s="325">
        <f t="shared" si="104"/>
        <v>1.0036619246475575</v>
      </c>
      <c r="N217" s="337">
        <f t="shared" si="105"/>
        <v>8.5449221324420274E-2</v>
      </c>
      <c r="O217" s="343">
        <f t="shared" si="106"/>
        <v>1.002641951473539</v>
      </c>
      <c r="P217" s="691">
        <f t="shared" si="107"/>
        <v>7.2610577288601277E-2</v>
      </c>
      <c r="Q217" s="336">
        <f t="shared" si="122"/>
        <v>15.132757720311471</v>
      </c>
      <c r="R217" s="692">
        <f t="shared" si="108"/>
        <v>3.3937276403079288E-2</v>
      </c>
      <c r="S217" s="329">
        <f t="shared" si="109"/>
        <v>0.99881956373803926</v>
      </c>
      <c r="T217" s="330">
        <f t="shared" si="110"/>
        <v>0.10766520232232722</v>
      </c>
      <c r="U217" s="331">
        <f t="shared" si="111"/>
        <v>10.280802408177374</v>
      </c>
      <c r="V217" s="332">
        <f t="shared" si="112"/>
        <v>-111.43350771443224</v>
      </c>
      <c r="W217" s="334">
        <f t="shared" si="113"/>
        <v>68.566492285567762</v>
      </c>
      <c r="Y217" s="307">
        <f t="shared" si="114"/>
        <v>1000000000</v>
      </c>
      <c r="Z217" s="307">
        <f t="shared" si="115"/>
        <v>156687806.25</v>
      </c>
      <c r="AB217" s="333">
        <f t="shared" si="116"/>
        <v>23.818895038007085</v>
      </c>
      <c r="AC217" s="334">
        <f t="shared" si="117"/>
        <v>-22.153409761622346</v>
      </c>
      <c r="AE217" s="333">
        <f t="shared" si="118"/>
        <v>44.016751597105156</v>
      </c>
      <c r="AF217" s="334">
        <f t="shared" si="119"/>
        <v>-91.495914875921784</v>
      </c>
      <c r="AH217">
        <f t="shared" si="120"/>
        <v>0</v>
      </c>
      <c r="AI217">
        <f t="shared" si="93"/>
        <v>0</v>
      </c>
    </row>
    <row r="218" spans="1:35" x14ac:dyDescent="0.25">
      <c r="A218" s="335">
        <v>12589</v>
      </c>
      <c r="B218" s="352">
        <f t="shared" si="121"/>
        <v>12.589</v>
      </c>
      <c r="C218" s="325">
        <f t="shared" si="96"/>
        <v>15.288562199510421</v>
      </c>
      <c r="D218" s="326">
        <f t="shared" si="97"/>
        <v>1.5053412234450616</v>
      </c>
      <c r="E218" s="326">
        <f t="shared" si="98"/>
        <v>1.0001251252703154</v>
      </c>
      <c r="F218" s="327">
        <f t="shared" si="99"/>
        <v>1.5818484425749853E-2</v>
      </c>
      <c r="G218" s="326">
        <f t="shared" si="100"/>
        <v>1</v>
      </c>
      <c r="H218" s="327">
        <f t="shared" si="101"/>
        <v>0</v>
      </c>
      <c r="I218" s="325">
        <f t="shared" si="102"/>
        <v>16708.949731258963</v>
      </c>
      <c r="J218" s="328">
        <f t="shared" si="103"/>
        <v>1.5707364786286935</v>
      </c>
      <c r="K218" s="336">
        <f t="shared" si="123"/>
        <v>3.3876884912426521</v>
      </c>
      <c r="L218" s="337">
        <f t="shared" si="124"/>
        <v>1.2711455877439137</v>
      </c>
      <c r="M218" s="325">
        <f t="shared" si="104"/>
        <v>1.0037038005673828</v>
      </c>
      <c r="N218" s="337">
        <f t="shared" si="105"/>
        <v>8.593491490757478E-2</v>
      </c>
      <c r="O218" s="343">
        <f t="shared" si="106"/>
        <v>1.0026721790095425</v>
      </c>
      <c r="P218" s="691">
        <f t="shared" si="107"/>
        <v>7.3023860430343326E-2</v>
      </c>
      <c r="Q218" s="336">
        <f t="shared" si="122"/>
        <v>15.132854661107281</v>
      </c>
      <c r="R218" s="692">
        <f t="shared" si="108"/>
        <v>3.4130982600888468E-2</v>
      </c>
      <c r="S218" s="329">
        <f t="shared" si="109"/>
        <v>0.99880631314805324</v>
      </c>
      <c r="T218" s="330">
        <f t="shared" si="110"/>
        <v>0.10828403643070363</v>
      </c>
      <c r="U218" s="331">
        <f t="shared" si="111"/>
        <v>10.227180669433523</v>
      </c>
      <c r="V218" s="332">
        <f t="shared" si="112"/>
        <v>-111.408188650532</v>
      </c>
      <c r="W218" s="334">
        <f t="shared" si="113"/>
        <v>68.591811349468003</v>
      </c>
      <c r="Y218" s="307">
        <f t="shared" si="114"/>
        <v>1000000000</v>
      </c>
      <c r="Z218" s="307">
        <f t="shared" si="115"/>
        <v>158482921</v>
      </c>
      <c r="AB218" s="333">
        <f t="shared" si="116"/>
        <v>23.814199353696928</v>
      </c>
      <c r="AC218" s="334">
        <f t="shared" si="117"/>
        <v>-22.089001590522503</v>
      </c>
      <c r="AE218" s="333">
        <f t="shared" si="118"/>
        <v>43.967619327233145</v>
      </c>
      <c r="AF218" s="334">
        <f t="shared" si="119"/>
        <v>-91.547584815301477</v>
      </c>
      <c r="AH218">
        <f t="shared" si="120"/>
        <v>0</v>
      </c>
      <c r="AI218">
        <f t="shared" ref="AI218:AI281" si="125">IF(AH218&gt;0,W218,0)</f>
        <v>0</v>
      </c>
    </row>
    <row r="219" spans="1:35" x14ac:dyDescent="0.25">
      <c r="A219" s="335">
        <v>12662.25</v>
      </c>
      <c r="B219" s="352">
        <f t="shared" si="121"/>
        <v>12.66225</v>
      </c>
      <c r="C219" s="325">
        <f t="shared" si="96"/>
        <v>15.377140308730548</v>
      </c>
      <c r="D219" s="326">
        <f t="shared" si="97"/>
        <v>1.5057188041773157</v>
      </c>
      <c r="E219" s="326">
        <f t="shared" si="98"/>
        <v>1.0001265855148425</v>
      </c>
      <c r="F219" s="327">
        <f t="shared" si="99"/>
        <v>1.5910509925256444E-2</v>
      </c>
      <c r="G219" s="326">
        <f t="shared" si="100"/>
        <v>1</v>
      </c>
      <c r="H219" s="327">
        <f t="shared" si="101"/>
        <v>0</v>
      </c>
      <c r="I219" s="325">
        <f t="shared" si="102"/>
        <v>16806.171954107758</v>
      </c>
      <c r="J219" s="328">
        <f t="shared" si="103"/>
        <v>1.5707368248450582</v>
      </c>
      <c r="K219" s="336">
        <f t="shared" si="123"/>
        <v>3.4056869732449488</v>
      </c>
      <c r="L219" s="337">
        <f t="shared" si="124"/>
        <v>1.272777944638473</v>
      </c>
      <c r="M219" s="325">
        <f t="shared" si="104"/>
        <v>1.0037469469371092</v>
      </c>
      <c r="N219" s="337">
        <f t="shared" si="105"/>
        <v>8.6432453949310026E-2</v>
      </c>
      <c r="O219" s="343">
        <f t="shared" si="106"/>
        <v>1.0027033239676486</v>
      </c>
      <c r="P219" s="691">
        <f t="shared" si="107"/>
        <v>7.3447232979368879E-2</v>
      </c>
      <c r="Q219" s="336">
        <f t="shared" si="122"/>
        <v>15.132954546516688</v>
      </c>
      <c r="R219" s="692">
        <f t="shared" si="108"/>
        <v>3.4329427316553113E-2</v>
      </c>
      <c r="S219" s="329">
        <f t="shared" si="109"/>
        <v>0.99879266646013531</v>
      </c>
      <c r="T219" s="330">
        <f t="shared" si="110"/>
        <v>0.10891808489327238</v>
      </c>
      <c r="U219" s="331">
        <f t="shared" si="111"/>
        <v>10.172604648471131</v>
      </c>
      <c r="V219" s="332">
        <f t="shared" si="112"/>
        <v>-111.38299020877643</v>
      </c>
      <c r="W219" s="334">
        <f t="shared" si="113"/>
        <v>68.617009791223566</v>
      </c>
      <c r="Y219" s="307">
        <f t="shared" si="114"/>
        <v>1000000000</v>
      </c>
      <c r="Z219" s="307">
        <f t="shared" si="115"/>
        <v>160332575.0625</v>
      </c>
      <c r="AB219" s="333">
        <f t="shared" si="116"/>
        <v>23.809458162673071</v>
      </c>
      <c r="AC219" s="334">
        <f t="shared" si="117"/>
        <v>-22.024001153701803</v>
      </c>
      <c r="AE219" s="333">
        <f t="shared" si="118"/>
        <v>43.917572032372291</v>
      </c>
      <c r="AF219" s="334">
        <f t="shared" si="119"/>
        <v>-91.600274225927947</v>
      </c>
      <c r="AH219">
        <f t="shared" si="120"/>
        <v>0</v>
      </c>
      <c r="AI219">
        <f t="shared" si="125"/>
        <v>0</v>
      </c>
    </row>
    <row r="220" spans="1:35" x14ac:dyDescent="0.25">
      <c r="A220" s="335">
        <v>12735.5</v>
      </c>
      <c r="B220" s="352">
        <f t="shared" si="121"/>
        <v>12.7355</v>
      </c>
      <c r="C220" s="325">
        <f t="shared" si="96"/>
        <v>15.465720585114466</v>
      </c>
      <c r="D220" s="326">
        <f t="shared" si="97"/>
        <v>1.5060920597573266</v>
      </c>
      <c r="E220" s="326">
        <f t="shared" si="98"/>
        <v>1.0001280542291093</v>
      </c>
      <c r="F220" s="327">
        <f t="shared" si="99"/>
        <v>1.6002535155258648E-2</v>
      </c>
      <c r="G220" s="326">
        <f t="shared" si="100"/>
        <v>1</v>
      </c>
      <c r="H220" s="327">
        <f t="shared" si="101"/>
        <v>0</v>
      </c>
      <c r="I220" s="325">
        <f t="shared" si="102"/>
        <v>16903.394176958551</v>
      </c>
      <c r="J220" s="328">
        <f t="shared" si="103"/>
        <v>1.5707371670787997</v>
      </c>
      <c r="K220" s="336">
        <f t="shared" si="123"/>
        <v>3.4236944345767548</v>
      </c>
      <c r="L220" s="337">
        <f t="shared" si="124"/>
        <v>1.274393134521679</v>
      </c>
      <c r="M220" s="325">
        <f t="shared" si="104"/>
        <v>1.003790341758076</v>
      </c>
      <c r="N220" s="337">
        <f t="shared" si="105"/>
        <v>8.6929950096007472E-2</v>
      </c>
      <c r="O220" s="343">
        <f t="shared" si="106"/>
        <v>1.0027346486434421</v>
      </c>
      <c r="P220" s="691">
        <f t="shared" si="107"/>
        <v>7.3870579152593263E-2</v>
      </c>
      <c r="Q220" s="336">
        <f t="shared" si="122"/>
        <v>15.13305501076611</v>
      </c>
      <c r="R220" s="692">
        <f t="shared" si="108"/>
        <v>3.4527869443756784E-2</v>
      </c>
      <c r="S220" s="329">
        <f t="shared" si="109"/>
        <v>0.99877894723546312</v>
      </c>
      <c r="T220" s="330">
        <f t="shared" si="110"/>
        <v>0.10955220263638547</v>
      </c>
      <c r="U220" s="331">
        <f t="shared" si="111"/>
        <v>10.118386283428809</v>
      </c>
      <c r="V220" s="332">
        <f t="shared" si="112"/>
        <v>-111.35853021329613</v>
      </c>
      <c r="W220" s="334">
        <f t="shared" si="113"/>
        <v>68.641469786703865</v>
      </c>
      <c r="Y220" s="307">
        <f t="shared" si="114"/>
        <v>1000000000</v>
      </c>
      <c r="Z220" s="307">
        <f t="shared" si="115"/>
        <v>162192960.25</v>
      </c>
      <c r="AB220" s="333">
        <f t="shared" si="116"/>
        <v>23.804785702832064</v>
      </c>
      <c r="AC220" s="334">
        <f t="shared" si="117"/>
        <v>-21.959981628287508</v>
      </c>
      <c r="AE220" s="333">
        <f t="shared" si="118"/>
        <v>43.867812445734955</v>
      </c>
      <c r="AF220" s="334">
        <f t="shared" si="119"/>
        <v>-91.652719808509104</v>
      </c>
      <c r="AH220">
        <f t="shared" si="120"/>
        <v>0</v>
      </c>
      <c r="AI220">
        <f t="shared" si="125"/>
        <v>0</v>
      </c>
    </row>
    <row r="221" spans="1:35" x14ac:dyDescent="0.25">
      <c r="A221" s="335">
        <v>12808.75</v>
      </c>
      <c r="B221" s="352">
        <f t="shared" si="121"/>
        <v>12.80875</v>
      </c>
      <c r="C221" s="325">
        <f t="shared" si="96"/>
        <v>15.554302991636801</v>
      </c>
      <c r="D221" s="326">
        <f t="shared" si="97"/>
        <v>1.5064610639759606</v>
      </c>
      <c r="E221" s="326">
        <f t="shared" si="98"/>
        <v>1.0001295314130787</v>
      </c>
      <c r="F221" s="327">
        <f t="shared" si="99"/>
        <v>1.6094560114199002E-2</v>
      </c>
      <c r="G221" s="326">
        <f t="shared" si="100"/>
        <v>1</v>
      </c>
      <c r="H221" s="327">
        <f t="shared" si="101"/>
        <v>0</v>
      </c>
      <c r="I221" s="325">
        <f t="shared" si="102"/>
        <v>17000.616399811293</v>
      </c>
      <c r="J221" s="328">
        <f t="shared" si="103"/>
        <v>1.5707375053982449</v>
      </c>
      <c r="K221" s="336">
        <f t="shared" si="123"/>
        <v>3.4417107342951461</v>
      </c>
      <c r="L221" s="337">
        <f t="shared" si="124"/>
        <v>1.2759914184913139</v>
      </c>
      <c r="M221" s="325">
        <f t="shared" si="104"/>
        <v>1.0038339849980618</v>
      </c>
      <c r="N221" s="337">
        <f t="shared" si="105"/>
        <v>8.7427403106983131E-2</v>
      </c>
      <c r="O221" s="343">
        <f t="shared" si="106"/>
        <v>1.0027661530200802</v>
      </c>
      <c r="P221" s="691">
        <f t="shared" si="107"/>
        <v>7.4293898800749533E-2</v>
      </c>
      <c r="Q221" s="336">
        <f t="shared" si="122"/>
        <v>15.133156053844035</v>
      </c>
      <c r="R221" s="692">
        <f t="shared" si="108"/>
        <v>3.4726308967594599E-2</v>
      </c>
      <c r="S221" s="329">
        <f t="shared" si="109"/>
        <v>0.99876515558949897</v>
      </c>
      <c r="T221" s="330">
        <f t="shared" si="110"/>
        <v>0.11018639005593657</v>
      </c>
      <c r="U221" s="331">
        <f t="shared" si="111"/>
        <v>10.064520819509752</v>
      </c>
      <c r="V221" s="332">
        <f t="shared" si="112"/>
        <v>-111.33479795279071</v>
      </c>
      <c r="W221" s="334">
        <f t="shared" si="113"/>
        <v>68.665202047209291</v>
      </c>
      <c r="Y221" s="307">
        <f t="shared" si="114"/>
        <v>1000000000</v>
      </c>
      <c r="Z221" s="307">
        <f t="shared" si="115"/>
        <v>164064076.5625</v>
      </c>
      <c r="AB221" s="333">
        <f t="shared" si="116"/>
        <v>23.800180471249423</v>
      </c>
      <c r="AC221" s="334">
        <f t="shared" si="117"/>
        <v>-21.896928044603271</v>
      </c>
      <c r="AE221" s="333">
        <f t="shared" si="118"/>
        <v>43.818337315726851</v>
      </c>
      <c r="AF221" s="334">
        <f t="shared" si="119"/>
        <v>-91.704925813722411</v>
      </c>
      <c r="AH221">
        <f t="shared" si="120"/>
        <v>0</v>
      </c>
      <c r="AI221">
        <f t="shared" si="125"/>
        <v>0</v>
      </c>
    </row>
    <row r="222" spans="1:35" x14ac:dyDescent="0.25">
      <c r="A222" s="335">
        <v>12882</v>
      </c>
      <c r="B222" s="352">
        <f t="shared" si="121"/>
        <v>12.882</v>
      </c>
      <c r="C222" s="325">
        <f t="shared" si="96"/>
        <v>15.642887492109965</v>
      </c>
      <c r="D222" s="326">
        <f t="shared" si="97"/>
        <v>1.5068258889572872</v>
      </c>
      <c r="E222" s="326">
        <f t="shared" si="98"/>
        <v>1.0001310170667128</v>
      </c>
      <c r="F222" s="327">
        <f t="shared" si="99"/>
        <v>1.6186584800520064E-2</v>
      </c>
      <c r="G222" s="326">
        <f t="shared" si="100"/>
        <v>1</v>
      </c>
      <c r="H222" s="327">
        <f t="shared" si="101"/>
        <v>0</v>
      </c>
      <c r="I222" s="325">
        <f t="shared" si="102"/>
        <v>17097.838622665964</v>
      </c>
      <c r="J222" s="328">
        <f t="shared" si="103"/>
        <v>1.5707378398701666</v>
      </c>
      <c r="K222" s="336">
        <f t="shared" si="123"/>
        <v>3.4597357343245303</v>
      </c>
      <c r="L222" s="337">
        <f t="shared" si="124"/>
        <v>1.2775730525534583</v>
      </c>
      <c r="M222" s="325">
        <f t="shared" si="104"/>
        <v>1.0038778766246668</v>
      </c>
      <c r="N222" s="337">
        <f t="shared" si="105"/>
        <v>8.7924812741680097E-2</v>
      </c>
      <c r="O222" s="343">
        <f t="shared" si="106"/>
        <v>1.0027978370806268</v>
      </c>
      <c r="P222" s="691">
        <f t="shared" si="107"/>
        <v>7.4717191774627503E-2</v>
      </c>
      <c r="Q222" s="336">
        <f t="shared" si="122"/>
        <v>15.133257675738873</v>
      </c>
      <c r="R222" s="692">
        <f t="shared" si="108"/>
        <v>3.4924745873162827E-2</v>
      </c>
      <c r="S222" s="329">
        <f t="shared" si="109"/>
        <v>0.99875129163837972</v>
      </c>
      <c r="T222" s="330">
        <f t="shared" si="110"/>
        <v>0.11082064754773141</v>
      </c>
      <c r="U222" s="331">
        <f t="shared" si="111"/>
        <v>10.011003595704906</v>
      </c>
      <c r="V222" s="332">
        <f t="shared" si="112"/>
        <v>-111.31178291210226</v>
      </c>
      <c r="W222" s="334">
        <f t="shared" si="113"/>
        <v>68.68821708789774</v>
      </c>
      <c r="Y222" s="307">
        <f t="shared" si="114"/>
        <v>1000000000</v>
      </c>
      <c r="Z222" s="307">
        <f t="shared" si="115"/>
        <v>165945924</v>
      </c>
      <c r="AB222" s="333">
        <f t="shared" si="116"/>
        <v>23.795641004115836</v>
      </c>
      <c r="AC222" s="334">
        <f t="shared" si="117"/>
        <v>-21.834825724624064</v>
      </c>
      <c r="AE222" s="333">
        <f t="shared" si="118"/>
        <v>43.769143445427815</v>
      </c>
      <c r="AF222" s="334">
        <f t="shared" si="119"/>
        <v>-91.756896396739947</v>
      </c>
      <c r="AH222">
        <f t="shared" si="120"/>
        <v>0</v>
      </c>
      <c r="AI222">
        <f t="shared" si="125"/>
        <v>0</v>
      </c>
    </row>
    <row r="223" spans="1:35" x14ac:dyDescent="0.25">
      <c r="A223" s="335">
        <v>12957.25</v>
      </c>
      <c r="B223" s="352">
        <f t="shared" si="121"/>
        <v>12.95725</v>
      </c>
      <c r="C223" s="325">
        <f t="shared" si="96"/>
        <v>15.733892825341464</v>
      </c>
      <c r="D223" s="326">
        <f t="shared" si="97"/>
        <v>1.5071963971465032</v>
      </c>
      <c r="E223" s="326">
        <f t="shared" si="98"/>
        <v>1.0001325521039319</v>
      </c>
      <c r="F223" s="327">
        <f t="shared" si="99"/>
        <v>1.6281121820740117E-2</v>
      </c>
      <c r="G223" s="326">
        <f t="shared" si="100"/>
        <v>1</v>
      </c>
      <c r="H223" s="327">
        <f t="shared" si="101"/>
        <v>0</v>
      </c>
      <c r="I223" s="325">
        <f t="shared" si="102"/>
        <v>17197.71537720464</v>
      </c>
      <c r="J223" s="328">
        <f t="shared" si="103"/>
        <v>1.5707381795364597</v>
      </c>
      <c r="K223" s="336">
        <f t="shared" si="123"/>
        <v>3.4782618022737677</v>
      </c>
      <c r="L223" s="337">
        <f t="shared" si="124"/>
        <v>1.2791807968943214</v>
      </c>
      <c r="M223" s="325">
        <f t="shared" si="104"/>
        <v>1.0039232252752597</v>
      </c>
      <c r="N223" s="337">
        <f t="shared" si="105"/>
        <v>8.843575810521917E-2</v>
      </c>
      <c r="O223" s="343">
        <f t="shared" si="106"/>
        <v>1.0028305733270324</v>
      </c>
      <c r="P223" s="691">
        <f t="shared" si="107"/>
        <v>7.5152014302433262E-2</v>
      </c>
      <c r="Q223" s="336">
        <f t="shared" si="122"/>
        <v>15.133362675019198</v>
      </c>
      <c r="R223" s="692">
        <f t="shared" si="108"/>
        <v>3.512859810909999E-2</v>
      </c>
      <c r="S223" s="329">
        <f t="shared" si="109"/>
        <v>0.99873697397868533</v>
      </c>
      <c r="T223" s="330">
        <f t="shared" si="110"/>
        <v>0.11147229603426104</v>
      </c>
      <c r="U223" s="331">
        <f t="shared" si="111"/>
        <v>9.9563829819306662</v>
      </c>
      <c r="V223" s="332">
        <f t="shared" si="112"/>
        <v>-111.28887548948416</v>
      </c>
      <c r="W223" s="334">
        <f t="shared" si="113"/>
        <v>68.711124510515845</v>
      </c>
      <c r="Y223" s="307">
        <f t="shared" si="114"/>
        <v>1000000000</v>
      </c>
      <c r="Z223" s="307">
        <f t="shared" si="115"/>
        <v>167890327.5625</v>
      </c>
      <c r="AB223" s="333">
        <f t="shared" si="116"/>
        <v>23.79104457680414</v>
      </c>
      <c r="AC223" s="334">
        <f t="shared" si="117"/>
        <v>-21.772003233622385</v>
      </c>
      <c r="AE223" s="333">
        <f t="shared" si="118"/>
        <v>43.718895978709924</v>
      </c>
      <c r="AF223" s="334">
        <f t="shared" si="119"/>
        <v>-91.810045088055674</v>
      </c>
      <c r="AH223">
        <f t="shared" si="120"/>
        <v>0</v>
      </c>
      <c r="AI223">
        <f t="shared" si="125"/>
        <v>0</v>
      </c>
    </row>
    <row r="224" spans="1:35" x14ac:dyDescent="0.25">
      <c r="A224" s="335">
        <v>13032.5</v>
      </c>
      <c r="B224" s="352">
        <f t="shared" si="121"/>
        <v>13.032500000000001</v>
      </c>
      <c r="C224" s="325">
        <f t="shared" si="96"/>
        <v>15.824900293621607</v>
      </c>
      <c r="D224" s="326">
        <f t="shared" si="97"/>
        <v>1.5075626438721215</v>
      </c>
      <c r="E224" s="326">
        <f t="shared" si="98"/>
        <v>1.0001340960795559</v>
      </c>
      <c r="F224" s="327">
        <f t="shared" si="99"/>
        <v>1.6375658549918497E-2</v>
      </c>
      <c r="G224" s="326">
        <f t="shared" si="100"/>
        <v>1</v>
      </c>
      <c r="H224" s="327">
        <f t="shared" si="101"/>
        <v>0</v>
      </c>
      <c r="I224" s="325">
        <f t="shared" si="102"/>
        <v>17297.592131745281</v>
      </c>
      <c r="J224" s="328">
        <f t="shared" si="103"/>
        <v>1.5707385152802684</v>
      </c>
      <c r="K224" s="336">
        <f t="shared" si="123"/>
        <v>3.4967967657000001</v>
      </c>
      <c r="L224" s="337">
        <f t="shared" si="124"/>
        <v>1.2807715014361973</v>
      </c>
      <c r="M224" s="325">
        <f t="shared" si="104"/>
        <v>1.003968835991518</v>
      </c>
      <c r="N224" s="337">
        <f t="shared" si="105"/>
        <v>8.8946657177211008E-2</v>
      </c>
      <c r="O224" s="343">
        <f t="shared" si="106"/>
        <v>1.0028634991668477</v>
      </c>
      <c r="P224" s="691">
        <f t="shared" si="107"/>
        <v>7.5586808360406252E-2</v>
      </c>
      <c r="Q224" s="336">
        <f t="shared" si="122"/>
        <v>15.133468285130689</v>
      </c>
      <c r="R224" s="692">
        <f t="shared" si="108"/>
        <v>3.5332447549955584E-2</v>
      </c>
      <c r="S224" s="329">
        <f t="shared" si="109"/>
        <v>0.9987225802621903</v>
      </c>
      <c r="T224" s="330">
        <f t="shared" si="110"/>
        <v>0.11212401931829058</v>
      </c>
      <c r="U224" s="331">
        <f t="shared" si="111"/>
        <v>9.9021202058303643</v>
      </c>
      <c r="V224" s="332">
        <f t="shared" si="112"/>
        <v>-111.2667031078133</v>
      </c>
      <c r="W224" s="334">
        <f t="shared" si="113"/>
        <v>68.733296892186701</v>
      </c>
      <c r="Y224" s="307">
        <f t="shared" si="114"/>
        <v>1000000000</v>
      </c>
      <c r="Z224" s="307">
        <f t="shared" si="115"/>
        <v>169846056.25</v>
      </c>
      <c r="AB224" s="333">
        <f t="shared" si="116"/>
        <v>23.786514544037534</v>
      </c>
      <c r="AC224" s="334">
        <f t="shared" si="117"/>
        <v>-21.710154174135461</v>
      </c>
      <c r="AE224" s="333">
        <f t="shared" si="118"/>
        <v>43.668938672461124</v>
      </c>
      <c r="AF224" s="334">
        <f t="shared" si="119"/>
        <v>-91.862953917748953</v>
      </c>
      <c r="AH224">
        <f t="shared" si="120"/>
        <v>0</v>
      </c>
      <c r="AI224">
        <f t="shared" si="125"/>
        <v>0</v>
      </c>
    </row>
    <row r="225" spans="1:35" x14ac:dyDescent="0.25">
      <c r="A225" s="335">
        <v>13107.75</v>
      </c>
      <c r="B225" s="352">
        <f t="shared" si="121"/>
        <v>13.107749999999999</v>
      </c>
      <c r="C225" s="325">
        <f t="shared" si="96"/>
        <v>15.91590986032565</v>
      </c>
      <c r="D225" s="326">
        <f t="shared" si="97"/>
        <v>1.5079247021381053</v>
      </c>
      <c r="E225" s="326">
        <f t="shared" si="98"/>
        <v>1.0001356489935442</v>
      </c>
      <c r="F225" s="327">
        <f t="shared" si="99"/>
        <v>1.647019498636677E-2</v>
      </c>
      <c r="G225" s="326">
        <f t="shared" si="100"/>
        <v>1</v>
      </c>
      <c r="H225" s="327">
        <f t="shared" si="101"/>
        <v>0</v>
      </c>
      <c r="I225" s="325">
        <f t="shared" si="102"/>
        <v>17397.468886287847</v>
      </c>
      <c r="J225" s="328">
        <f t="shared" si="103"/>
        <v>1.5707388471691484</v>
      </c>
      <c r="K225" s="336">
        <f t="shared" si="123"/>
        <v>3.5153404838965141</v>
      </c>
      <c r="L225" s="337">
        <f t="shared" si="124"/>
        <v>1.2823454277238766</v>
      </c>
      <c r="M225" s="325">
        <f t="shared" si="104"/>
        <v>1.004014708737726</v>
      </c>
      <c r="N225" s="337">
        <f t="shared" si="105"/>
        <v>8.9457509697275117E-2</v>
      </c>
      <c r="O225" s="343">
        <f t="shared" si="106"/>
        <v>1.0028966145813989</v>
      </c>
      <c r="P225" s="691">
        <f t="shared" si="107"/>
        <v>7.6021573786966626E-2</v>
      </c>
      <c r="Q225" s="336">
        <f t="shared" si="122"/>
        <v>15.13357450606058</v>
      </c>
      <c r="R225" s="692">
        <f t="shared" si="108"/>
        <v>3.5536294179575482E-2</v>
      </c>
      <c r="S225" s="329">
        <f t="shared" si="109"/>
        <v>0.99870811061702869</v>
      </c>
      <c r="T225" s="330">
        <f t="shared" si="110"/>
        <v>0.11277581782864619</v>
      </c>
      <c r="U225" s="331">
        <f t="shared" si="111"/>
        <v>9.8482105075506201</v>
      </c>
      <c r="V225" s="332">
        <f t="shared" si="112"/>
        <v>-111.24525498644681</v>
      </c>
      <c r="W225" s="334">
        <f t="shared" si="113"/>
        <v>68.75474501355319</v>
      </c>
      <c r="Y225" s="307">
        <f t="shared" si="114"/>
        <v>1000000000</v>
      </c>
      <c r="Z225" s="307">
        <f t="shared" si="115"/>
        <v>171813110.0625</v>
      </c>
      <c r="AB225" s="333">
        <f t="shared" si="116"/>
        <v>23.782049439961284</v>
      </c>
      <c r="AC225" s="334">
        <f t="shared" si="117"/>
        <v>-21.64926354970255</v>
      </c>
      <c r="AE225" s="333">
        <f t="shared" si="118"/>
        <v>43.619268232990962</v>
      </c>
      <c r="AF225" s="334">
        <f t="shared" si="119"/>
        <v>-91.915627093305432</v>
      </c>
      <c r="AH225">
        <f t="shared" si="120"/>
        <v>0</v>
      </c>
      <c r="AI225">
        <f t="shared" si="125"/>
        <v>0</v>
      </c>
    </row>
    <row r="226" spans="1:35" x14ac:dyDescent="0.25">
      <c r="A226" s="335">
        <v>13183</v>
      </c>
      <c r="B226" s="352">
        <f t="shared" si="121"/>
        <v>13.183</v>
      </c>
      <c r="C226" s="325">
        <f t="shared" si="96"/>
        <v>16.006921489660954</v>
      </c>
      <c r="D226" s="326">
        <f t="shared" si="97"/>
        <v>1.5082826432925329</v>
      </c>
      <c r="E226" s="326">
        <f t="shared" si="98"/>
        <v>1.0001372108458548</v>
      </c>
      <c r="F226" s="327">
        <f t="shared" si="99"/>
        <v>1.6564731128396536E-2</v>
      </c>
      <c r="G226" s="326">
        <f t="shared" si="100"/>
        <v>1</v>
      </c>
      <c r="H226" s="327">
        <f t="shared" si="101"/>
        <v>0</v>
      </c>
      <c r="I226" s="325">
        <f t="shared" si="102"/>
        <v>17497.345640832311</v>
      </c>
      <c r="J226" s="328">
        <f t="shared" si="103"/>
        <v>1.5707391752691127</v>
      </c>
      <c r="K226" s="336">
        <f t="shared" si="123"/>
        <v>3.5338928190441958</v>
      </c>
      <c r="L226" s="337">
        <f t="shared" si="124"/>
        <v>1.2839028321463004</v>
      </c>
      <c r="M226" s="325">
        <f t="shared" si="104"/>
        <v>1.0040608434779692</v>
      </c>
      <c r="N226" s="337">
        <f t="shared" si="105"/>
        <v>8.9968315405175678E-2</v>
      </c>
      <c r="O226" s="343">
        <f t="shared" si="106"/>
        <v>1.0029299195519077</v>
      </c>
      <c r="P226" s="691">
        <f t="shared" si="107"/>
        <v>7.6456310420599097E-2</v>
      </c>
      <c r="Q226" s="336">
        <f t="shared" si="122"/>
        <v>15.133681337796014</v>
      </c>
      <c r="R226" s="692">
        <f t="shared" si="108"/>
        <v>3.5740137981806884E-2</v>
      </c>
      <c r="S226" s="329">
        <f t="shared" si="109"/>
        <v>0.99869356517208518</v>
      </c>
      <c r="T226" s="330">
        <f t="shared" si="110"/>
        <v>0.11342769199405339</v>
      </c>
      <c r="U226" s="331">
        <f t="shared" si="111"/>
        <v>9.7946492213110776</v>
      </c>
      <c r="V226" s="332">
        <f t="shared" si="112"/>
        <v>-111.22452054518568</v>
      </c>
      <c r="W226" s="334">
        <f t="shared" si="113"/>
        <v>68.775479454814317</v>
      </c>
      <c r="Y226" s="307">
        <f t="shared" si="114"/>
        <v>1000000000</v>
      </c>
      <c r="Z226" s="307">
        <f t="shared" si="115"/>
        <v>173791489</v>
      </c>
      <c r="AB226" s="333">
        <f t="shared" si="116"/>
        <v>23.777647837159112</v>
      </c>
      <c r="AC226" s="334">
        <f t="shared" si="117"/>
        <v>-21.589316659191255</v>
      </c>
      <c r="AE226" s="333">
        <f t="shared" si="118"/>
        <v>43.569881422245246</v>
      </c>
      <c r="AF226" s="334">
        <f t="shared" si="119"/>
        <v>-91.968068727329793</v>
      </c>
      <c r="AH226">
        <f t="shared" si="120"/>
        <v>0</v>
      </c>
      <c r="AI226">
        <f t="shared" si="125"/>
        <v>0</v>
      </c>
    </row>
    <row r="227" spans="1:35" x14ac:dyDescent="0.25">
      <c r="A227" s="335">
        <v>13259.75</v>
      </c>
      <c r="B227" s="352">
        <f t="shared" si="121"/>
        <v>13.25975</v>
      </c>
      <c r="C227" s="325">
        <f t="shared" si="96"/>
        <v>16.099749392740684</v>
      </c>
      <c r="D227" s="326">
        <f t="shared" si="97"/>
        <v>1.5086435507611518</v>
      </c>
      <c r="E227" s="326">
        <f t="shared" si="98"/>
        <v>1.0001388130387474</v>
      </c>
      <c r="F227" s="327">
        <f t="shared" si="99"/>
        <v>1.6661151406764704E-2</v>
      </c>
      <c r="G227" s="326">
        <f t="shared" si="100"/>
        <v>1</v>
      </c>
      <c r="H227" s="327">
        <f t="shared" si="101"/>
        <v>0</v>
      </c>
      <c r="I227" s="325">
        <f t="shared" si="102"/>
        <v>17599.213294140372</v>
      </c>
      <c r="J227" s="328">
        <f t="shared" si="103"/>
        <v>1.5707395060732072</v>
      </c>
      <c r="K227" s="336">
        <f t="shared" si="123"/>
        <v>3.5528237045176119</v>
      </c>
      <c r="L227" s="337">
        <f t="shared" si="124"/>
        <v>1.2854745226335675</v>
      </c>
      <c r="M227" s="325">
        <f t="shared" si="104"/>
        <v>1.0041081676899333</v>
      </c>
      <c r="N227" s="337">
        <f t="shared" si="105"/>
        <v>9.0489254795794241E-2</v>
      </c>
      <c r="O227" s="343">
        <f t="shared" si="106"/>
        <v>1.0029640836506934</v>
      </c>
      <c r="P227" s="691">
        <f t="shared" si="107"/>
        <v>7.689968307376821E-2</v>
      </c>
      <c r="Q227" s="336">
        <f t="shared" si="122"/>
        <v>15.133790928244482</v>
      </c>
      <c r="R227" s="692">
        <f t="shared" si="108"/>
        <v>3.5948042186406064E-2</v>
      </c>
      <c r="S227" s="329">
        <f t="shared" si="109"/>
        <v>0.99867865183786741</v>
      </c>
      <c r="T227" s="330">
        <f t="shared" si="110"/>
        <v>0.11409263870552264</v>
      </c>
      <c r="U227" s="331">
        <f t="shared" si="111"/>
        <v>9.7403744244760233</v>
      </c>
      <c r="V227" s="332">
        <f t="shared" si="112"/>
        <v>-111.20409718727747</v>
      </c>
      <c r="W227" s="334">
        <f t="shared" si="113"/>
        <v>68.795902812722531</v>
      </c>
      <c r="Y227" s="307">
        <f t="shared" si="114"/>
        <v>1000000000</v>
      </c>
      <c r="Z227" s="307">
        <f t="shared" si="115"/>
        <v>175820970.0625</v>
      </c>
      <c r="AB227" s="333">
        <f t="shared" si="116"/>
        <v>23.773222466031321</v>
      </c>
      <c r="AC227" s="334">
        <f t="shared" si="117"/>
        <v>-21.52913200964425</v>
      </c>
      <c r="AE227" s="333">
        <f t="shared" si="118"/>
        <v>43.519799021468295</v>
      </c>
      <c r="AF227" s="334">
        <f t="shared" si="119"/>
        <v>-92.021321367295556</v>
      </c>
      <c r="AH227">
        <f t="shared" si="120"/>
        <v>0</v>
      </c>
      <c r="AI227">
        <f t="shared" si="125"/>
        <v>0</v>
      </c>
    </row>
    <row r="228" spans="1:35" x14ac:dyDescent="0.25">
      <c r="A228" s="335">
        <v>13336.5</v>
      </c>
      <c r="B228" s="352">
        <f t="shared" si="121"/>
        <v>13.336499999999999</v>
      </c>
      <c r="C228" s="325">
        <f t="shared" si="96"/>
        <v>16.192579368836423</v>
      </c>
      <c r="D228" s="326">
        <f t="shared" si="97"/>
        <v>1.5090003202035465</v>
      </c>
      <c r="E228" s="326">
        <f t="shared" si="98"/>
        <v>1.0001404245297709</v>
      </c>
      <c r="F228" s="327">
        <f t="shared" si="99"/>
        <v>1.6757571375312079E-2</v>
      </c>
      <c r="G228" s="326">
        <f t="shared" si="100"/>
        <v>1</v>
      </c>
      <c r="H228" s="327">
        <f t="shared" si="101"/>
        <v>0</v>
      </c>
      <c r="I228" s="325">
        <f t="shared" si="102"/>
        <v>17701.080947450337</v>
      </c>
      <c r="J228" s="328">
        <f t="shared" si="103"/>
        <v>1.5707398330698241</v>
      </c>
      <c r="K228" s="336">
        <f t="shared" si="123"/>
        <v>3.5717632731719817</v>
      </c>
      <c r="L228" s="337">
        <f t="shared" si="124"/>
        <v>1.2870295488919423</v>
      </c>
      <c r="M228" s="325">
        <f t="shared" si="104"/>
        <v>1.0041557643688843</v>
      </c>
      <c r="N228" s="337">
        <f t="shared" si="105"/>
        <v>9.1010144943021204E-2</v>
      </c>
      <c r="O228" s="343">
        <f t="shared" si="106"/>
        <v>1.0029984448980123</v>
      </c>
      <c r="P228" s="691">
        <f t="shared" si="107"/>
        <v>7.7343025435498022E-2</v>
      </c>
      <c r="Q228" s="336">
        <f t="shared" si="122"/>
        <v>15.133901154065013</v>
      </c>
      <c r="R228" s="692">
        <f t="shared" si="108"/>
        <v>3.6155943415836549E-2</v>
      </c>
      <c r="S228" s="329">
        <f t="shared" si="109"/>
        <v>0.99866365992503892</v>
      </c>
      <c r="T228" s="330">
        <f t="shared" si="110"/>
        <v>0.11475766501879636</v>
      </c>
      <c r="U228" s="331">
        <f t="shared" si="111"/>
        <v>9.6864525528029581</v>
      </c>
      <c r="V228" s="332">
        <f t="shared" si="112"/>
        <v>-111.1843946320313</v>
      </c>
      <c r="W228" s="334">
        <f t="shared" si="113"/>
        <v>68.815605367968701</v>
      </c>
      <c r="Y228" s="307">
        <f t="shared" si="114"/>
        <v>1000000000</v>
      </c>
      <c r="Z228" s="307">
        <f t="shared" si="115"/>
        <v>177862232.25</v>
      </c>
      <c r="AB228" s="333">
        <f t="shared" si="116"/>
        <v>23.768860270724058</v>
      </c>
      <c r="AC228" s="334">
        <f t="shared" si="117"/>
        <v>-21.469899110491784</v>
      </c>
      <c r="AE228" s="333">
        <f t="shared" si="118"/>
        <v>43.470005037027036</v>
      </c>
      <c r="AF228" s="334">
        <f t="shared" si="119"/>
        <v>-92.074341494421773</v>
      </c>
      <c r="AH228">
        <f t="shared" si="120"/>
        <v>0</v>
      </c>
      <c r="AI228">
        <f t="shared" si="125"/>
        <v>0</v>
      </c>
    </row>
    <row r="229" spans="1:35" x14ac:dyDescent="0.25">
      <c r="A229" s="335">
        <v>13413.25</v>
      </c>
      <c r="B229" s="352">
        <f t="shared" si="121"/>
        <v>13.41325</v>
      </c>
      <c r="C229" s="325">
        <f t="shared" si="96"/>
        <v>16.28541138249842</v>
      </c>
      <c r="D229" s="326">
        <f t="shared" si="97"/>
        <v>1.5093530222922977</v>
      </c>
      <c r="E229" s="326">
        <f t="shared" si="98"/>
        <v>1.0001420453188803</v>
      </c>
      <c r="F229" s="327">
        <f t="shared" si="99"/>
        <v>1.685399103224737E-2</v>
      </c>
      <c r="G229" s="326">
        <f t="shared" si="100"/>
        <v>1</v>
      </c>
      <c r="H229" s="327">
        <f t="shared" si="101"/>
        <v>0</v>
      </c>
      <c r="I229" s="325">
        <f t="shared" si="102"/>
        <v>17802.948600762178</v>
      </c>
      <c r="J229" s="328">
        <f t="shared" si="103"/>
        <v>1.5707401563243217</v>
      </c>
      <c r="K229" s="336">
        <f t="shared" si="123"/>
        <v>3.5907113876063717</v>
      </c>
      <c r="L229" s="337">
        <f t="shared" si="124"/>
        <v>1.2885681671513296</v>
      </c>
      <c r="M229" s="325">
        <f t="shared" si="104"/>
        <v>1.00420363347608</v>
      </c>
      <c r="N229" s="337">
        <f t="shared" si="105"/>
        <v>9.1530985571216111E-2</v>
      </c>
      <c r="O229" s="343">
        <f t="shared" si="106"/>
        <v>1.003033003273603</v>
      </c>
      <c r="P229" s="691">
        <f t="shared" si="107"/>
        <v>7.7786337334630612E-2</v>
      </c>
      <c r="Q229" s="336">
        <f t="shared" si="122"/>
        <v>15.134012015243735</v>
      </c>
      <c r="R229" s="692">
        <f t="shared" si="108"/>
        <v>3.6363841652964662E-2</v>
      </c>
      <c r="S229" s="329">
        <f t="shared" si="109"/>
        <v>0.9986485895727627</v>
      </c>
      <c r="T229" s="330">
        <f t="shared" si="110"/>
        <v>0.11542277138842452</v>
      </c>
      <c r="U229" s="331">
        <f t="shared" si="111"/>
        <v>9.6328789429062134</v>
      </c>
      <c r="V229" s="332">
        <f t="shared" si="112"/>
        <v>-111.16540227071867</v>
      </c>
      <c r="W229" s="334">
        <f t="shared" si="113"/>
        <v>68.834597729281327</v>
      </c>
      <c r="Y229" s="307">
        <f t="shared" si="114"/>
        <v>1000000000</v>
      </c>
      <c r="Z229" s="307">
        <f t="shared" si="115"/>
        <v>179915275.5625</v>
      </c>
      <c r="AB229" s="333">
        <f t="shared" si="116"/>
        <v>23.764559852807498</v>
      </c>
      <c r="AC229" s="334">
        <f t="shared" si="117"/>
        <v>-21.411603268793449</v>
      </c>
      <c r="AE229" s="333">
        <f t="shared" si="118"/>
        <v>43.420496204299972</v>
      </c>
      <c r="AF229" s="334">
        <f t="shared" si="119"/>
        <v>-92.127133184095484</v>
      </c>
      <c r="AH229">
        <f t="shared" si="120"/>
        <v>0</v>
      </c>
      <c r="AI229">
        <f t="shared" si="125"/>
        <v>0</v>
      </c>
    </row>
    <row r="230" spans="1:35" x14ac:dyDescent="0.25">
      <c r="A230" s="335">
        <v>13490</v>
      </c>
      <c r="B230" s="352">
        <f t="shared" si="121"/>
        <v>13.49</v>
      </c>
      <c r="C230" s="325">
        <f t="shared" si="96"/>
        <v>16.378245399079848</v>
      </c>
      <c r="D230" s="326">
        <f t="shared" si="97"/>
        <v>1.5097017261017613</v>
      </c>
      <c r="E230" s="326">
        <f t="shared" si="98"/>
        <v>1.00014367540603</v>
      </c>
      <c r="F230" s="327">
        <f t="shared" si="99"/>
        <v>1.6950410375779313E-2</v>
      </c>
      <c r="G230" s="326">
        <f t="shared" si="100"/>
        <v>1</v>
      </c>
      <c r="H230" s="327">
        <f t="shared" si="101"/>
        <v>0</v>
      </c>
      <c r="I230" s="325">
        <f t="shared" si="102"/>
        <v>17904.816254075857</v>
      </c>
      <c r="J230" s="328">
        <f t="shared" si="103"/>
        <v>1.5707404759005714</v>
      </c>
      <c r="K230" s="336">
        <f t="shared" si="123"/>
        <v>3.6096679132435154</v>
      </c>
      <c r="L230" s="337">
        <f t="shared" si="124"/>
        <v>1.29009062857357</v>
      </c>
      <c r="M230" s="325">
        <f t="shared" si="104"/>
        <v>1.0042517749725626</v>
      </c>
      <c r="N230" s="337">
        <f t="shared" si="105"/>
        <v>9.2051776404898436E-2</v>
      </c>
      <c r="O230" s="343">
        <f t="shared" si="106"/>
        <v>1.0030677587570904</v>
      </c>
      <c r="P230" s="691">
        <f t="shared" si="107"/>
        <v>7.8229618600079417E-2</v>
      </c>
      <c r="Q230" s="336">
        <f t="shared" si="122"/>
        <v>15.134123511766699</v>
      </c>
      <c r="R230" s="692">
        <f t="shared" si="108"/>
        <v>3.6571736880658207E-2</v>
      </c>
      <c r="S230" s="329">
        <f t="shared" si="109"/>
        <v>0.9986334409210148</v>
      </c>
      <c r="T230" s="330">
        <f t="shared" si="110"/>
        <v>0.11608795826884527</v>
      </c>
      <c r="U230" s="331">
        <f t="shared" si="111"/>
        <v>9.5796490230808331</v>
      </c>
      <c r="V230" s="332">
        <f t="shared" si="112"/>
        <v>-111.14710969333181</v>
      </c>
      <c r="W230" s="334">
        <f t="shared" si="113"/>
        <v>68.852890306668186</v>
      </c>
      <c r="Y230" s="307">
        <f t="shared" si="114"/>
        <v>1000000000</v>
      </c>
      <c r="Z230" s="307">
        <f t="shared" si="115"/>
        <v>181980100</v>
      </c>
      <c r="AB230" s="333">
        <f t="shared" si="116"/>
        <v>23.76031985053239</v>
      </c>
      <c r="AC230" s="334">
        <f t="shared" si="117"/>
        <v>-21.354230081911467</v>
      </c>
      <c r="AE230" s="333">
        <f t="shared" si="118"/>
        <v>43.371269313667533</v>
      </c>
      <c r="AF230" s="334">
        <f t="shared" si="119"/>
        <v>-92.179700420125712</v>
      </c>
      <c r="AH230">
        <f t="shared" si="120"/>
        <v>0</v>
      </c>
      <c r="AI230">
        <f t="shared" si="125"/>
        <v>0</v>
      </c>
    </row>
    <row r="231" spans="1:35" x14ac:dyDescent="0.25">
      <c r="A231" s="335">
        <v>13568.5</v>
      </c>
      <c r="B231" s="352">
        <f t="shared" si="121"/>
        <v>13.5685</v>
      </c>
      <c r="C231" s="325">
        <f t="shared" si="96"/>
        <v>16.473198188844254</v>
      </c>
      <c r="D231" s="326">
        <f t="shared" si="97"/>
        <v>1.5100543151145689</v>
      </c>
      <c r="E231" s="326">
        <f t="shared" si="98"/>
        <v>1.0001453522797124</v>
      </c>
      <c r="F231" s="327">
        <f t="shared" si="99"/>
        <v>1.7049027879900737E-2</v>
      </c>
      <c r="G231" s="326">
        <f t="shared" si="100"/>
        <v>1</v>
      </c>
      <c r="H231" s="327">
        <f t="shared" si="101"/>
        <v>0</v>
      </c>
      <c r="I231" s="325">
        <f t="shared" si="102"/>
        <v>18009.006622613539</v>
      </c>
      <c r="J231" s="328">
        <f t="shared" si="103"/>
        <v>1.5707407990236282</v>
      </c>
      <c r="K231" s="336">
        <f t="shared" si="123"/>
        <v>3.6290652360455447</v>
      </c>
      <c r="L231" s="337">
        <f t="shared" si="124"/>
        <v>1.2916313470736061</v>
      </c>
      <c r="M231" s="325">
        <f t="shared" si="104"/>
        <v>1.0043012958934006</v>
      </c>
      <c r="N231" s="337">
        <f t="shared" si="105"/>
        <v>9.2584390150645637E-2</v>
      </c>
      <c r="O231" s="343">
        <f t="shared" si="106"/>
        <v>1.0031035105901396</v>
      </c>
      <c r="P231" s="691">
        <f t="shared" si="107"/>
        <v>7.8682975388314425E-2</v>
      </c>
      <c r="Q231" s="336">
        <f t="shared" si="122"/>
        <v>15.134238207780445</v>
      </c>
      <c r="R231" s="692">
        <f t="shared" si="108"/>
        <v>3.678436925941532E-2</v>
      </c>
      <c r="S231" s="329">
        <f t="shared" si="109"/>
        <v>0.99861786600920266</v>
      </c>
      <c r="T231" s="330">
        <f t="shared" si="110"/>
        <v>0.116768396035734</v>
      </c>
      <c r="U231" s="331">
        <f t="shared" si="111"/>
        <v>9.5255562544384365</v>
      </c>
      <c r="V231" s="332">
        <f t="shared" si="112"/>
        <v>-111.1291132743103</v>
      </c>
      <c r="W231" s="334">
        <f t="shared" si="113"/>
        <v>68.870886725689701</v>
      </c>
      <c r="Y231" s="307">
        <f t="shared" si="114"/>
        <v>1000000000</v>
      </c>
      <c r="Z231" s="307">
        <f t="shared" si="115"/>
        <v>184104192.25</v>
      </c>
      <c r="AB231" s="333">
        <f t="shared" si="116"/>
        <v>23.756044286234143</v>
      </c>
      <c r="AC231" s="334">
        <f t="shared" si="117"/>
        <v>-21.296488447705077</v>
      </c>
      <c r="AE231" s="333">
        <f t="shared" si="118"/>
        <v>43.321208355048419</v>
      </c>
      <c r="AF231" s="334">
        <f t="shared" si="119"/>
        <v>-92.233238128015216</v>
      </c>
      <c r="AH231">
        <f t="shared" si="120"/>
        <v>0</v>
      </c>
      <c r="AI231">
        <f t="shared" si="125"/>
        <v>0</v>
      </c>
    </row>
    <row r="232" spans="1:35" x14ac:dyDescent="0.25">
      <c r="A232" s="335">
        <v>13647</v>
      </c>
      <c r="B232" s="352">
        <f t="shared" si="121"/>
        <v>13.647</v>
      </c>
      <c r="C232" s="325">
        <f t="shared" si="96"/>
        <v>16.568153003066662</v>
      </c>
      <c r="D232" s="326">
        <f t="shared" si="97"/>
        <v>1.5104028626788619</v>
      </c>
      <c r="E232" s="326">
        <f t="shared" si="98"/>
        <v>1.0001470388801876</v>
      </c>
      <c r="F232" s="327">
        <f t="shared" si="99"/>
        <v>1.7147645052373494E-2</v>
      </c>
      <c r="G232" s="326">
        <f t="shared" si="100"/>
        <v>1</v>
      </c>
      <c r="H232" s="327">
        <f t="shared" si="101"/>
        <v>0</v>
      </c>
      <c r="I232" s="325">
        <f t="shared" si="102"/>
        <v>18113.19699115308</v>
      </c>
      <c r="J232" s="328">
        <f t="shared" si="103"/>
        <v>1.5707411184293609</v>
      </c>
      <c r="K232" s="336">
        <f t="shared" si="123"/>
        <v>3.6484710819583257</v>
      </c>
      <c r="L232" s="337">
        <f t="shared" si="124"/>
        <v>1.2931556793107088</v>
      </c>
      <c r="M232" s="325">
        <f t="shared" si="104"/>
        <v>1.0043511016836792</v>
      </c>
      <c r="N232" s="337">
        <f t="shared" si="105"/>
        <v>9.3116951222804334E-2</v>
      </c>
      <c r="O232" s="343">
        <f t="shared" si="106"/>
        <v>1.0031394685787178</v>
      </c>
      <c r="P232" s="691">
        <f t="shared" si="107"/>
        <v>7.9136299768157906E-2</v>
      </c>
      <c r="Q232" s="336">
        <f t="shared" si="122"/>
        <v>15.134353568412324</v>
      </c>
      <c r="R232" s="692">
        <f t="shared" si="108"/>
        <v>3.6996998453686661E-2</v>
      </c>
      <c r="S232" s="329">
        <f t="shared" si="109"/>
        <v>0.99860220948536049</v>
      </c>
      <c r="T232" s="330">
        <f t="shared" si="110"/>
        <v>0.11744891898804841</v>
      </c>
      <c r="U232" s="331">
        <f t="shared" si="111"/>
        <v>9.471813637069296</v>
      </c>
      <c r="V232" s="332">
        <f t="shared" si="112"/>
        <v>-111.11182750426727</v>
      </c>
      <c r="W232" s="334">
        <f t="shared" si="113"/>
        <v>68.888172495732732</v>
      </c>
      <c r="Y232" s="307">
        <f t="shared" si="114"/>
        <v>1000000000</v>
      </c>
      <c r="Z232" s="307">
        <f t="shared" si="115"/>
        <v>186240609</v>
      </c>
      <c r="AB232" s="333">
        <f t="shared" si="116"/>
        <v>23.751829155136349</v>
      </c>
      <c r="AC232" s="334">
        <f t="shared" si="117"/>
        <v>-21.239682446246537</v>
      </c>
      <c r="AE232" s="333">
        <f t="shared" si="118"/>
        <v>43.271435721433427</v>
      </c>
      <c r="AF232" s="334">
        <f t="shared" si="119"/>
        <v>-92.286549177728872</v>
      </c>
      <c r="AH232">
        <f t="shared" si="120"/>
        <v>0</v>
      </c>
      <c r="AI232">
        <f t="shared" si="125"/>
        <v>0</v>
      </c>
    </row>
    <row r="233" spans="1:35" x14ac:dyDescent="0.25">
      <c r="A233" s="335">
        <v>13725.5</v>
      </c>
      <c r="B233" s="352">
        <f t="shared" si="121"/>
        <v>13.7255</v>
      </c>
      <c r="C233" s="325">
        <f t="shared" si="96"/>
        <v>16.663109807137928</v>
      </c>
      <c r="D233" s="326">
        <f t="shared" si="97"/>
        <v>1.5107474378013126</v>
      </c>
      <c r="E233" s="326">
        <f t="shared" si="98"/>
        <v>1.0001487352074068</v>
      </c>
      <c r="F233" s="327">
        <f t="shared" si="99"/>
        <v>1.7246261891281103E-2</v>
      </c>
      <c r="G233" s="326">
        <f t="shared" si="100"/>
        <v>1</v>
      </c>
      <c r="H233" s="327">
        <f t="shared" si="101"/>
        <v>0</v>
      </c>
      <c r="I233" s="325">
        <f t="shared" si="102"/>
        <v>18217.387359694447</v>
      </c>
      <c r="J233" s="328">
        <f t="shared" si="103"/>
        <v>1.5707414341815511</v>
      </c>
      <c r="K233" s="336">
        <f t="shared" si="123"/>
        <v>3.6678853157010436</v>
      </c>
      <c r="L233" s="337">
        <f t="shared" si="124"/>
        <v>1.2946638783432864</v>
      </c>
      <c r="M233" s="325">
        <f t="shared" si="104"/>
        <v>1.0044011923010212</v>
      </c>
      <c r="N233" s="337">
        <f t="shared" si="105"/>
        <v>9.3649459327141624E-2</v>
      </c>
      <c r="O233" s="343">
        <f t="shared" si="106"/>
        <v>1.0031756327006565</v>
      </c>
      <c r="P233" s="691">
        <f t="shared" si="107"/>
        <v>7.9589591556785869E-2</v>
      </c>
      <c r="Q233" s="336">
        <f t="shared" si="122"/>
        <v>15.134469593647156</v>
      </c>
      <c r="R233" s="692">
        <f t="shared" si="108"/>
        <v>3.7209624445146167E-2</v>
      </c>
      <c r="S233" s="329">
        <f t="shared" si="109"/>
        <v>0.99858647150190172</v>
      </c>
      <c r="T233" s="330">
        <f t="shared" si="110"/>
        <v>0.1181295276116575</v>
      </c>
      <c r="U233" s="331">
        <f t="shared" si="111"/>
        <v>9.4184165618768958</v>
      </c>
      <c r="V233" s="332">
        <f t="shared" si="112"/>
        <v>-111.09524186198423</v>
      </c>
      <c r="W233" s="334">
        <f t="shared" si="113"/>
        <v>68.904758138015765</v>
      </c>
      <c r="Y233" s="307">
        <f t="shared" si="114"/>
        <v>1000000000</v>
      </c>
      <c r="Z233" s="307">
        <f t="shared" si="115"/>
        <v>188389350.25</v>
      </c>
      <c r="AB233" s="333">
        <f t="shared" si="116"/>
        <v>23.747673112034768</v>
      </c>
      <c r="AC233" s="334">
        <f t="shared" si="117"/>
        <v>-21.183797565153174</v>
      </c>
      <c r="AE233" s="333">
        <f t="shared" si="118"/>
        <v>43.221948149295997</v>
      </c>
      <c r="AF233" s="334">
        <f t="shared" si="119"/>
        <v>-92.339637551005836</v>
      </c>
      <c r="AH233">
        <f t="shared" si="120"/>
        <v>0</v>
      </c>
      <c r="AI233">
        <f t="shared" si="125"/>
        <v>0</v>
      </c>
    </row>
    <row r="234" spans="1:35" x14ac:dyDescent="0.25">
      <c r="A234" s="335">
        <v>13804</v>
      </c>
      <c r="B234" s="352">
        <f t="shared" si="121"/>
        <v>13.804</v>
      </c>
      <c r="C234" s="325">
        <f t="shared" si="96"/>
        <v>16.758068567232609</v>
      </c>
      <c r="D234" s="326">
        <f t="shared" si="97"/>
        <v>1.511088107928324</v>
      </c>
      <c r="E234" s="326">
        <f t="shared" si="98"/>
        <v>1.0001504412613202</v>
      </c>
      <c r="F234" s="327">
        <f t="shared" si="99"/>
        <v>1.7344878394707108E-2</v>
      </c>
      <c r="G234" s="326">
        <f t="shared" si="100"/>
        <v>1</v>
      </c>
      <c r="H234" s="327">
        <f t="shared" si="101"/>
        <v>0</v>
      </c>
      <c r="I234" s="325">
        <f t="shared" si="102"/>
        <v>18321.577728237611</v>
      </c>
      <c r="J234" s="328">
        <f t="shared" si="103"/>
        <v>1.5707417463425291</v>
      </c>
      <c r="K234" s="336">
        <f t="shared" si="123"/>
        <v>3.687307804784119</v>
      </c>
      <c r="L234" s="337">
        <f t="shared" si="124"/>
        <v>1.2961561921949658</v>
      </c>
      <c r="M234" s="325">
        <f t="shared" si="104"/>
        <v>1.0044515677028143</v>
      </c>
      <c r="N234" s="337">
        <f t="shared" si="105"/>
        <v>9.4181914169603295E-2</v>
      </c>
      <c r="O234" s="343">
        <f t="shared" si="106"/>
        <v>1.0032120029336631</v>
      </c>
      <c r="P234" s="691">
        <f t="shared" si="107"/>
        <v>8.0042850571454133E-2</v>
      </c>
      <c r="Q234" s="336">
        <f t="shared" si="122"/>
        <v>15.134586283469663</v>
      </c>
      <c r="R234" s="692">
        <f t="shared" si="108"/>
        <v>3.7422247215469447E-2</v>
      </c>
      <c r="S234" s="329">
        <f t="shared" si="109"/>
        <v>0.99857065221213082</v>
      </c>
      <c r="T234" s="330">
        <f t="shared" si="110"/>
        <v>0.1188102223923044</v>
      </c>
      <c r="U234" s="331">
        <f t="shared" si="111"/>
        <v>9.3653605101454254</v>
      </c>
      <c r="V234" s="332">
        <f t="shared" si="112"/>
        <v>-111.07934602523295</v>
      </c>
      <c r="W234" s="334">
        <f t="shared" si="113"/>
        <v>68.920653974767049</v>
      </c>
      <c r="Y234" s="307">
        <f t="shared" si="114"/>
        <v>1000000000</v>
      </c>
      <c r="Z234" s="307">
        <f t="shared" si="115"/>
        <v>190550416</v>
      </c>
      <c r="AB234" s="333">
        <f t="shared" si="116"/>
        <v>23.743574847114086</v>
      </c>
      <c r="AC234" s="334">
        <f t="shared" si="117"/>
        <v>-21.128819580441135</v>
      </c>
      <c r="AE234" s="333">
        <f t="shared" si="118"/>
        <v>43.172742430103305</v>
      </c>
      <c r="AF234" s="334">
        <f t="shared" si="119"/>
        <v>-92.392507140181209</v>
      </c>
      <c r="AH234">
        <f t="shared" si="120"/>
        <v>0</v>
      </c>
      <c r="AI234">
        <f t="shared" si="125"/>
        <v>0</v>
      </c>
    </row>
    <row r="235" spans="1:35" x14ac:dyDescent="0.25">
      <c r="A235" s="335">
        <v>13884.25</v>
      </c>
      <c r="B235" s="352">
        <f t="shared" si="121"/>
        <v>13.88425</v>
      </c>
      <c r="C235" s="325">
        <f t="shared" si="96"/>
        <v>16.855146229851862</v>
      </c>
      <c r="D235" s="326">
        <f t="shared" si="97"/>
        <v>1.5114324047142684</v>
      </c>
      <c r="E235" s="326">
        <f t="shared" si="98"/>
        <v>1.000152195402598</v>
      </c>
      <c r="F235" s="327">
        <f t="shared" si="99"/>
        <v>1.7445693006436867E-2</v>
      </c>
      <c r="G235" s="326">
        <f t="shared" si="100"/>
        <v>1</v>
      </c>
      <c r="H235" s="327">
        <f t="shared" si="101"/>
        <v>0</v>
      </c>
      <c r="I235" s="325">
        <f t="shared" si="102"/>
        <v>18428.090812004899</v>
      </c>
      <c r="J235" s="328">
        <f t="shared" si="103"/>
        <v>1.5707420618137495</v>
      </c>
      <c r="K235" s="336">
        <f t="shared" si="123"/>
        <v>3.7071716776172776</v>
      </c>
      <c r="L235" s="337">
        <f t="shared" si="124"/>
        <v>1.2976656070080261</v>
      </c>
      <c r="M235" s="325">
        <f t="shared" si="104"/>
        <v>1.004503360456763</v>
      </c>
      <c r="N235" s="337">
        <f t="shared" si="105"/>
        <v>9.4726183662285038E-2</v>
      </c>
      <c r="O235" s="343">
        <f t="shared" si="106"/>
        <v>1.0032493969992318</v>
      </c>
      <c r="P235" s="691">
        <f t="shared" si="107"/>
        <v>8.0506180018181162E-2</v>
      </c>
      <c r="Q235" s="336">
        <f t="shared" si="122"/>
        <v>15.134706261617939</v>
      </c>
      <c r="R235" s="692">
        <f t="shared" si="108"/>
        <v>3.7639606635126763E-2</v>
      </c>
      <c r="S235" s="329">
        <f t="shared" si="109"/>
        <v>0.99855439637825583</v>
      </c>
      <c r="T235" s="330">
        <f t="shared" si="110"/>
        <v>0.11950618146256003</v>
      </c>
      <c r="U235" s="331">
        <f t="shared" si="111"/>
        <v>9.3114695785931634</v>
      </c>
      <c r="V235" s="332">
        <f t="shared" si="112"/>
        <v>-111.06379832088102</v>
      </c>
      <c r="W235" s="334">
        <f t="shared" si="113"/>
        <v>68.93620167911898</v>
      </c>
      <c r="Y235" s="307">
        <f t="shared" si="114"/>
        <v>1000000000</v>
      </c>
      <c r="Z235" s="307">
        <f t="shared" si="115"/>
        <v>192772398.0625</v>
      </c>
      <c r="AB235" s="333">
        <f t="shared" si="116"/>
        <v>23.739443616113938</v>
      </c>
      <c r="AC235" s="334">
        <f t="shared" si="117"/>
        <v>-21.073538902072968</v>
      </c>
      <c r="AE235" s="333">
        <f t="shared" si="118"/>
        <v>43.122727831159025</v>
      </c>
      <c r="AF235" s="334">
        <f t="shared" si="119"/>
        <v>-92.44633315865137</v>
      </c>
      <c r="AH235">
        <f t="shared" si="120"/>
        <v>0</v>
      </c>
      <c r="AI235">
        <f t="shared" si="125"/>
        <v>0</v>
      </c>
    </row>
    <row r="236" spans="1:35" x14ac:dyDescent="0.25">
      <c r="A236" s="335">
        <v>13964.5</v>
      </c>
      <c r="B236" s="352">
        <f t="shared" si="121"/>
        <v>13.964499999999999</v>
      </c>
      <c r="C236" s="325">
        <f t="shared" si="96"/>
        <v>16.952225867601253</v>
      </c>
      <c r="D236" s="326">
        <f t="shared" si="97"/>
        <v>1.511772758198749</v>
      </c>
      <c r="E236" s="326">
        <f t="shared" si="98"/>
        <v>1.0001539597089728</v>
      </c>
      <c r="F236" s="327">
        <f t="shared" si="99"/>
        <v>1.7546507263510293E-2</v>
      </c>
      <c r="G236" s="326">
        <f t="shared" si="100"/>
        <v>1</v>
      </c>
      <c r="H236" s="327">
        <f t="shared" si="101"/>
        <v>0</v>
      </c>
      <c r="I236" s="325">
        <f t="shared" si="102"/>
        <v>18534.603895774002</v>
      </c>
      <c r="J236" s="328">
        <f t="shared" si="103"/>
        <v>1.5707423736591237</v>
      </c>
      <c r="K236" s="336">
        <f t="shared" si="123"/>
        <v>3.7270439065807093</v>
      </c>
      <c r="L236" s="337">
        <f t="shared" si="124"/>
        <v>1.299158929092642</v>
      </c>
      <c r="M236" s="325">
        <f t="shared" si="104"/>
        <v>1.004555450743285</v>
      </c>
      <c r="N236" s="337">
        <f t="shared" si="105"/>
        <v>9.5270396870990343E-2</v>
      </c>
      <c r="O236" s="343">
        <f t="shared" si="106"/>
        <v>1.0032870064204571</v>
      </c>
      <c r="P236" s="691">
        <f t="shared" si="107"/>
        <v>8.0969474827435259E-2</v>
      </c>
      <c r="Q236" s="336">
        <f t="shared" si="122"/>
        <v>15.13482693428292</v>
      </c>
      <c r="R236" s="692">
        <f t="shared" si="108"/>
        <v>3.785696264970697E-2</v>
      </c>
      <c r="S236" s="329">
        <f t="shared" si="109"/>
        <v>0.99853805589939282</v>
      </c>
      <c r="T236" s="330">
        <f t="shared" si="110"/>
        <v>0.12020223160026204</v>
      </c>
      <c r="U236" s="331">
        <f t="shared" si="111"/>
        <v>9.257925773826619</v>
      </c>
      <c r="V236" s="332">
        <f t="shared" si="112"/>
        <v>-111.04895032242455</v>
      </c>
      <c r="W236" s="334">
        <f t="shared" si="113"/>
        <v>68.951049677575455</v>
      </c>
      <c r="Y236" s="307">
        <f t="shared" si="114"/>
        <v>1000000000</v>
      </c>
      <c r="Z236" s="307">
        <f t="shared" si="115"/>
        <v>195007260.25</v>
      </c>
      <c r="AB236" s="333">
        <f t="shared" si="116"/>
        <v>23.735370108354424</v>
      </c>
      <c r="AC236" s="334">
        <f t="shared" si="117"/>
        <v>-21.019176836546571</v>
      </c>
      <c r="AE236" s="333">
        <f t="shared" si="118"/>
        <v>43.073001181437505</v>
      </c>
      <c r="AF236" s="334">
        <f t="shared" si="119"/>
        <v>-92.499938480690702</v>
      </c>
      <c r="AH236">
        <f t="shared" si="120"/>
        <v>0</v>
      </c>
      <c r="AI236">
        <f t="shared" si="125"/>
        <v>0</v>
      </c>
    </row>
    <row r="237" spans="1:35" x14ac:dyDescent="0.25">
      <c r="A237" s="335">
        <v>14044.75</v>
      </c>
      <c r="B237" s="352">
        <f t="shared" si="121"/>
        <v>14.044750000000001</v>
      </c>
      <c r="C237" s="325">
        <f t="shared" si="96"/>
        <v>17.049307446741306</v>
      </c>
      <c r="D237" s="326">
        <f t="shared" si="97"/>
        <v>1.5121092356636647</v>
      </c>
      <c r="E237" s="326">
        <f t="shared" si="98"/>
        <v>1.0001557341803908</v>
      </c>
      <c r="F237" s="327">
        <f t="shared" si="99"/>
        <v>1.7647321163880014E-2</v>
      </c>
      <c r="G237" s="326">
        <f t="shared" si="100"/>
        <v>1</v>
      </c>
      <c r="H237" s="327">
        <f t="shared" si="101"/>
        <v>0</v>
      </c>
      <c r="I237" s="325">
        <f t="shared" si="102"/>
        <v>18641.116979544884</v>
      </c>
      <c r="J237" s="328">
        <f t="shared" si="103"/>
        <v>1.5707426819408046</v>
      </c>
      <c r="K237" s="336">
        <f t="shared" si="123"/>
        <v>3.7469243587214232</v>
      </c>
      <c r="L237" s="337">
        <f t="shared" si="124"/>
        <v>1.3006364078897079</v>
      </c>
      <c r="M237" s="325">
        <f t="shared" si="104"/>
        <v>1.0046078385160975</v>
      </c>
      <c r="N237" s="337">
        <f t="shared" si="105"/>
        <v>9.5814553482142503E-2</v>
      </c>
      <c r="O237" s="343">
        <f t="shared" si="106"/>
        <v>1.0033248311731209</v>
      </c>
      <c r="P237" s="691">
        <f t="shared" si="107"/>
        <v>8.1432734804237669E-2</v>
      </c>
      <c r="Q237" s="336">
        <f t="shared" si="122"/>
        <v>15.134948301448011</v>
      </c>
      <c r="R237" s="692">
        <f t="shared" si="108"/>
        <v>3.8074315239638147E-2</v>
      </c>
      <c r="S237" s="329">
        <f t="shared" si="109"/>
        <v>0.9985216309422178</v>
      </c>
      <c r="T237" s="330">
        <f t="shared" si="110"/>
        <v>0.12089837332395517</v>
      </c>
      <c r="U237" s="331">
        <f t="shared" si="111"/>
        <v>9.2047245461788982</v>
      </c>
      <c r="V237" s="332">
        <f t="shared" si="112"/>
        <v>-111.03479161839407</v>
      </c>
      <c r="W237" s="334">
        <f t="shared" si="113"/>
        <v>68.965208381605933</v>
      </c>
      <c r="Y237" s="307">
        <f t="shared" si="114"/>
        <v>1000000000</v>
      </c>
      <c r="Z237" s="307">
        <f t="shared" si="115"/>
        <v>197255002.5625</v>
      </c>
      <c r="AB237" s="333">
        <f t="shared" si="116"/>
        <v>23.731353032140259</v>
      </c>
      <c r="AC237" s="334">
        <f t="shared" si="117"/>
        <v>-20.965719077545913</v>
      </c>
      <c r="AE237" s="333">
        <f t="shared" si="118"/>
        <v>43.023559223366483</v>
      </c>
      <c r="AF237" s="334">
        <f t="shared" si="119"/>
        <v>-92.553326991095787</v>
      </c>
      <c r="AH237">
        <f t="shared" si="120"/>
        <v>0</v>
      </c>
      <c r="AI237">
        <f t="shared" si="125"/>
        <v>0</v>
      </c>
    </row>
    <row r="238" spans="1:35" x14ac:dyDescent="0.25">
      <c r="A238" s="335">
        <v>14125</v>
      </c>
      <c r="B238" s="352">
        <f t="shared" si="121"/>
        <v>14.125</v>
      </c>
      <c r="C238" s="325">
        <f t="shared" si="96"/>
        <v>17.14639093429599</v>
      </c>
      <c r="D238" s="326">
        <f t="shared" si="97"/>
        <v>1.5124419028706615</v>
      </c>
      <c r="E238" s="326">
        <f t="shared" si="98"/>
        <v>1.0001575188167982</v>
      </c>
      <c r="F238" s="327">
        <f t="shared" si="99"/>
        <v>1.77481347054987E-2</v>
      </c>
      <c r="G238" s="326">
        <f t="shared" si="100"/>
        <v>1</v>
      </c>
      <c r="H238" s="327">
        <f t="shared" si="101"/>
        <v>0</v>
      </c>
      <c r="I238" s="325">
        <f t="shared" si="102"/>
        <v>18747.630063317516</v>
      </c>
      <c r="J238" s="328">
        <f t="shared" si="103"/>
        <v>1.5707429867195326</v>
      </c>
      <c r="K238" s="336">
        <f t="shared" si="123"/>
        <v>3.7668129038387845</v>
      </c>
      <c r="L238" s="337">
        <f t="shared" si="124"/>
        <v>1.3020982878519471</v>
      </c>
      <c r="M238" s="325">
        <f t="shared" si="104"/>
        <v>1.0046605237286637</v>
      </c>
      <c r="N238" s="337">
        <f t="shared" si="105"/>
        <v>9.6358653182364126E-2</v>
      </c>
      <c r="O238" s="343">
        <f t="shared" si="106"/>
        <v>1.0033628712328708</v>
      </c>
      <c r="P238" s="691">
        <f t="shared" si="107"/>
        <v>8.1895959753698774E-2</v>
      </c>
      <c r="Q238" s="336">
        <f t="shared" si="122"/>
        <v>15.135070363096517</v>
      </c>
      <c r="R238" s="692">
        <f t="shared" si="108"/>
        <v>3.8291664385350269E-2</v>
      </c>
      <c r="S238" s="329">
        <f t="shared" si="109"/>
        <v>0.99850512167438177</v>
      </c>
      <c r="T238" s="330">
        <f t="shared" si="110"/>
        <v>0.12159460715204258</v>
      </c>
      <c r="U238" s="331">
        <f t="shared" si="111"/>
        <v>9.1518614349178069</v>
      </c>
      <c r="V238" s="332">
        <f t="shared" si="112"/>
        <v>-111.02131199593465</v>
      </c>
      <c r="W238" s="334">
        <f t="shared" si="113"/>
        <v>68.978688004065347</v>
      </c>
      <c r="Y238" s="307">
        <f t="shared" si="114"/>
        <v>1000000000</v>
      </c>
      <c r="Z238" s="307">
        <f t="shared" si="115"/>
        <v>199515625</v>
      </c>
      <c r="AB238" s="333">
        <f t="shared" si="116"/>
        <v>23.727391129837621</v>
      </c>
      <c r="AC238" s="334">
        <f t="shared" si="117"/>
        <v>-20.913151604486636</v>
      </c>
      <c r="AE238" s="333">
        <f t="shared" si="118"/>
        <v>42.974398754249165</v>
      </c>
      <c r="AF238" s="334">
        <f t="shared" si="119"/>
        <v>-92.606502487550998</v>
      </c>
      <c r="AH238">
        <f t="shared" si="120"/>
        <v>0</v>
      </c>
      <c r="AI238">
        <f t="shared" si="125"/>
        <v>0</v>
      </c>
    </row>
    <row r="239" spans="1:35" x14ac:dyDescent="0.25">
      <c r="A239" s="335">
        <v>14207.25</v>
      </c>
      <c r="B239" s="352">
        <f t="shared" si="121"/>
        <v>14.20725</v>
      </c>
      <c r="C239" s="325">
        <f t="shared" si="96"/>
        <v>17.245895894647973</v>
      </c>
      <c r="D239" s="326">
        <f t="shared" si="97"/>
        <v>1.5127789742202984</v>
      </c>
      <c r="E239" s="326">
        <f t="shared" si="98"/>
        <v>1.0001593584782138</v>
      </c>
      <c r="F239" s="327">
        <f t="shared" si="99"/>
        <v>1.7851460359720121E-2</v>
      </c>
      <c r="G239" s="326">
        <f t="shared" si="100"/>
        <v>1</v>
      </c>
      <c r="H239" s="327">
        <f t="shared" si="101"/>
        <v>0</v>
      </c>
      <c r="I239" s="325">
        <f t="shared" si="102"/>
        <v>18856.797678774747</v>
      </c>
      <c r="J239" s="328">
        <f t="shared" si="103"/>
        <v>1.5707432955211085</v>
      </c>
      <c r="K239" s="336">
        <f t="shared" si="123"/>
        <v>3.7872053782566377</v>
      </c>
      <c r="L239" s="337">
        <f t="shared" si="124"/>
        <v>1.3035806647964323</v>
      </c>
      <c r="M239" s="325">
        <f t="shared" si="104"/>
        <v>1.0047148305707421</v>
      </c>
      <c r="N239" s="337">
        <f t="shared" si="105"/>
        <v>9.6916253615928913E-2</v>
      </c>
      <c r="O239" s="343">
        <f t="shared" si="106"/>
        <v>1.0034020827286843</v>
      </c>
      <c r="P239" s="691">
        <f t="shared" si="107"/>
        <v>8.2370692698712916E-2</v>
      </c>
      <c r="Q239" s="336">
        <f t="shared" si="122"/>
        <v>15.135196187423398</v>
      </c>
      <c r="R239" s="692">
        <f t="shared" si="108"/>
        <v>3.8514426737682711E-2</v>
      </c>
      <c r="S239" s="329">
        <f t="shared" si="109"/>
        <v>0.9984881136484145</v>
      </c>
      <c r="T239" s="330">
        <f t="shared" si="110"/>
        <v>0.12230828872042919</v>
      </c>
      <c r="U239" s="331">
        <f t="shared" si="111"/>
        <v>9.0980271480883061</v>
      </c>
      <c r="V239" s="332">
        <f t="shared" si="112"/>
        <v>-111.0081906299675</v>
      </c>
      <c r="W239" s="334">
        <f t="shared" si="113"/>
        <v>68.991809370032499</v>
      </c>
      <c r="Y239" s="307">
        <f t="shared" si="114"/>
        <v>1000000000</v>
      </c>
      <c r="Z239" s="307">
        <f t="shared" si="115"/>
        <v>201845952.5625</v>
      </c>
      <c r="AB239" s="333">
        <f t="shared" si="116"/>
        <v>23.723386461019874</v>
      </c>
      <c r="AC239" s="334">
        <f t="shared" si="117"/>
        <v>-20.860183506384544</v>
      </c>
      <c r="AE239" s="333">
        <f t="shared" si="118"/>
        <v>42.924301906878597</v>
      </c>
      <c r="AF239" s="334">
        <f t="shared" si="119"/>
        <v>-92.660786071224507</v>
      </c>
      <c r="AH239">
        <f t="shared" si="120"/>
        <v>0</v>
      </c>
      <c r="AI239">
        <f t="shared" si="125"/>
        <v>0</v>
      </c>
    </row>
    <row r="240" spans="1:35" x14ac:dyDescent="0.25">
      <c r="A240" s="335">
        <v>14289.5</v>
      </c>
      <c r="B240" s="352">
        <f t="shared" si="121"/>
        <v>14.2895</v>
      </c>
      <c r="C240" s="325">
        <f t="shared" si="96"/>
        <v>17.345402791947198</v>
      </c>
      <c r="D240" s="326">
        <f t="shared" si="97"/>
        <v>1.5131121781937347</v>
      </c>
      <c r="E240" s="326">
        <f t="shared" si="98"/>
        <v>1.0001612088174823</v>
      </c>
      <c r="F240" s="327">
        <f t="shared" si="99"/>
        <v>1.7954785632731261E-2</v>
      </c>
      <c r="G240" s="326">
        <f t="shared" si="100"/>
        <v>1</v>
      </c>
      <c r="H240" s="327">
        <f t="shared" si="101"/>
        <v>0</v>
      </c>
      <c r="I240" s="325">
        <f t="shared" si="102"/>
        <v>18965.965294233753</v>
      </c>
      <c r="J240" s="328">
        <f t="shared" si="103"/>
        <v>1.5707436007677764</v>
      </c>
      <c r="K240" s="336">
        <f t="shared" si="123"/>
        <v>3.8076060856834508</v>
      </c>
      <c r="L240" s="337">
        <f t="shared" si="124"/>
        <v>1.3050471601306664</v>
      </c>
      <c r="M240" s="325">
        <f t="shared" si="104"/>
        <v>1.0047694497631663</v>
      </c>
      <c r="N240" s="337">
        <f t="shared" si="105"/>
        <v>9.7473793600591316E-2</v>
      </c>
      <c r="O240" s="343">
        <f t="shared" si="106"/>
        <v>1.0034415203448956</v>
      </c>
      <c r="P240" s="691">
        <f t="shared" si="107"/>
        <v>8.2845388434456116E-2</v>
      </c>
      <c r="Q240" s="336">
        <f t="shared" si="122"/>
        <v>15.135322741245227</v>
      </c>
      <c r="R240" s="692">
        <f t="shared" si="108"/>
        <v>3.8737185430360872E-2</v>
      </c>
      <c r="S240" s="329">
        <f t="shared" si="109"/>
        <v>0.9984710174167698</v>
      </c>
      <c r="T240" s="330">
        <f t="shared" si="110"/>
        <v>0.12302206814353127</v>
      </c>
      <c r="U240" s="331">
        <f t="shared" si="111"/>
        <v>9.0445388290520725</v>
      </c>
      <c r="V240" s="332">
        <f t="shared" si="112"/>
        <v>-110.99576151251352</v>
      </c>
      <c r="W240" s="334">
        <f t="shared" si="113"/>
        <v>69.004238487486475</v>
      </c>
      <c r="Y240" s="307">
        <f t="shared" si="114"/>
        <v>1000000000</v>
      </c>
      <c r="Z240" s="307">
        <f t="shared" si="115"/>
        <v>204189810.25</v>
      </c>
      <c r="AB240" s="333">
        <f t="shared" si="116"/>
        <v>23.719437180548681</v>
      </c>
      <c r="AC240" s="334">
        <f t="shared" si="117"/>
        <v>-20.808121690374549</v>
      </c>
      <c r="AE240" s="333">
        <f t="shared" si="118"/>
        <v>42.874494112942116</v>
      </c>
      <c r="AF240" s="334">
        <f t="shared" si="119"/>
        <v>-92.714853699067632</v>
      </c>
      <c r="AH240">
        <f t="shared" si="120"/>
        <v>0</v>
      </c>
      <c r="AI240">
        <f t="shared" si="125"/>
        <v>0</v>
      </c>
    </row>
    <row r="241" spans="1:35" x14ac:dyDescent="0.25">
      <c r="A241" s="335">
        <v>14371.75</v>
      </c>
      <c r="B241" s="352">
        <f t="shared" si="121"/>
        <v>14.37175</v>
      </c>
      <c r="C241" s="325">
        <f t="shared" si="96"/>
        <v>17.444911593048253</v>
      </c>
      <c r="D241" s="326">
        <f t="shared" si="97"/>
        <v>1.5134415808968955</v>
      </c>
      <c r="E241" s="326">
        <f t="shared" si="98"/>
        <v>1.0001630698345443</v>
      </c>
      <c r="F241" s="327">
        <f t="shared" si="99"/>
        <v>1.8058110522328016E-2</v>
      </c>
      <c r="G241" s="326">
        <f t="shared" si="100"/>
        <v>1</v>
      </c>
      <c r="H241" s="327">
        <f t="shared" si="101"/>
        <v>0</v>
      </c>
      <c r="I241" s="325">
        <f t="shared" si="102"/>
        <v>19075.132909694501</v>
      </c>
      <c r="J241" s="328">
        <f t="shared" si="103"/>
        <v>1.5707439025205709</v>
      </c>
      <c r="K241" s="336">
        <f t="shared" si="123"/>
        <v>3.8280148944902659</v>
      </c>
      <c r="L241" s="337">
        <f t="shared" si="124"/>
        <v>1.3064980215112669</v>
      </c>
      <c r="M241" s="325">
        <f t="shared" si="104"/>
        <v>1.0048243812550008</v>
      </c>
      <c r="N241" s="337">
        <f t="shared" si="105"/>
        <v>9.8031272799613697E-2</v>
      </c>
      <c r="O241" s="343">
        <f t="shared" si="106"/>
        <v>1.0034811840548445</v>
      </c>
      <c r="P241" s="691">
        <f t="shared" si="107"/>
        <v>8.3320046751396024E-2</v>
      </c>
      <c r="Q241" s="336">
        <f t="shared" si="122"/>
        <v>15.135450024543726</v>
      </c>
      <c r="R241" s="692">
        <f t="shared" si="108"/>
        <v>3.8959940442321025E-2</v>
      </c>
      <c r="S241" s="329">
        <f t="shared" si="109"/>
        <v>0.99845383316313452</v>
      </c>
      <c r="T241" s="330">
        <f t="shared" si="110"/>
        <v>0.12373594597901584</v>
      </c>
      <c r="U241" s="331">
        <f t="shared" si="111"/>
        <v>8.991391951262214</v>
      </c>
      <c r="V241" s="332">
        <f t="shared" si="112"/>
        <v>-110.98401426856429</v>
      </c>
      <c r="W241" s="334">
        <f t="shared" si="113"/>
        <v>69.015985731435705</v>
      </c>
      <c r="Y241" s="307">
        <f t="shared" si="114"/>
        <v>1000000000</v>
      </c>
      <c r="Z241" s="307">
        <f t="shared" si="115"/>
        <v>206547198.0625</v>
      </c>
      <c r="AB241" s="333">
        <f t="shared" si="116"/>
        <v>23.715542038957945</v>
      </c>
      <c r="AC241" s="334">
        <f t="shared" si="117"/>
        <v>-20.756951950981041</v>
      </c>
      <c r="AE241" s="333">
        <f t="shared" si="118"/>
        <v>42.824972095798444</v>
      </c>
      <c r="AF241" s="334">
        <f t="shared" si="119"/>
        <v>-92.768709190749149</v>
      </c>
      <c r="AH241">
        <f t="shared" si="120"/>
        <v>0</v>
      </c>
      <c r="AI241">
        <f t="shared" si="125"/>
        <v>0</v>
      </c>
    </row>
    <row r="242" spans="1:35" x14ac:dyDescent="0.25">
      <c r="A242" s="335">
        <v>14454</v>
      </c>
      <c r="B242" s="352">
        <f t="shared" si="121"/>
        <v>14.454000000000001</v>
      </c>
      <c r="C242" s="325">
        <f t="shared" si="96"/>
        <v>17.544422265557078</v>
      </c>
      <c r="D242" s="326">
        <f t="shared" si="97"/>
        <v>1.5137672469392573</v>
      </c>
      <c r="E242" s="326">
        <f t="shared" si="98"/>
        <v>1.0001649415293403</v>
      </c>
      <c r="F242" s="327">
        <f t="shared" si="99"/>
        <v>1.8161435026306336E-2</v>
      </c>
      <c r="G242" s="326">
        <f t="shared" si="100"/>
        <v>1</v>
      </c>
      <c r="H242" s="327">
        <f t="shared" si="101"/>
        <v>0</v>
      </c>
      <c r="I242" s="325">
        <f t="shared" si="102"/>
        <v>19184.300525156974</v>
      </c>
      <c r="J242" s="328">
        <f t="shared" si="103"/>
        <v>1.570744200839137</v>
      </c>
      <c r="K242" s="336">
        <f t="shared" si="123"/>
        <v>3.848431675788595</v>
      </c>
      <c r="L242" s="337">
        <f t="shared" si="124"/>
        <v>1.3079334916057761</v>
      </c>
      <c r="M242" s="325">
        <f t="shared" si="104"/>
        <v>1.0048796249950303</v>
      </c>
      <c r="N242" s="337">
        <f t="shared" si="105"/>
        <v>9.8588690876482879E-2</v>
      </c>
      <c r="O242" s="343">
        <f t="shared" si="106"/>
        <v>1.0035210738317224</v>
      </c>
      <c r="P242" s="691">
        <f t="shared" si="107"/>
        <v>8.3794667440100737E-2</v>
      </c>
      <c r="Q242" s="336">
        <f t="shared" si="122"/>
        <v>15.135578037300503</v>
      </c>
      <c r="R242" s="692">
        <f t="shared" si="108"/>
        <v>3.9182691752501532E-2</v>
      </c>
      <c r="S242" s="329">
        <f t="shared" si="109"/>
        <v>0.99843656107227174</v>
      </c>
      <c r="T242" s="330">
        <f t="shared" si="110"/>
        <v>0.12444992278438938</v>
      </c>
      <c r="U242" s="331">
        <f t="shared" si="111"/>
        <v>8.9385820765917536</v>
      </c>
      <c r="V242" s="332">
        <f t="shared" si="112"/>
        <v>-110.9729387231426</v>
      </c>
      <c r="W242" s="334">
        <f t="shared" si="113"/>
        <v>69.027061276857395</v>
      </c>
      <c r="Y242" s="307">
        <f t="shared" si="114"/>
        <v>1000000000</v>
      </c>
      <c r="Z242" s="307">
        <f t="shared" si="115"/>
        <v>208918116</v>
      </c>
      <c r="AB242" s="333">
        <f t="shared" si="116"/>
        <v>23.711699819886988</v>
      </c>
      <c r="AC242" s="334">
        <f t="shared" si="117"/>
        <v>-20.706660368514633</v>
      </c>
      <c r="AE242" s="333">
        <f t="shared" si="118"/>
        <v>42.775732634123216</v>
      </c>
      <c r="AF242" s="334">
        <f t="shared" si="119"/>
        <v>-92.822356280188401</v>
      </c>
      <c r="AH242">
        <f t="shared" si="120"/>
        <v>0</v>
      </c>
      <c r="AI242">
        <f t="shared" si="125"/>
        <v>0</v>
      </c>
    </row>
    <row r="243" spans="1:35" x14ac:dyDescent="0.25">
      <c r="A243" s="335">
        <v>14622.5</v>
      </c>
      <c r="B243" s="352">
        <f t="shared" si="121"/>
        <v>14.6225</v>
      </c>
      <c r="C243" s="325">
        <f t="shared" si="96"/>
        <v>17.748288746683404</v>
      </c>
      <c r="D243" s="326">
        <f t="shared" si="97"/>
        <v>1.5144230127731872</v>
      </c>
      <c r="E243" s="326">
        <f t="shared" si="98"/>
        <v>1.0001688092873837</v>
      </c>
      <c r="F243" s="327">
        <f t="shared" si="99"/>
        <v>1.8373107720669177E-2</v>
      </c>
      <c r="G243" s="326">
        <f t="shared" si="100"/>
        <v>1</v>
      </c>
      <c r="H243" s="327">
        <f t="shared" si="101"/>
        <v>0</v>
      </c>
      <c r="I243" s="325">
        <f t="shared" si="102"/>
        <v>19407.944819453107</v>
      </c>
      <c r="J243" s="328">
        <f t="shared" si="103"/>
        <v>1.5707448015041074</v>
      </c>
      <c r="K243" s="336">
        <f t="shared" si="123"/>
        <v>3.8902825189194852</v>
      </c>
      <c r="L243" s="337">
        <f t="shared" si="124"/>
        <v>1.3108271754656569</v>
      </c>
      <c r="M243" s="325">
        <f t="shared" si="104"/>
        <v>1.0049937739605586</v>
      </c>
      <c r="N243" s="337">
        <f t="shared" si="105"/>
        <v>9.9730443221151988E-2</v>
      </c>
      <c r="O243" s="343">
        <f t="shared" si="106"/>
        <v>1.003603499153529</v>
      </c>
      <c r="P243" s="691">
        <f t="shared" si="107"/>
        <v>8.4766872288575087E-2</v>
      </c>
      <c r="Q243" s="336">
        <f t="shared" si="122"/>
        <v>15.135842566205799</v>
      </c>
      <c r="R243" s="692">
        <f t="shared" si="108"/>
        <v>3.9639015614797685E-2</v>
      </c>
      <c r="S243" s="329">
        <f t="shared" si="109"/>
        <v>0.99840090339996279</v>
      </c>
      <c r="T243" s="330">
        <f t="shared" si="110"/>
        <v>0.12591291007954375</v>
      </c>
      <c r="U243" s="331">
        <f t="shared" si="111"/>
        <v>8.8314281989395713</v>
      </c>
      <c r="V243" s="332">
        <f t="shared" si="112"/>
        <v>-110.95230471373161</v>
      </c>
      <c r="W243" s="334">
        <f t="shared" si="113"/>
        <v>69.047695286268393</v>
      </c>
      <c r="Y243" s="307">
        <f t="shared" si="114"/>
        <v>1000000000</v>
      </c>
      <c r="Z243" s="307">
        <f t="shared" si="115"/>
        <v>213817506.25</v>
      </c>
      <c r="AB243" s="333">
        <f t="shared" si="116"/>
        <v>23.703988833959468</v>
      </c>
      <c r="AC243" s="334">
        <f t="shared" si="117"/>
        <v>-20.60631650215009</v>
      </c>
      <c r="AE243" s="333">
        <f t="shared" si="118"/>
        <v>42.675728150966478</v>
      </c>
      <c r="AF243" s="334">
        <f t="shared" si="119"/>
        <v>-92.931623940414767</v>
      </c>
      <c r="AH243">
        <f t="shared" si="120"/>
        <v>0</v>
      </c>
      <c r="AI243">
        <f t="shared" si="125"/>
        <v>0</v>
      </c>
    </row>
    <row r="244" spans="1:35" x14ac:dyDescent="0.25">
      <c r="A244" s="335">
        <v>14706.75</v>
      </c>
      <c r="B244" s="352">
        <f t="shared" si="121"/>
        <v>14.70675</v>
      </c>
      <c r="C244" s="325">
        <f t="shared" si="96"/>
        <v>17.850224800317772</v>
      </c>
      <c r="D244" s="326">
        <f t="shared" si="97"/>
        <v>1.5147452785205673</v>
      </c>
      <c r="E244" s="326">
        <f t="shared" si="98"/>
        <v>1.0001707599711425</v>
      </c>
      <c r="F244" s="327">
        <f t="shared" si="99"/>
        <v>1.8478943451560353E-2</v>
      </c>
      <c r="G244" s="326">
        <f t="shared" si="100"/>
        <v>1</v>
      </c>
      <c r="H244" s="327">
        <f t="shared" si="101"/>
        <v>0</v>
      </c>
      <c r="I244" s="325">
        <f t="shared" si="102"/>
        <v>19519.766966603755</v>
      </c>
      <c r="J244" s="328">
        <f t="shared" si="103"/>
        <v>1.5707450966750829</v>
      </c>
      <c r="K244" s="336">
        <f t="shared" si="123"/>
        <v>3.9112199599870263</v>
      </c>
      <c r="L244" s="337">
        <f t="shared" si="124"/>
        <v>1.3122507891923618</v>
      </c>
      <c r="M244" s="325">
        <f t="shared" si="104"/>
        <v>1.0050513396500609</v>
      </c>
      <c r="N244" s="337">
        <f t="shared" si="105"/>
        <v>0.10030122176534569</v>
      </c>
      <c r="O244" s="343">
        <f t="shared" si="106"/>
        <v>1.0036450674911068</v>
      </c>
      <c r="P244" s="691">
        <f t="shared" si="107"/>
        <v>8.5252914600667792E-2</v>
      </c>
      <c r="Q244" s="336">
        <f t="shared" si="122"/>
        <v>15.135975978626401</v>
      </c>
      <c r="R244" s="692">
        <f t="shared" si="108"/>
        <v>3.98671716302351E-2</v>
      </c>
      <c r="S244" s="329">
        <f t="shared" si="109"/>
        <v>0.99838293711840387</v>
      </c>
      <c r="T244" s="330">
        <f t="shared" si="110"/>
        <v>0.12664456186346079</v>
      </c>
      <c r="U244" s="331">
        <f t="shared" si="111"/>
        <v>8.7783634239368986</v>
      </c>
      <c r="V244" s="332">
        <f t="shared" si="112"/>
        <v>-110.94300305859777</v>
      </c>
      <c r="W244" s="334">
        <f t="shared" si="113"/>
        <v>69.056996941402232</v>
      </c>
      <c r="Y244" s="307">
        <f t="shared" si="114"/>
        <v>1000000000</v>
      </c>
      <c r="Z244" s="307">
        <f t="shared" si="115"/>
        <v>216288495.5625</v>
      </c>
      <c r="AB244" s="333">
        <f t="shared" si="116"/>
        <v>23.700211704246851</v>
      </c>
      <c r="AC244" s="334">
        <f t="shared" si="117"/>
        <v>-20.557469557567241</v>
      </c>
      <c r="AE244" s="333">
        <f t="shared" si="118"/>
        <v>42.626157311557634</v>
      </c>
      <c r="AF244" s="334">
        <f t="shared" si="119"/>
        <v>-92.985945026273271</v>
      </c>
      <c r="AH244">
        <f t="shared" si="120"/>
        <v>0</v>
      </c>
      <c r="AI244">
        <f t="shared" si="125"/>
        <v>0</v>
      </c>
    </row>
    <row r="245" spans="1:35" x14ac:dyDescent="0.25">
      <c r="A245" s="335">
        <v>14791</v>
      </c>
      <c r="B245" s="352">
        <f t="shared" si="121"/>
        <v>14.791</v>
      </c>
      <c r="C245" s="325">
        <f t="shared" si="96"/>
        <v>17.952162686737957</v>
      </c>
      <c r="D245" s="326">
        <f t="shared" si="97"/>
        <v>1.5150638844531916</v>
      </c>
      <c r="E245" s="326">
        <f t="shared" si="98"/>
        <v>1.0001727218579723</v>
      </c>
      <c r="F245" s="327">
        <f t="shared" si="99"/>
        <v>1.8584778768433272E-2</v>
      </c>
      <c r="G245" s="326">
        <f t="shared" si="100"/>
        <v>1</v>
      </c>
      <c r="H245" s="327">
        <f t="shared" si="101"/>
        <v>0</v>
      </c>
      <c r="I245" s="325">
        <f t="shared" si="102"/>
        <v>19631.589113756083</v>
      </c>
      <c r="J245" s="328">
        <f t="shared" si="103"/>
        <v>1.5707453884834519</v>
      </c>
      <c r="K245" s="336">
        <f t="shared" si="123"/>
        <v>3.9321652434062808</v>
      </c>
      <c r="L245" s="337">
        <f t="shared" si="124"/>
        <v>1.3136592395529725</v>
      </c>
      <c r="M245" s="325">
        <f t="shared" si="104"/>
        <v>1.0051092327358082</v>
      </c>
      <c r="N245" s="337">
        <f t="shared" si="105"/>
        <v>0.10087193474313462</v>
      </c>
      <c r="O245" s="343">
        <f t="shared" si="106"/>
        <v>1.0036868729072423</v>
      </c>
      <c r="P245" s="691">
        <f t="shared" si="107"/>
        <v>8.5738916538440249E-2</v>
      </c>
      <c r="Q245" s="336">
        <f t="shared" si="122"/>
        <v>15.136110156332053</v>
      </c>
      <c r="R245" s="692">
        <f t="shared" si="108"/>
        <v>4.0095323671696222E-2</v>
      </c>
      <c r="S245" s="329">
        <f t="shared" si="109"/>
        <v>0.99836487947720642</v>
      </c>
      <c r="T245" s="330">
        <f t="shared" si="110"/>
        <v>0.12737631986961045</v>
      </c>
      <c r="U245" s="331">
        <f t="shared" si="111"/>
        <v>8.7256341846323799</v>
      </c>
      <c r="V245" s="332">
        <f t="shared" si="112"/>
        <v>-110.93436475445753</v>
      </c>
      <c r="W245" s="334">
        <f t="shared" si="113"/>
        <v>69.065635245542467</v>
      </c>
      <c r="Y245" s="307">
        <f t="shared" si="114"/>
        <v>1000000000</v>
      </c>
      <c r="Z245" s="307">
        <f t="shared" si="115"/>
        <v>218773681</v>
      </c>
      <c r="AB245" s="333">
        <f t="shared" si="116"/>
        <v>23.696485240935587</v>
      </c>
      <c r="AC245" s="334">
        <f t="shared" si="117"/>
        <v>-20.509487460524369</v>
      </c>
      <c r="AE245" s="333">
        <f t="shared" si="118"/>
        <v>42.576869743156884</v>
      </c>
      <c r="AF245" s="334">
        <f t="shared" si="119"/>
        <v>-93.040062529999346</v>
      </c>
      <c r="AH245">
        <f t="shared" si="120"/>
        <v>0</v>
      </c>
      <c r="AI245">
        <f t="shared" si="125"/>
        <v>0</v>
      </c>
    </row>
    <row r="246" spans="1:35" x14ac:dyDescent="0.25">
      <c r="A246" s="335">
        <v>14877.25</v>
      </c>
      <c r="B246" s="352">
        <f t="shared" si="121"/>
        <v>14.87725</v>
      </c>
      <c r="C246" s="325">
        <f t="shared" si="96"/>
        <v>18.056522329792173</v>
      </c>
      <c r="D246" s="326">
        <f t="shared" si="97"/>
        <v>1.5153863272157002</v>
      </c>
      <c r="E246" s="326">
        <f t="shared" si="98"/>
        <v>1.0001747419228644</v>
      </c>
      <c r="F246" s="327">
        <f t="shared" si="99"/>
        <v>1.8693126065038895E-2</v>
      </c>
      <c r="G246" s="326">
        <f t="shared" si="100"/>
        <v>1</v>
      </c>
      <c r="H246" s="327">
        <f t="shared" si="101"/>
        <v>0</v>
      </c>
      <c r="I246" s="325">
        <f t="shared" si="102"/>
        <v>19746.065792593268</v>
      </c>
      <c r="J246" s="328">
        <f t="shared" si="103"/>
        <v>1.5707456837953782</v>
      </c>
      <c r="K246" s="336">
        <f t="shared" si="123"/>
        <v>3.9536157379145243</v>
      </c>
      <c r="L246" s="337">
        <f t="shared" si="124"/>
        <v>1.3150856631903922</v>
      </c>
      <c r="M246" s="325">
        <f t="shared" si="104"/>
        <v>1.005168839225586</v>
      </c>
      <c r="N246" s="337">
        <f t="shared" si="105"/>
        <v>0.10145612750758985</v>
      </c>
      <c r="O246" s="343">
        <f t="shared" si="106"/>
        <v>1.0037299162932123</v>
      </c>
      <c r="P246" s="691">
        <f t="shared" si="107"/>
        <v>8.62364135564197E-2</v>
      </c>
      <c r="Q246" s="336">
        <f t="shared" si="122"/>
        <v>15.136248311995091</v>
      </c>
      <c r="R246" s="692">
        <f t="shared" si="108"/>
        <v>4.0328887645134349E-2</v>
      </c>
      <c r="S246" s="329">
        <f t="shared" si="109"/>
        <v>0.99834629874290248</v>
      </c>
      <c r="T246" s="330">
        <f t="shared" si="110"/>
        <v>0.12812555964490596</v>
      </c>
      <c r="U246" s="331">
        <f t="shared" si="111"/>
        <v>8.671996277917307</v>
      </c>
      <c r="V246" s="332">
        <f t="shared" si="112"/>
        <v>-110.9261981942294</v>
      </c>
      <c r="W246" s="334">
        <f t="shared" si="113"/>
        <v>69.0738018057706</v>
      </c>
      <c r="Y246" s="307">
        <f t="shared" si="114"/>
        <v>1000000000</v>
      </c>
      <c r="Z246" s="307">
        <f t="shared" si="115"/>
        <v>221332567.5625</v>
      </c>
      <c r="AB246" s="333">
        <f t="shared" si="116"/>
        <v>23.692721607486945</v>
      </c>
      <c r="AC246" s="334">
        <f t="shared" si="117"/>
        <v>-20.461248106199772</v>
      </c>
      <c r="AE246" s="333">
        <f t="shared" si="118"/>
        <v>42.526702261690559</v>
      </c>
      <c r="AF246" s="334">
        <f t="shared" si="119"/>
        <v>-93.095257573639302</v>
      </c>
      <c r="AH246">
        <f t="shared" si="120"/>
        <v>0</v>
      </c>
      <c r="AI246">
        <f t="shared" si="125"/>
        <v>0</v>
      </c>
    </row>
    <row r="247" spans="1:35" x14ac:dyDescent="0.25">
      <c r="A247" s="335">
        <v>14963.5</v>
      </c>
      <c r="B247" s="352">
        <f t="shared" si="121"/>
        <v>14.9635</v>
      </c>
      <c r="C247" s="325">
        <f t="shared" si="96"/>
        <v>18.160883828595196</v>
      </c>
      <c r="D247" s="326">
        <f t="shared" si="97"/>
        <v>1.5157050641770762</v>
      </c>
      <c r="E247" s="326">
        <f t="shared" si="98"/>
        <v>1.0001767737288969</v>
      </c>
      <c r="F247" s="327">
        <f t="shared" si="99"/>
        <v>1.880147292271285E-2</v>
      </c>
      <c r="G247" s="326">
        <f t="shared" si="100"/>
        <v>1</v>
      </c>
      <c r="H247" s="327">
        <f t="shared" si="101"/>
        <v>0</v>
      </c>
      <c r="I247" s="325">
        <f t="shared" si="102"/>
        <v>19860.542471432153</v>
      </c>
      <c r="J247" s="328">
        <f t="shared" si="103"/>
        <v>1.5707459757029332</v>
      </c>
      <c r="K247" s="336">
        <f t="shared" si="123"/>
        <v>3.9750741899547588</v>
      </c>
      <c r="L247" s="337">
        <f t="shared" si="124"/>
        <v>1.3164966892846388</v>
      </c>
      <c r="M247" s="325">
        <f t="shared" si="104"/>
        <v>1.0052287887198263</v>
      </c>
      <c r="N247" s="337">
        <f t="shared" si="105"/>
        <v>0.10204025079159491</v>
      </c>
      <c r="O247" s="343">
        <f t="shared" si="106"/>
        <v>1.0037732080842898</v>
      </c>
      <c r="P247" s="691">
        <f t="shared" si="107"/>
        <v>8.673386778435821E-2</v>
      </c>
      <c r="Q247" s="336">
        <f t="shared" si="122"/>
        <v>15.1363872696652</v>
      </c>
      <c r="R247" s="692">
        <f t="shared" si="108"/>
        <v>4.0562447405699531E-2</v>
      </c>
      <c r="S247" s="329">
        <f t="shared" si="109"/>
        <v>0.99832762269486108</v>
      </c>
      <c r="T247" s="330">
        <f t="shared" si="110"/>
        <v>0.12887491201420542</v>
      </c>
      <c r="U247" s="331">
        <f t="shared" si="111"/>
        <v>8.6187009487613668</v>
      </c>
      <c r="V247" s="332">
        <f t="shared" si="112"/>
        <v>-110.91870603210251</v>
      </c>
      <c r="W247" s="334">
        <f t="shared" si="113"/>
        <v>69.081293967897494</v>
      </c>
      <c r="Y247" s="307">
        <f t="shared" si="114"/>
        <v>1000000000</v>
      </c>
      <c r="Z247" s="307">
        <f t="shared" si="115"/>
        <v>223906332.25</v>
      </c>
      <c r="AB247" s="333">
        <f t="shared" si="116"/>
        <v>23.689008683626124</v>
      </c>
      <c r="AC247" s="334">
        <f t="shared" si="117"/>
        <v>-20.413886790122223</v>
      </c>
      <c r="AE247" s="333">
        <f t="shared" si="118"/>
        <v>42.47682497416119</v>
      </c>
      <c r="AF247" s="334">
        <f t="shared" si="119"/>
        <v>-93.150246766824566</v>
      </c>
      <c r="AH247">
        <f t="shared" si="120"/>
        <v>0</v>
      </c>
      <c r="AI247">
        <f t="shared" si="125"/>
        <v>0</v>
      </c>
    </row>
    <row r="248" spans="1:35" x14ac:dyDescent="0.25">
      <c r="A248" s="335">
        <v>15049.75</v>
      </c>
      <c r="B248" s="352">
        <f t="shared" si="121"/>
        <v>15.04975</v>
      </c>
      <c r="C248" s="325">
        <f t="shared" si="96"/>
        <v>18.265247151337643</v>
      </c>
      <c r="D248" s="326">
        <f t="shared" si="97"/>
        <v>1.5160201587942204</v>
      </c>
      <c r="E248" s="326">
        <f t="shared" si="98"/>
        <v>1.0001788172759982</v>
      </c>
      <c r="F248" s="327">
        <f t="shared" si="99"/>
        <v>1.8909819338914037E-2</v>
      </c>
      <c r="G248" s="326">
        <f t="shared" si="100"/>
        <v>1</v>
      </c>
      <c r="H248" s="327">
        <f t="shared" si="101"/>
        <v>0</v>
      </c>
      <c r="I248" s="325">
        <f t="shared" si="102"/>
        <v>19975.01915027271</v>
      </c>
      <c r="J248" s="328">
        <f t="shared" si="103"/>
        <v>1.5707462642646486</v>
      </c>
      <c r="K248" s="336">
        <f t="shared" si="123"/>
        <v>3.9965404713488897</v>
      </c>
      <c r="L248" s="337">
        <f t="shared" si="124"/>
        <v>1.3178925602818834</v>
      </c>
      <c r="M248" s="325">
        <f t="shared" si="104"/>
        <v>1.0052890811571653</v>
      </c>
      <c r="N248" s="337">
        <f t="shared" si="105"/>
        <v>0.1026243042090101</v>
      </c>
      <c r="O248" s="343">
        <f t="shared" si="106"/>
        <v>1.0038167482483362</v>
      </c>
      <c r="P248" s="691">
        <f t="shared" si="107"/>
        <v>8.7231278981607263E-2</v>
      </c>
      <c r="Q248" s="336">
        <f t="shared" si="122"/>
        <v>15.136527029320305</v>
      </c>
      <c r="R248" s="692">
        <f t="shared" si="108"/>
        <v>4.079600292912345E-2</v>
      </c>
      <c r="S248" s="329">
        <f t="shared" si="109"/>
        <v>0.99830885155503768</v>
      </c>
      <c r="T248" s="330">
        <f t="shared" si="110"/>
        <v>0.12962437761900689</v>
      </c>
      <c r="U248" s="331">
        <f t="shared" si="111"/>
        <v>8.5657437386369466</v>
      </c>
      <c r="V248" s="332">
        <f t="shared" si="112"/>
        <v>-110.91187804327488</v>
      </c>
      <c r="W248" s="334">
        <f t="shared" si="113"/>
        <v>69.088121956725118</v>
      </c>
      <c r="Y248" s="307">
        <f t="shared" si="114"/>
        <v>1000000000</v>
      </c>
      <c r="Z248" s="307">
        <f t="shared" si="115"/>
        <v>226494975.0625</v>
      </c>
      <c r="AB248" s="333">
        <f t="shared" si="116"/>
        <v>23.685345307977521</v>
      </c>
      <c r="AC248" s="334">
        <f t="shared" si="117"/>
        <v>-20.367389602378758</v>
      </c>
      <c r="AE248" s="333">
        <f t="shared" si="118"/>
        <v>42.427234583946259</v>
      </c>
      <c r="AF248" s="334">
        <f t="shared" si="119"/>
        <v>-93.205033782268472</v>
      </c>
      <c r="AH248">
        <f t="shared" si="120"/>
        <v>0</v>
      </c>
      <c r="AI248">
        <f t="shared" si="125"/>
        <v>0</v>
      </c>
    </row>
    <row r="249" spans="1:35" x14ac:dyDescent="0.25">
      <c r="A249" s="335">
        <v>15136</v>
      </c>
      <c r="B249" s="352">
        <f t="shared" si="121"/>
        <v>15.135999999999999</v>
      </c>
      <c r="C249" s="325">
        <f t="shared" si="96"/>
        <v>18.36961226693246</v>
      </c>
      <c r="D249" s="326">
        <f t="shared" si="97"/>
        <v>1.5163316730848697</v>
      </c>
      <c r="E249" s="326">
        <f t="shared" si="98"/>
        <v>1.0001808725640968</v>
      </c>
      <c r="F249" s="327">
        <f t="shared" si="99"/>
        <v>1.9018165311101429E-2</v>
      </c>
      <c r="G249" s="326">
        <f t="shared" si="100"/>
        <v>1</v>
      </c>
      <c r="H249" s="327">
        <f t="shared" si="101"/>
        <v>0</v>
      </c>
      <c r="I249" s="325">
        <f t="shared" si="102"/>
        <v>20089.495829114912</v>
      </c>
      <c r="J249" s="328">
        <f t="shared" si="103"/>
        <v>1.5707465495377211</v>
      </c>
      <c r="K249" s="336">
        <f t="shared" si="123"/>
        <v>4.01801445661172</v>
      </c>
      <c r="L249" s="337">
        <f t="shared" si="124"/>
        <v>1.3192735136844316</v>
      </c>
      <c r="M249" s="325">
        <f t="shared" si="104"/>
        <v>1.005349716475902</v>
      </c>
      <c r="N249" s="337">
        <f t="shared" si="105"/>
        <v>0.10320828737397875</v>
      </c>
      <c r="O249" s="343">
        <f t="shared" si="106"/>
        <v>1.0038605367530333</v>
      </c>
      <c r="P249" s="691">
        <f t="shared" si="107"/>
        <v>8.7728646907645189E-2</v>
      </c>
      <c r="Q249" s="336">
        <f t="shared" si="122"/>
        <v>15.136667590938213</v>
      </c>
      <c r="R249" s="692">
        <f t="shared" si="108"/>
        <v>4.1029554191140488E-2</v>
      </c>
      <c r="S249" s="329">
        <f t="shared" si="109"/>
        <v>0.99828998554669079</v>
      </c>
      <c r="T249" s="330">
        <f t="shared" si="110"/>
        <v>0.13037395710060298</v>
      </c>
      <c r="U249" s="331">
        <f t="shared" si="111"/>
        <v>8.5131202758047095</v>
      </c>
      <c r="V249" s="332">
        <f t="shared" si="112"/>
        <v>-110.90570420367013</v>
      </c>
      <c r="W249" s="334">
        <f t="shared" si="113"/>
        <v>69.094295796329874</v>
      </c>
      <c r="Y249" s="307">
        <f t="shared" si="114"/>
        <v>1000000000</v>
      </c>
      <c r="Z249" s="307">
        <f t="shared" si="115"/>
        <v>229098496</v>
      </c>
      <c r="AB249" s="333">
        <f t="shared" si="116"/>
        <v>23.681730350166326</v>
      </c>
      <c r="AC249" s="334">
        <f t="shared" si="117"/>
        <v>-20.321742916258824</v>
      </c>
      <c r="AE249" s="333">
        <f t="shared" si="118"/>
        <v>42.377927850213659</v>
      </c>
      <c r="AF249" s="334">
        <f t="shared" si="119"/>
        <v>-93.259622210214559</v>
      </c>
      <c r="AH249">
        <f t="shared" si="120"/>
        <v>0</v>
      </c>
      <c r="AI249">
        <f t="shared" si="125"/>
        <v>0</v>
      </c>
    </row>
    <row r="250" spans="1:35" x14ac:dyDescent="0.25">
      <c r="A250" s="335">
        <v>15224</v>
      </c>
      <c r="B250" s="352">
        <f t="shared" si="121"/>
        <v>15.224</v>
      </c>
      <c r="C250" s="325">
        <f t="shared" si="96"/>
        <v>18.47609675185949</v>
      </c>
      <c r="D250" s="326">
        <f t="shared" si="97"/>
        <v>1.5166458808172634</v>
      </c>
      <c r="E250" s="326">
        <f t="shared" si="98"/>
        <v>1.0001829816543661</v>
      </c>
      <c r="F250" s="327">
        <f t="shared" si="99"/>
        <v>1.9128709147107001E-2</v>
      </c>
      <c r="G250" s="326">
        <f t="shared" si="100"/>
        <v>1</v>
      </c>
      <c r="H250" s="327">
        <f t="shared" si="101"/>
        <v>0</v>
      </c>
      <c r="I250" s="325">
        <f t="shared" si="102"/>
        <v>20206.295223181667</v>
      </c>
      <c r="J250" s="328">
        <f t="shared" si="103"/>
        <v>1.5707468372675308</v>
      </c>
      <c r="K250" s="336">
        <f t="shared" si="123"/>
        <v>4.0399319583745168</v>
      </c>
      <c r="L250" s="337">
        <f t="shared" si="124"/>
        <v>1.3206673531593982</v>
      </c>
      <c r="M250" s="325">
        <f t="shared" si="104"/>
        <v>1.0054119353995934</v>
      </c>
      <c r="N250" s="337">
        <f t="shared" si="105"/>
        <v>0.10380404666763167</v>
      </c>
      <c r="O250" s="343">
        <f t="shared" si="106"/>
        <v>1.0039054696363878</v>
      </c>
      <c r="P250" s="691">
        <f t="shared" si="107"/>
        <v>8.8236061510317057E-2</v>
      </c>
      <c r="Q250" s="336">
        <f t="shared" si="122"/>
        <v>15.136811831043259</v>
      </c>
      <c r="R250" s="692">
        <f t="shared" si="108"/>
        <v>4.126783975726131E-2</v>
      </c>
      <c r="S250" s="329">
        <f t="shared" si="109"/>
        <v>0.99827063920743075</v>
      </c>
      <c r="T250" s="330">
        <f t="shared" si="110"/>
        <v>0.13113886347249268</v>
      </c>
      <c r="U250" s="331">
        <f t="shared" si="111"/>
        <v>8.4597686160686276</v>
      </c>
      <c r="V250" s="332">
        <f t="shared" si="112"/>
        <v>-110.90006909386051</v>
      </c>
      <c r="W250" s="334">
        <f t="shared" si="113"/>
        <v>69.099930906139491</v>
      </c>
      <c r="Y250" s="307">
        <f t="shared" si="114"/>
        <v>1000000000</v>
      </c>
      <c r="Z250" s="307">
        <f t="shared" si="115"/>
        <v>231770176</v>
      </c>
      <c r="AB250" s="333">
        <f t="shared" si="116"/>
        <v>23.678090805193335</v>
      </c>
      <c r="AC250" s="334">
        <f t="shared" si="117"/>
        <v>-20.276032775808023</v>
      </c>
      <c r="AE250" s="333">
        <f t="shared" si="118"/>
        <v>42.32790973204375</v>
      </c>
      <c r="AF250" s="334">
        <f t="shared" si="119"/>
        <v>-93.315117198812132</v>
      </c>
      <c r="AH250">
        <f t="shared" si="120"/>
        <v>0</v>
      </c>
      <c r="AI250">
        <f t="shared" si="125"/>
        <v>0</v>
      </c>
    </row>
    <row r="251" spans="1:35" x14ac:dyDescent="0.25">
      <c r="A251" s="335">
        <v>15312</v>
      </c>
      <c r="B251" s="352">
        <f t="shared" si="121"/>
        <v>15.311999999999999</v>
      </c>
      <c r="C251" s="325">
        <f t="shared" si="96"/>
        <v>18.582583039961566</v>
      </c>
      <c r="D251" s="326">
        <f t="shared" si="97"/>
        <v>1.5169564874859254</v>
      </c>
      <c r="E251" s="326">
        <f t="shared" si="98"/>
        <v>1.0001851029667597</v>
      </c>
      <c r="F251" s="327">
        <f t="shared" si="99"/>
        <v>1.9239252515554171E-2</v>
      </c>
      <c r="G251" s="326">
        <f t="shared" si="100"/>
        <v>1</v>
      </c>
      <c r="H251" s="327">
        <f t="shared" si="101"/>
        <v>0</v>
      </c>
      <c r="I251" s="325">
        <f t="shared" si="102"/>
        <v>20323.094617250073</v>
      </c>
      <c r="J251" s="328">
        <f t="shared" si="103"/>
        <v>1.5707471216901014</v>
      </c>
      <c r="K251" s="336">
        <f t="shared" si="123"/>
        <v>4.0618572241593043</v>
      </c>
      <c r="L251" s="337">
        <f t="shared" si="124"/>
        <v>1.3220461478369574</v>
      </c>
      <c r="M251" s="325">
        <f t="shared" si="104"/>
        <v>1.0054745111290366</v>
      </c>
      <c r="N251" s="337">
        <f t="shared" si="105"/>
        <v>0.10439973201850197</v>
      </c>
      <c r="O251" s="343">
        <f t="shared" si="106"/>
        <v>1.0039506609716853</v>
      </c>
      <c r="P251" s="691">
        <f t="shared" si="107"/>
        <v>8.8743430562594594E-2</v>
      </c>
      <c r="Q251" s="336">
        <f t="shared" si="122"/>
        <v>15.136956905937595</v>
      </c>
      <c r="R251" s="692">
        <f t="shared" si="108"/>
        <v>4.1506120836269707E-2</v>
      </c>
      <c r="S251" s="329">
        <f t="shared" si="109"/>
        <v>0.99825119458453748</v>
      </c>
      <c r="T251" s="330">
        <f t="shared" si="110"/>
        <v>0.13190388973719</v>
      </c>
      <c r="U251" s="331">
        <f t="shared" si="111"/>
        <v>8.4067554566937872</v>
      </c>
      <c r="V251" s="332">
        <f t="shared" si="112"/>
        <v>-110.89509448448668</v>
      </c>
      <c r="W251" s="334">
        <f t="shared" si="113"/>
        <v>69.104905515513323</v>
      </c>
      <c r="Y251" s="307">
        <f t="shared" si="114"/>
        <v>1000000000</v>
      </c>
      <c r="Z251" s="307">
        <f t="shared" si="115"/>
        <v>234457344</v>
      </c>
      <c r="AB251" s="333">
        <f t="shared" si="116"/>
        <v>23.674499379917279</v>
      </c>
      <c r="AC251" s="334">
        <f t="shared" si="117"/>
        <v>-20.231180212653054</v>
      </c>
      <c r="AE251" s="333">
        <f t="shared" si="118"/>
        <v>42.27818025411716</v>
      </c>
      <c r="AF251" s="334">
        <f t="shared" si="119"/>
        <v>-93.370412757796899</v>
      </c>
      <c r="AH251">
        <f t="shared" si="120"/>
        <v>0</v>
      </c>
      <c r="AI251">
        <f t="shared" si="125"/>
        <v>0</v>
      </c>
    </row>
    <row r="252" spans="1:35" x14ac:dyDescent="0.25">
      <c r="A252" s="335">
        <v>15400</v>
      </c>
      <c r="B252" s="352">
        <f t="shared" si="121"/>
        <v>15.4</v>
      </c>
      <c r="C252" s="325">
        <f t="shared" si="96"/>
        <v>18.689071100416388</v>
      </c>
      <c r="D252" s="326">
        <f t="shared" si="97"/>
        <v>1.5172635545856783</v>
      </c>
      <c r="E252" s="326">
        <f t="shared" si="98"/>
        <v>1.0001872365011992</v>
      </c>
      <c r="F252" s="327">
        <f t="shared" si="99"/>
        <v>1.9349795413744292E-2</v>
      </c>
      <c r="G252" s="326">
        <f t="shared" si="100"/>
        <v>1</v>
      </c>
      <c r="H252" s="327">
        <f t="shared" si="101"/>
        <v>0</v>
      </c>
      <c r="I252" s="325">
        <f t="shared" si="102"/>
        <v>20439.894011320102</v>
      </c>
      <c r="J252" s="328">
        <f t="shared" si="103"/>
        <v>1.5707474028621284</v>
      </c>
      <c r="K252" s="336">
        <f t="shared" si="123"/>
        <v>4.0837901289144218</v>
      </c>
      <c r="L252" s="337">
        <f t="shared" si="124"/>
        <v>1.3234101348363783</v>
      </c>
      <c r="M252" s="325">
        <f t="shared" si="104"/>
        <v>1.0055374435976185</v>
      </c>
      <c r="N252" s="337">
        <f t="shared" si="105"/>
        <v>0.10499534301768672</v>
      </c>
      <c r="O252" s="343">
        <f t="shared" si="106"/>
        <v>1.0039961107240261</v>
      </c>
      <c r="P252" s="691">
        <f t="shared" si="107"/>
        <v>8.9250753809429068E-2</v>
      </c>
      <c r="Q252" s="336">
        <f t="shared" si="122"/>
        <v>15.13710281559724</v>
      </c>
      <c r="R252" s="692">
        <f t="shared" si="108"/>
        <v>4.174439740240158E-2</v>
      </c>
      <c r="S252" s="329">
        <f t="shared" si="109"/>
        <v>0.99823165191933472</v>
      </c>
      <c r="T252" s="330">
        <f t="shared" si="110"/>
        <v>0.13266903657514881</v>
      </c>
      <c r="U252" s="331">
        <f t="shared" si="111"/>
        <v>8.3540764195993624</v>
      </c>
      <c r="V252" s="332">
        <f t="shared" si="112"/>
        <v>-110.89077034510778</v>
      </c>
      <c r="W252" s="334">
        <f t="shared" si="113"/>
        <v>69.109229654892218</v>
      </c>
      <c r="Y252" s="307">
        <f t="shared" si="114"/>
        <v>1000000000</v>
      </c>
      <c r="Z252" s="307">
        <f t="shared" si="115"/>
        <v>237160000</v>
      </c>
      <c r="AB252" s="333">
        <f t="shared" si="116"/>
        <v>23.670954967349402</v>
      </c>
      <c r="AC252" s="334">
        <f t="shared" si="117"/>
        <v>-20.187171620680555</v>
      </c>
      <c r="AE252" s="333">
        <f t="shared" si="118"/>
        <v>42.228736145916621</v>
      </c>
      <c r="AF252" s="334">
        <f t="shared" si="119"/>
        <v>-93.425512449704414</v>
      </c>
      <c r="AH252">
        <f t="shared" si="120"/>
        <v>0</v>
      </c>
      <c r="AI252">
        <f t="shared" si="125"/>
        <v>0</v>
      </c>
    </row>
    <row r="253" spans="1:35" x14ac:dyDescent="0.25">
      <c r="A253" s="335">
        <v>15488</v>
      </c>
      <c r="B253" s="352">
        <f t="shared" si="121"/>
        <v>15.488</v>
      </c>
      <c r="C253" s="325">
        <f t="shared" si="96"/>
        <v>18.795560903099652</v>
      </c>
      <c r="D253" s="326">
        <f t="shared" si="97"/>
        <v>1.5175671422204073</v>
      </c>
      <c r="E253" s="326">
        <f t="shared" si="98"/>
        <v>1.0001893822576073</v>
      </c>
      <c r="F253" s="327">
        <f t="shared" si="99"/>
        <v>1.9460337838978766E-2</v>
      </c>
      <c r="G253" s="326">
        <f t="shared" si="100"/>
        <v>1</v>
      </c>
      <c r="H253" s="327">
        <f t="shared" si="101"/>
        <v>0</v>
      </c>
      <c r="I253" s="325">
        <f t="shared" si="102"/>
        <v>20556.693405391732</v>
      </c>
      <c r="J253" s="328">
        <f t="shared" si="103"/>
        <v>1.5707476808390186</v>
      </c>
      <c r="K253" s="336">
        <f t="shared" si="123"/>
        <v>4.1057305502172188</v>
      </c>
      <c r="L253" s="337">
        <f t="shared" si="124"/>
        <v>1.3247595464314583</v>
      </c>
      <c r="M253" s="325">
        <f t="shared" si="104"/>
        <v>1.0056007327383625</v>
      </c>
      <c r="N253" s="337">
        <f t="shared" si="105"/>
        <v>0.10559087925659605</v>
      </c>
      <c r="O253" s="343">
        <f t="shared" si="106"/>
        <v>1.0040418188583171</v>
      </c>
      <c r="P253" s="691">
        <f t="shared" si="107"/>
        <v>8.9758030995912161E-2</v>
      </c>
      <c r="Q253" s="336">
        <f t="shared" si="122"/>
        <v>15.137249559998079</v>
      </c>
      <c r="R253" s="692">
        <f t="shared" si="108"/>
        <v>4.1982669429895821E-2</v>
      </c>
      <c r="S253" s="329">
        <f t="shared" si="109"/>
        <v>0.99821201145456029</v>
      </c>
      <c r="T253" s="330">
        <f t="shared" si="110"/>
        <v>0.13343430466659348</v>
      </c>
      <c r="U253" s="331">
        <f t="shared" si="111"/>
        <v>8.3017272114637777</v>
      </c>
      <c r="V253" s="332">
        <f t="shared" si="112"/>
        <v>-110.88708684313646</v>
      </c>
      <c r="W253" s="334">
        <f t="shared" si="113"/>
        <v>69.112913156863542</v>
      </c>
      <c r="Y253" s="307">
        <f t="shared" si="114"/>
        <v>1000000000</v>
      </c>
      <c r="Z253" s="307">
        <f t="shared" si="115"/>
        <v>239878144</v>
      </c>
      <c r="AB253" s="333">
        <f t="shared" si="116"/>
        <v>23.667456490049279</v>
      </c>
      <c r="AC253" s="334">
        <f t="shared" si="117"/>
        <v>-20.143993671346326</v>
      </c>
      <c r="AE253" s="333">
        <f t="shared" si="118"/>
        <v>42.179574192138901</v>
      </c>
      <c r="AF253" s="334">
        <f t="shared" si="119"/>
        <v>-93.480419757362228</v>
      </c>
      <c r="AH253">
        <f t="shared" si="120"/>
        <v>0</v>
      </c>
      <c r="AI253">
        <f t="shared" si="125"/>
        <v>0</v>
      </c>
    </row>
    <row r="254" spans="1:35" x14ac:dyDescent="0.25">
      <c r="A254" s="335">
        <v>15578.25</v>
      </c>
      <c r="B254" s="352">
        <f t="shared" si="121"/>
        <v>15.578250000000001</v>
      </c>
      <c r="C254" s="325">
        <f t="shared" si="96"/>
        <v>18.904775235194929</v>
      </c>
      <c r="D254" s="326">
        <f t="shared" si="97"/>
        <v>1.5178749395269868</v>
      </c>
      <c r="E254" s="326">
        <f t="shared" si="98"/>
        <v>1.000191595571726</v>
      </c>
      <c r="F254" s="327">
        <f t="shared" si="99"/>
        <v>1.9573706138964309E-2</v>
      </c>
      <c r="G254" s="326">
        <f t="shared" si="100"/>
        <v>1</v>
      </c>
      <c r="H254" s="327">
        <f t="shared" si="101"/>
        <v>0</v>
      </c>
      <c r="I254" s="325">
        <f t="shared" si="102"/>
        <v>20676.479147608872</v>
      </c>
      <c r="J254" s="328">
        <f t="shared" si="103"/>
        <v>1.5707479626612717</v>
      </c>
      <c r="K254" s="336">
        <f t="shared" si="123"/>
        <v>4.1282396299406887</v>
      </c>
      <c r="L254" s="337">
        <f t="shared" si="124"/>
        <v>1.326128559192294</v>
      </c>
      <c r="M254" s="325">
        <f t="shared" si="104"/>
        <v>1.0056660104647561</v>
      </c>
      <c r="N254" s="337">
        <f t="shared" si="105"/>
        <v>0.10620156419472367</v>
      </c>
      <c r="O254" s="343">
        <f t="shared" si="106"/>
        <v>1.0040889640054727</v>
      </c>
      <c r="P254" s="691">
        <f t="shared" si="107"/>
        <v>9.0278230228929585E-2</v>
      </c>
      <c r="Q254" s="336">
        <f t="shared" si="122"/>
        <v>15.137400923389292</v>
      </c>
      <c r="R254" s="692">
        <f t="shared" si="108"/>
        <v>4.2227028898740575E-2</v>
      </c>
      <c r="S254" s="329">
        <f t="shared" si="109"/>
        <v>0.99819176749220317</v>
      </c>
      <c r="T254" s="330">
        <f t="shared" si="110"/>
        <v>0.13421926592751918</v>
      </c>
      <c r="U254" s="331">
        <f t="shared" si="111"/>
        <v>8.2483777053881386</v>
      </c>
      <c r="V254" s="332">
        <f t="shared" si="112"/>
        <v>-110.88396448114611</v>
      </c>
      <c r="W254" s="334">
        <f t="shared" si="113"/>
        <v>69.116035518853892</v>
      </c>
      <c r="Y254" s="307">
        <f t="shared" si="114"/>
        <v>1000000000</v>
      </c>
      <c r="Z254" s="307">
        <f t="shared" si="115"/>
        <v>242681873.0625</v>
      </c>
      <c r="AB254" s="333">
        <f t="shared" si="116"/>
        <v>23.66391517656146</v>
      </c>
      <c r="AC254" s="334">
        <f t="shared" si="117"/>
        <v>-20.10056083479385</v>
      </c>
      <c r="AE254" s="333">
        <f t="shared" si="118"/>
        <v>42.129445013271088</v>
      </c>
      <c r="AF254" s="334">
        <f t="shared" si="119"/>
        <v>-93.536534686251414</v>
      </c>
      <c r="AH254">
        <f t="shared" si="120"/>
        <v>0</v>
      </c>
      <c r="AI254">
        <f t="shared" si="125"/>
        <v>0</v>
      </c>
    </row>
    <row r="255" spans="1:35" x14ac:dyDescent="0.25">
      <c r="A255" s="335">
        <v>15668.5</v>
      </c>
      <c r="B255" s="352">
        <f t="shared" si="121"/>
        <v>15.6685</v>
      </c>
      <c r="C255" s="325">
        <f t="shared" si="96"/>
        <v>19.013991337738158</v>
      </c>
      <c r="D255" s="326">
        <f t="shared" si="97"/>
        <v>1.518179200895196</v>
      </c>
      <c r="E255" s="326">
        <f t="shared" si="98"/>
        <v>1.0001938217406217</v>
      </c>
      <c r="F255" s="327">
        <f t="shared" si="99"/>
        <v>1.968707393575074E-2</v>
      </c>
      <c r="G255" s="326">
        <f t="shared" si="100"/>
        <v>1</v>
      </c>
      <c r="H255" s="327">
        <f t="shared" si="101"/>
        <v>0</v>
      </c>
      <c r="I255" s="325">
        <f t="shared" si="102"/>
        <v>20796.264889827631</v>
      </c>
      <c r="J255" s="328">
        <f t="shared" si="103"/>
        <v>1.5707482412369522</v>
      </c>
      <c r="K255" s="336">
        <f t="shared" si="123"/>
        <v>4.1507563628705526</v>
      </c>
      <c r="L255" s="337">
        <f t="shared" si="124"/>
        <v>1.3274827214187728</v>
      </c>
      <c r="M255" s="325">
        <f t="shared" si="104"/>
        <v>1.0057316631915363</v>
      </c>
      <c r="N255" s="337">
        <f t="shared" si="105"/>
        <v>0.10681216963126196</v>
      </c>
      <c r="O255" s="343">
        <f t="shared" si="106"/>
        <v>1.0041363808408164</v>
      </c>
      <c r="P255" s="691">
        <f t="shared" si="107"/>
        <v>9.0798380473506662E-2</v>
      </c>
      <c r="Q255" s="336">
        <f t="shared" si="122"/>
        <v>15.137553164701195</v>
      </c>
      <c r="R255" s="692">
        <f t="shared" si="108"/>
        <v>4.2471383539017596E-2</v>
      </c>
      <c r="S255" s="329">
        <f t="shared" si="109"/>
        <v>0.9981714211869368</v>
      </c>
      <c r="T255" s="330">
        <f t="shared" si="110"/>
        <v>0.13500435617011264</v>
      </c>
      <c r="U255" s="331">
        <f t="shared" si="111"/>
        <v>8.195366227585918</v>
      </c>
      <c r="V255" s="332">
        <f t="shared" si="112"/>
        <v>-110.88149560574377</v>
      </c>
      <c r="W255" s="334">
        <f t="shared" si="113"/>
        <v>69.118504394256234</v>
      </c>
      <c r="Y255" s="307">
        <f t="shared" si="114"/>
        <v>1000000000</v>
      </c>
      <c r="Z255" s="307">
        <f t="shared" si="115"/>
        <v>245501892.25</v>
      </c>
      <c r="AB255" s="333">
        <f t="shared" si="116"/>
        <v>23.66041997324221</v>
      </c>
      <c r="AC255" s="334">
        <f t="shared" si="117"/>
        <v>-20.057974130064082</v>
      </c>
      <c r="AE255" s="333">
        <f t="shared" si="118"/>
        <v>42.079605924404348</v>
      </c>
      <c r="AF255" s="334">
        <f t="shared" si="119"/>
        <v>-93.592454439731512</v>
      </c>
      <c r="AH255">
        <f t="shared" si="120"/>
        <v>0</v>
      </c>
      <c r="AI255">
        <f t="shared" si="125"/>
        <v>0</v>
      </c>
    </row>
    <row r="256" spans="1:35" x14ac:dyDescent="0.25">
      <c r="A256" s="335">
        <v>15758.75</v>
      </c>
      <c r="B256" s="352">
        <f t="shared" si="121"/>
        <v>15.758749999999999</v>
      </c>
      <c r="C256" s="325">
        <f t="shared" si="96"/>
        <v>19.1232091803953</v>
      </c>
      <c r="D256" s="326">
        <f t="shared" si="97"/>
        <v>1.5184799868523264</v>
      </c>
      <c r="E256" s="326">
        <f t="shared" si="98"/>
        <v>1.0001960607642082</v>
      </c>
      <c r="F256" s="327">
        <f t="shared" si="99"/>
        <v>1.9800441226427365E-2</v>
      </c>
      <c r="G256" s="326">
        <f t="shared" si="100"/>
        <v>1</v>
      </c>
      <c r="H256" s="327">
        <f t="shared" si="101"/>
        <v>0</v>
      </c>
      <c r="I256" s="325">
        <f t="shared" si="102"/>
        <v>20916.050632047987</v>
      </c>
      <c r="J256" s="328">
        <f t="shared" si="103"/>
        <v>1.57074851662184</v>
      </c>
      <c r="K256" s="336">
        <f t="shared" si="123"/>
        <v>4.1732806251293022</v>
      </c>
      <c r="L256" s="337">
        <f t="shared" si="124"/>
        <v>1.3288222685602651</v>
      </c>
      <c r="M256" s="325">
        <f t="shared" si="104"/>
        <v>1.0057976908452688</v>
      </c>
      <c r="N256" s="337">
        <f t="shared" si="105"/>
        <v>0.10742269512650895</v>
      </c>
      <c r="O256" s="343">
        <f t="shared" si="106"/>
        <v>1.0041840693258612</v>
      </c>
      <c r="P256" s="691">
        <f t="shared" si="107"/>
        <v>9.131848145514318E-2</v>
      </c>
      <c r="Q256" s="336">
        <f t="shared" si="122"/>
        <v>15.137706283907328</v>
      </c>
      <c r="R256" s="692">
        <f t="shared" si="108"/>
        <v>4.2715733322948667E-2</v>
      </c>
      <c r="S256" s="329">
        <f t="shared" si="109"/>
        <v>0.99815097280523457</v>
      </c>
      <c r="T256" s="330">
        <f t="shared" si="110"/>
        <v>0.1357895761273574</v>
      </c>
      <c r="U256" s="331">
        <f t="shared" si="111"/>
        <v>8.1426884106829522</v>
      </c>
      <c r="V256" s="332">
        <f t="shared" si="112"/>
        <v>-110.87967022893508</v>
      </c>
      <c r="W256" s="334">
        <f t="shared" si="113"/>
        <v>69.120329771064917</v>
      </c>
      <c r="Y256" s="307">
        <f t="shared" si="114"/>
        <v>1000000000</v>
      </c>
      <c r="Z256" s="307">
        <f t="shared" si="115"/>
        <v>248338201.5625</v>
      </c>
      <c r="AB256" s="333">
        <f t="shared" si="116"/>
        <v>23.656969808701799</v>
      </c>
      <c r="AC256" s="334">
        <f t="shared" si="117"/>
        <v>-20.016220044904639</v>
      </c>
      <c r="AE256" s="333">
        <f t="shared" si="118"/>
        <v>42.030053630187901</v>
      </c>
      <c r="AF256" s="334">
        <f t="shared" si="119"/>
        <v>-93.648182527924519</v>
      </c>
      <c r="AH256">
        <f t="shared" si="120"/>
        <v>0</v>
      </c>
      <c r="AI256">
        <f t="shared" si="125"/>
        <v>0</v>
      </c>
    </row>
    <row r="257" spans="1:35" x14ac:dyDescent="0.25">
      <c r="A257" s="335">
        <v>15849</v>
      </c>
      <c r="B257" s="352">
        <f t="shared" si="121"/>
        <v>15.849</v>
      </c>
      <c r="C257" s="325">
        <f t="shared" si="96"/>
        <v>19.232428733520877</v>
      </c>
      <c r="D257" s="326">
        <f t="shared" si="97"/>
        <v>1.518777356553298</v>
      </c>
      <c r="E257" s="326">
        <f t="shared" si="98"/>
        <v>1.0001983126423997</v>
      </c>
      <c r="F257" s="327">
        <f t="shared" si="99"/>
        <v>1.9913808008083563E-2</v>
      </c>
      <c r="G257" s="326">
        <f t="shared" si="100"/>
        <v>1</v>
      </c>
      <c r="H257" s="327">
        <f t="shared" si="101"/>
        <v>0</v>
      </c>
      <c r="I257" s="325">
        <f t="shared" si="102"/>
        <v>21035.836374269915</v>
      </c>
      <c r="J257" s="328">
        <f t="shared" si="103"/>
        <v>1.570748788870443</v>
      </c>
      <c r="K257" s="336">
        <f t="shared" si="123"/>
        <v>4.1958122954584791</v>
      </c>
      <c r="L257" s="337">
        <f t="shared" si="124"/>
        <v>1.330147431221</v>
      </c>
      <c r="M257" s="325">
        <f t="shared" si="104"/>
        <v>1.0058640933521201</v>
      </c>
      <c r="N257" s="337">
        <f t="shared" si="105"/>
        <v>0.1080331402411161</v>
      </c>
      <c r="O257" s="343">
        <f t="shared" si="106"/>
        <v>1.0042320294219074</v>
      </c>
      <c r="P257" s="691">
        <f t="shared" si="107"/>
        <v>9.1838532899497519E-2</v>
      </c>
      <c r="Q257" s="336">
        <f t="shared" si="122"/>
        <v>15.137860280981071</v>
      </c>
      <c r="R257" s="692">
        <f t="shared" si="108"/>
        <v>4.2960078222759004E-2</v>
      </c>
      <c r="S257" s="329">
        <f t="shared" si="109"/>
        <v>0.99813042261513651</v>
      </c>
      <c r="T257" s="330">
        <f t="shared" si="110"/>
        <v>0.13657492653197587</v>
      </c>
      <c r="U257" s="331">
        <f t="shared" si="111"/>
        <v>8.0903399718239122</v>
      </c>
      <c r="V257" s="332">
        <f t="shared" si="112"/>
        <v>-110.87847856162443</v>
      </c>
      <c r="W257" s="334">
        <f t="shared" si="113"/>
        <v>69.121521438375567</v>
      </c>
      <c r="Y257" s="307">
        <f t="shared" si="114"/>
        <v>1000000000</v>
      </c>
      <c r="Z257" s="307">
        <f t="shared" si="115"/>
        <v>251190801</v>
      </c>
      <c r="AB257" s="333">
        <f t="shared" si="116"/>
        <v>23.653563640291416</v>
      </c>
      <c r="AC257" s="334">
        <f t="shared" si="117"/>
        <v>-19.975285344616729</v>
      </c>
      <c r="AE257" s="333">
        <f t="shared" si="118"/>
        <v>41.980784891052338</v>
      </c>
      <c r="AF257" s="334">
        <f t="shared" si="119"/>
        <v>-93.703722382306381</v>
      </c>
      <c r="AH257">
        <f t="shared" si="120"/>
        <v>0</v>
      </c>
      <c r="AI257">
        <f t="shared" si="125"/>
        <v>0</v>
      </c>
    </row>
    <row r="258" spans="1:35" x14ac:dyDescent="0.25">
      <c r="A258" s="335">
        <v>15941.25</v>
      </c>
      <c r="B258" s="352">
        <f t="shared" si="121"/>
        <v>15.94125</v>
      </c>
      <c r="C258" s="325">
        <f t="shared" si="96"/>
        <v>19.344070402137092</v>
      </c>
      <c r="D258" s="326">
        <f t="shared" si="97"/>
        <v>1.5190778457010912</v>
      </c>
      <c r="E258" s="326">
        <f t="shared" si="98"/>
        <v>1.0002006277086795</v>
      </c>
      <c r="F258" s="327">
        <f t="shared" si="99"/>
        <v>2.0029686543893782E-2</v>
      </c>
      <c r="G258" s="326">
        <f t="shared" si="100"/>
        <v>1</v>
      </c>
      <c r="H258" s="327">
        <f t="shared" si="101"/>
        <v>0</v>
      </c>
      <c r="I258" s="325">
        <f t="shared" si="102"/>
        <v>21158.27664817702</v>
      </c>
      <c r="J258" s="328">
        <f t="shared" si="103"/>
        <v>1.5707490639664063</v>
      </c>
      <c r="K258" s="336">
        <f t="shared" si="123"/>
        <v>4.2188508151486559</v>
      </c>
      <c r="L258" s="337">
        <f t="shared" si="124"/>
        <v>1.3314873293418561</v>
      </c>
      <c r="M258" s="325">
        <f t="shared" si="104"/>
        <v>1.0059323547110357</v>
      </c>
      <c r="N258" s="337">
        <f t="shared" si="105"/>
        <v>0.10865702969594636</v>
      </c>
      <c r="O258" s="343">
        <f t="shared" si="106"/>
        <v>1.0042813330113678</v>
      </c>
      <c r="P258" s="691">
        <f t="shared" si="107"/>
        <v>9.2370057548028919E-2</v>
      </c>
      <c r="Q258" s="336">
        <f t="shared" si="122"/>
        <v>15.138018597968845</v>
      </c>
      <c r="R258" s="692">
        <f t="shared" si="108"/>
        <v>4.3209832891408069E-2</v>
      </c>
      <c r="S258" s="329">
        <f t="shared" si="109"/>
        <v>0.99810931208225795</v>
      </c>
      <c r="T258" s="330">
        <f t="shared" si="110"/>
        <v>0.13737781640186</v>
      </c>
      <c r="U258" s="331">
        <f t="shared" si="111"/>
        <v>8.0371674917751115</v>
      </c>
      <c r="V258" s="332">
        <f t="shared" si="112"/>
        <v>-110.87790542804073</v>
      </c>
      <c r="W258" s="334">
        <f t="shared" si="113"/>
        <v>69.122094571959266</v>
      </c>
      <c r="Y258" s="307">
        <f t="shared" si="114"/>
        <v>1000000000</v>
      </c>
      <c r="Z258" s="307">
        <f t="shared" si="115"/>
        <v>254123451.5625</v>
      </c>
      <c r="AB258" s="333">
        <f t="shared" si="116"/>
        <v>23.650126401941321</v>
      </c>
      <c r="AC258" s="334">
        <f t="shared" si="117"/>
        <v>-19.934276831749457</v>
      </c>
      <c r="AE258" s="333">
        <f t="shared" si="118"/>
        <v>41.930714058563119</v>
      </c>
      <c r="AF258" s="334">
        <f t="shared" si="119"/>
        <v>-93.760301992249154</v>
      </c>
      <c r="AH258">
        <f t="shared" si="120"/>
        <v>0</v>
      </c>
      <c r="AI258">
        <f t="shared" si="125"/>
        <v>0</v>
      </c>
    </row>
    <row r="259" spans="1:35" x14ac:dyDescent="0.25">
      <c r="A259" s="335">
        <v>16033.5</v>
      </c>
      <c r="B259" s="352">
        <f t="shared" si="121"/>
        <v>16.0335</v>
      </c>
      <c r="C259" s="325">
        <f t="shared" si="96"/>
        <v>19.455713797356051</v>
      </c>
      <c r="D259" s="326">
        <f t="shared" si="97"/>
        <v>1.5193748862609151</v>
      </c>
      <c r="E259" s="326">
        <f t="shared" si="98"/>
        <v>1.0002029562054264</v>
      </c>
      <c r="F259" s="327">
        <f t="shared" si="99"/>
        <v>2.0145564541723896E-2</v>
      </c>
      <c r="G259" s="326">
        <f t="shared" si="100"/>
        <v>1</v>
      </c>
      <c r="H259" s="327">
        <f t="shared" si="101"/>
        <v>0</v>
      </c>
      <c r="I259" s="325">
        <f t="shared" si="102"/>
        <v>21280.716922085707</v>
      </c>
      <c r="J259" s="328">
        <f t="shared" si="103"/>
        <v>1.5707493358967972</v>
      </c>
      <c r="K259" s="336">
        <f t="shared" si="123"/>
        <v>4.2418968267736989</v>
      </c>
      <c r="L259" s="337">
        <f t="shared" si="124"/>
        <v>1.3328126706227452</v>
      </c>
      <c r="M259" s="325">
        <f t="shared" si="104"/>
        <v>1.0060010075638761</v>
      </c>
      <c r="N259" s="337">
        <f t="shared" si="105"/>
        <v>0.10928083424097698</v>
      </c>
      <c r="O259" s="343">
        <f t="shared" si="106"/>
        <v>1.0043309203009323</v>
      </c>
      <c r="P259" s="691">
        <f t="shared" si="107"/>
        <v>9.2901529860279913E-2</v>
      </c>
      <c r="Q259" s="336">
        <f t="shared" si="122"/>
        <v>15.138177832106887</v>
      </c>
      <c r="R259" s="692">
        <f t="shared" si="108"/>
        <v>4.3459582398395945E-2</v>
      </c>
      <c r="S259" s="329">
        <f t="shared" si="109"/>
        <v>0.99808809575001856</v>
      </c>
      <c r="T259" s="330">
        <f t="shared" si="110"/>
        <v>0.13818084411201814</v>
      </c>
      <c r="U259" s="331">
        <f t="shared" si="111"/>
        <v>7.9843303622409199</v>
      </c>
      <c r="V259" s="332">
        <f t="shared" si="112"/>
        <v>-110.87797433546443</v>
      </c>
      <c r="W259" s="334">
        <f t="shared" si="113"/>
        <v>69.12202566453557</v>
      </c>
      <c r="Y259" s="307">
        <f t="shared" si="114"/>
        <v>1000000000</v>
      </c>
      <c r="Z259" s="307">
        <f t="shared" si="115"/>
        <v>257073122.25</v>
      </c>
      <c r="AB259" s="333">
        <f t="shared" si="116"/>
        <v>23.646733016408611</v>
      </c>
      <c r="AC259" s="334">
        <f t="shared" si="117"/>
        <v>-19.894097318029189</v>
      </c>
      <c r="AE259" s="333">
        <f t="shared" si="118"/>
        <v>41.880932816430374</v>
      </c>
      <c r="AF259" s="334">
        <f t="shared" si="119"/>
        <v>-93.81669194114572</v>
      </c>
      <c r="AH259">
        <f t="shared" si="120"/>
        <v>0</v>
      </c>
      <c r="AI259">
        <f t="shared" si="125"/>
        <v>0</v>
      </c>
    </row>
    <row r="260" spans="1:35" x14ac:dyDescent="0.25">
      <c r="A260" s="335">
        <v>16125.75</v>
      </c>
      <c r="B260" s="352">
        <f t="shared" si="121"/>
        <v>16.12575</v>
      </c>
      <c r="C260" s="325">
        <f t="shared" si="96"/>
        <v>19.567358889623875</v>
      </c>
      <c r="D260" s="326">
        <f t="shared" si="97"/>
        <v>1.5196685372095187</v>
      </c>
      <c r="E260" s="326">
        <f t="shared" si="98"/>
        <v>1.000205298132546</v>
      </c>
      <c r="F260" s="327">
        <f t="shared" si="99"/>
        <v>2.0261441998465728E-2</v>
      </c>
      <c r="G260" s="326">
        <f t="shared" si="100"/>
        <v>1</v>
      </c>
      <c r="H260" s="327">
        <f t="shared" si="101"/>
        <v>0</v>
      </c>
      <c r="I260" s="325">
        <f t="shared" si="102"/>
        <v>21403.157195995951</v>
      </c>
      <c r="J260" s="328">
        <f t="shared" si="103"/>
        <v>1.5707496047159433</v>
      </c>
      <c r="K260" s="336">
        <f t="shared" si="123"/>
        <v>4.2649502088837412</v>
      </c>
      <c r="L260" s="337">
        <f t="shared" si="124"/>
        <v>1.3341236864222705</v>
      </c>
      <c r="M260" s="325">
        <f t="shared" si="104"/>
        <v>1.0060700518304964</v>
      </c>
      <c r="N260" s="337">
        <f t="shared" si="105"/>
        <v>0.10990455340815548</v>
      </c>
      <c r="O260" s="343">
        <f t="shared" si="106"/>
        <v>1.0043807912485807</v>
      </c>
      <c r="P260" s="691">
        <f t="shared" si="107"/>
        <v>9.3432949543782173E-2</v>
      </c>
      <c r="Q260" s="336">
        <f t="shared" si="122"/>
        <v>15.138337983366279</v>
      </c>
      <c r="R260" s="692">
        <f t="shared" si="108"/>
        <v>4.3709326714071149E-2</v>
      </c>
      <c r="S260" s="329">
        <f t="shared" si="109"/>
        <v>0.99806677390975107</v>
      </c>
      <c r="T260" s="330">
        <f t="shared" si="110"/>
        <v>0.13898401044411454</v>
      </c>
      <c r="U260" s="331">
        <f t="shared" si="111"/>
        <v>7.9318242692425649</v>
      </c>
      <c r="V260" s="332">
        <f t="shared" si="112"/>
        <v>-110.87867544346058</v>
      </c>
      <c r="W260" s="334">
        <f t="shared" si="113"/>
        <v>69.12132455653942</v>
      </c>
      <c r="Y260" s="307">
        <f t="shared" si="114"/>
        <v>1000000000</v>
      </c>
      <c r="Z260" s="307">
        <f t="shared" si="115"/>
        <v>260039813.0625</v>
      </c>
      <c r="AB260" s="333">
        <f t="shared" si="116"/>
        <v>23.643382457477905</v>
      </c>
      <c r="AC260" s="334">
        <f t="shared" si="117"/>
        <v>-19.854733523879705</v>
      </c>
      <c r="AE260" s="333">
        <f t="shared" si="118"/>
        <v>41.831437877582232</v>
      </c>
      <c r="AF260" s="334">
        <f t="shared" si="119"/>
        <v>-93.872895653079055</v>
      </c>
      <c r="AH260">
        <f t="shared" si="120"/>
        <v>0</v>
      </c>
      <c r="AI260">
        <f t="shared" si="125"/>
        <v>0</v>
      </c>
    </row>
    <row r="261" spans="1:35" x14ac:dyDescent="0.25">
      <c r="A261" s="335">
        <v>16218</v>
      </c>
      <c r="B261" s="352">
        <f t="shared" si="121"/>
        <v>16.218</v>
      </c>
      <c r="C261" s="325">
        <f t="shared" si="96"/>
        <v>19.679005650056911</v>
      </c>
      <c r="D261" s="326">
        <f t="shared" si="97"/>
        <v>1.5199588561876265</v>
      </c>
      <c r="E261" s="326">
        <f t="shared" si="98"/>
        <v>1.0002076534899442</v>
      </c>
      <c r="F261" s="327">
        <f t="shared" si="99"/>
        <v>2.0377318911011182E-2</v>
      </c>
      <c r="G261" s="326">
        <f t="shared" si="100"/>
        <v>1</v>
      </c>
      <c r="H261" s="327">
        <f t="shared" si="101"/>
        <v>0</v>
      </c>
      <c r="I261" s="325">
        <f t="shared" si="102"/>
        <v>21525.597469907723</v>
      </c>
      <c r="J261" s="328">
        <f t="shared" si="103"/>
        <v>1.5707498704769358</v>
      </c>
      <c r="K261" s="336">
        <f t="shared" si="123"/>
        <v>4.2880108426022572</v>
      </c>
      <c r="L261" s="337">
        <f t="shared" si="124"/>
        <v>1.3354206033214826</v>
      </c>
      <c r="M261" s="325">
        <f t="shared" si="104"/>
        <v>1.0061394874303167</v>
      </c>
      <c r="N261" s="337">
        <f t="shared" si="105"/>
        <v>0.11052818672982326</v>
      </c>
      <c r="O261" s="343">
        <f t="shared" si="106"/>
        <v>1.0044309458120615</v>
      </c>
      <c r="P261" s="691">
        <f t="shared" si="107"/>
        <v>9.3964316306244244E-2</v>
      </c>
      <c r="Q261" s="336">
        <f t="shared" si="122"/>
        <v>15.138499051717945</v>
      </c>
      <c r="R261" s="692">
        <f t="shared" si="108"/>
        <v>4.3959065808785946E-2</v>
      </c>
      <c r="S261" s="329">
        <f t="shared" si="109"/>
        <v>0.99804534685449997</v>
      </c>
      <c r="T261" s="330">
        <f t="shared" si="110"/>
        <v>0.13978731617951973</v>
      </c>
      <c r="U261" s="331">
        <f t="shared" si="111"/>
        <v>7.8796449819738559</v>
      </c>
      <c r="V261" s="332">
        <f t="shared" si="112"/>
        <v>-110.87999910870415</v>
      </c>
      <c r="W261" s="334">
        <f t="shared" si="113"/>
        <v>69.120000891295845</v>
      </c>
      <c r="Y261" s="307">
        <f t="shared" si="114"/>
        <v>1000000000</v>
      </c>
      <c r="Z261" s="307">
        <f t="shared" si="115"/>
        <v>263023524</v>
      </c>
      <c r="AB261" s="333">
        <f t="shared" si="116"/>
        <v>23.640073726507151</v>
      </c>
      <c r="AC261" s="334">
        <f t="shared" si="117"/>
        <v>-19.816172443410121</v>
      </c>
      <c r="AE261" s="333">
        <f t="shared" si="118"/>
        <v>41.782226010549891</v>
      </c>
      <c r="AF261" s="334">
        <f t="shared" si="119"/>
        <v>-93.928916475566709</v>
      </c>
      <c r="AH261">
        <f t="shared" si="120"/>
        <v>0</v>
      </c>
      <c r="AI261">
        <f t="shared" si="125"/>
        <v>0</v>
      </c>
    </row>
    <row r="262" spans="1:35" x14ac:dyDescent="0.25">
      <c r="A262" s="335">
        <v>16312.5</v>
      </c>
      <c r="B262" s="352">
        <f t="shared" si="121"/>
        <v>16.3125</v>
      </c>
      <c r="C262" s="325">
        <f t="shared" si="96"/>
        <v>19.793377202392133</v>
      </c>
      <c r="D262" s="326">
        <f t="shared" si="97"/>
        <v>1.5202528601407184</v>
      </c>
      <c r="E262" s="326">
        <f t="shared" si="98"/>
        <v>1.00021008022061</v>
      </c>
      <c r="F262" s="327">
        <f t="shared" si="99"/>
        <v>2.0496021522199561E-2</v>
      </c>
      <c r="G262" s="326">
        <f t="shared" si="100"/>
        <v>1</v>
      </c>
      <c r="H262" s="327">
        <f t="shared" si="101"/>
        <v>0</v>
      </c>
      <c r="I262" s="325">
        <f t="shared" si="102"/>
        <v>21651.024091965242</v>
      </c>
      <c r="J262" s="328">
        <f t="shared" si="103"/>
        <v>1.5707501396031911</v>
      </c>
      <c r="K262" s="336">
        <f t="shared" si="123"/>
        <v>4.3116413282425086</v>
      </c>
      <c r="L262" s="337">
        <f t="shared" si="124"/>
        <v>1.3367347653832122</v>
      </c>
      <c r="M262" s="325">
        <f t="shared" si="104"/>
        <v>1.0062110222633311</v>
      </c>
      <c r="N262" s="337">
        <f t="shared" si="105"/>
        <v>0.11116694112014476</v>
      </c>
      <c r="O262" s="343">
        <f t="shared" si="106"/>
        <v>1.0044826176895494</v>
      </c>
      <c r="P262" s="691">
        <f t="shared" si="107"/>
        <v>9.4508588055378553E-2</v>
      </c>
      <c r="Q262" s="336">
        <f t="shared" si="122"/>
        <v>15.138664999452629</v>
      </c>
      <c r="R262" s="692">
        <f t="shared" si="108"/>
        <v>4.4214890656421556E-2</v>
      </c>
      <c r="S262" s="329">
        <f t="shared" si="109"/>
        <v>0.99802328840066079</v>
      </c>
      <c r="T262" s="330">
        <f t="shared" si="110"/>
        <v>0.14061036009909947</v>
      </c>
      <c r="U262" s="331">
        <f t="shared" si="111"/>
        <v>7.8265275511202841</v>
      </c>
      <c r="V262" s="332">
        <f t="shared" si="112"/>
        <v>-110.88199069939296</v>
      </c>
      <c r="W262" s="334">
        <f t="shared" si="113"/>
        <v>69.118009300607042</v>
      </c>
      <c r="Y262" s="307">
        <f t="shared" si="114"/>
        <v>1000000000</v>
      </c>
      <c r="Z262" s="307">
        <f t="shared" si="115"/>
        <v>266097656.25</v>
      </c>
      <c r="AB262" s="333">
        <f t="shared" si="116"/>
        <v>23.636726649654527</v>
      </c>
      <c r="AC262" s="334">
        <f t="shared" si="117"/>
        <v>-19.777489854142054</v>
      </c>
      <c r="AE262" s="333">
        <f t="shared" si="118"/>
        <v>41.732104045642416</v>
      </c>
      <c r="AF262" s="334">
        <f t="shared" si="119"/>
        <v>-93.986117445611939</v>
      </c>
      <c r="AH262">
        <f t="shared" si="120"/>
        <v>0</v>
      </c>
      <c r="AI262">
        <f t="shared" si="125"/>
        <v>0</v>
      </c>
    </row>
    <row r="263" spans="1:35" x14ac:dyDescent="0.25">
      <c r="A263" s="335">
        <v>16407</v>
      </c>
      <c r="B263" s="352">
        <f t="shared" si="121"/>
        <v>16.407</v>
      </c>
      <c r="C263" s="325">
        <f t="shared" si="96"/>
        <v>19.907750445975047</v>
      </c>
      <c r="D263" s="326">
        <f t="shared" si="97"/>
        <v>1.5205434859182427</v>
      </c>
      <c r="E263" s="326">
        <f t="shared" si="98"/>
        <v>1.000212521044477</v>
      </c>
      <c r="F263" s="327">
        <f t="shared" si="99"/>
        <v>2.0614723555719274E-2</v>
      </c>
      <c r="G263" s="326">
        <f t="shared" si="100"/>
        <v>1</v>
      </c>
      <c r="H263" s="327">
        <f t="shared" si="101"/>
        <v>0</v>
      </c>
      <c r="I263" s="325">
        <f t="shared" si="102"/>
        <v>21776.450714024315</v>
      </c>
      <c r="J263" s="328">
        <f t="shared" si="103"/>
        <v>1.5707504056292538</v>
      </c>
      <c r="K263" s="336">
        <f t="shared" si="123"/>
        <v>4.3352791789987082</v>
      </c>
      <c r="L263" s="337">
        <f t="shared" si="124"/>
        <v>1.33803459888915</v>
      </c>
      <c r="M263" s="325">
        <f t="shared" si="104"/>
        <v>1.0062829675791916</v>
      </c>
      <c r="N263" s="337">
        <f t="shared" si="105"/>
        <v>0.11180560443410857</v>
      </c>
      <c r="O263" s="343">
        <f t="shared" si="106"/>
        <v>1.0045345870960043</v>
      </c>
      <c r="P263" s="691">
        <f t="shared" si="107"/>
        <v>9.5052803650121392E-2</v>
      </c>
      <c r="Q263" s="336">
        <f t="shared" si="122"/>
        <v>15.138831909499041</v>
      </c>
      <c r="R263" s="692">
        <f t="shared" si="108"/>
        <v>4.4470709962340073E-2</v>
      </c>
      <c r="S263" s="329">
        <f t="shared" si="109"/>
        <v>0.99800112016484377</v>
      </c>
      <c r="T263" s="330">
        <f t="shared" si="110"/>
        <v>0.14143355196402535</v>
      </c>
      <c r="U263" s="331">
        <f t="shared" si="111"/>
        <v>7.773744332913175</v>
      </c>
      <c r="V263" s="332">
        <f t="shared" si="112"/>
        <v>-110.88461571436905</v>
      </c>
      <c r="W263" s="334">
        <f t="shared" si="113"/>
        <v>69.115384285630952</v>
      </c>
      <c r="Y263" s="307">
        <f t="shared" si="114"/>
        <v>1000000000</v>
      </c>
      <c r="Z263" s="307">
        <f t="shared" si="115"/>
        <v>269189649</v>
      </c>
      <c r="AB263" s="333">
        <f t="shared" si="116"/>
        <v>23.633421429523498</v>
      </c>
      <c r="AC263" s="334">
        <f t="shared" si="117"/>
        <v>-19.739622834729452</v>
      </c>
      <c r="AE263" s="333">
        <f t="shared" si="118"/>
        <v>41.682272438087857</v>
      </c>
      <c r="AF263" s="334">
        <f t="shared" si="119"/>
        <v>-94.043133370196401</v>
      </c>
      <c r="AH263">
        <f t="shared" si="120"/>
        <v>0</v>
      </c>
      <c r="AI263">
        <f t="shared" si="125"/>
        <v>0</v>
      </c>
    </row>
    <row r="264" spans="1:35" x14ac:dyDescent="0.25">
      <c r="A264" s="335">
        <v>16501.5</v>
      </c>
      <c r="B264" s="352">
        <f t="shared" si="121"/>
        <v>16.5015</v>
      </c>
      <c r="C264" s="325">
        <f t="shared" si="96"/>
        <v>20.022125351822705</v>
      </c>
      <c r="D264" s="326">
        <f t="shared" si="97"/>
        <v>1.520830791363412</v>
      </c>
      <c r="E264" s="326">
        <f t="shared" si="98"/>
        <v>1.0002149759614423</v>
      </c>
      <c r="F264" s="327">
        <f t="shared" si="99"/>
        <v>2.0733425008229497E-2</v>
      </c>
      <c r="G264" s="326">
        <f t="shared" si="100"/>
        <v>1</v>
      </c>
      <c r="H264" s="327">
        <f t="shared" si="101"/>
        <v>0</v>
      </c>
      <c r="I264" s="325">
        <f t="shared" si="102"/>
        <v>21901.877336084908</v>
      </c>
      <c r="J264" s="328">
        <f t="shared" si="103"/>
        <v>1.5707506686083859</v>
      </c>
      <c r="K264" s="336">
        <f t="shared" si="123"/>
        <v>4.358924275050807</v>
      </c>
      <c r="L264" s="337">
        <f t="shared" si="124"/>
        <v>1.3393203325877279</v>
      </c>
      <c r="M264" s="325">
        <f t="shared" si="104"/>
        <v>1.0063553232898601</v>
      </c>
      <c r="N264" s="337">
        <f t="shared" si="105"/>
        <v>0.11244417617029444</v>
      </c>
      <c r="O264" s="343">
        <f t="shared" si="106"/>
        <v>1.0045868539852505</v>
      </c>
      <c r="P264" s="691">
        <f t="shared" si="107"/>
        <v>9.5596962776851493E-2</v>
      </c>
      <c r="Q264" s="336">
        <f t="shared" si="122"/>
        <v>15.138999781825389</v>
      </c>
      <c r="R264" s="692">
        <f t="shared" si="108"/>
        <v>4.4726523694683502E-2</v>
      </c>
      <c r="S264" s="329">
        <f t="shared" si="109"/>
        <v>0.99797884246765234</v>
      </c>
      <c r="T264" s="330">
        <f t="shared" si="110"/>
        <v>0.1422568926132744</v>
      </c>
      <c r="U264" s="331">
        <f t="shared" si="111"/>
        <v>7.7212910371731569</v>
      </c>
      <c r="V264" s="332">
        <f t="shared" si="112"/>
        <v>-110.88786440021225</v>
      </c>
      <c r="W264" s="334">
        <f t="shared" si="113"/>
        <v>69.112135599787749</v>
      </c>
      <c r="Y264" s="307">
        <f t="shared" si="114"/>
        <v>1000000000</v>
      </c>
      <c r="Z264" s="307">
        <f t="shared" si="115"/>
        <v>272299502.25</v>
      </c>
      <c r="AB264" s="333">
        <f t="shared" si="116"/>
        <v>23.63015707698322</v>
      </c>
      <c r="AC264" s="334">
        <f t="shared" si="117"/>
        <v>-19.702558253174999</v>
      </c>
      <c r="AE264" s="333">
        <f t="shared" si="118"/>
        <v>41.632727887597348</v>
      </c>
      <c r="AF264" s="334">
        <f t="shared" si="119"/>
        <v>-94.0999676117533</v>
      </c>
      <c r="AH264">
        <f t="shared" si="120"/>
        <v>0</v>
      </c>
      <c r="AI264">
        <f t="shared" si="125"/>
        <v>0</v>
      </c>
    </row>
    <row r="265" spans="1:35" x14ac:dyDescent="0.25">
      <c r="A265" s="335">
        <v>16596</v>
      </c>
      <c r="B265" s="352">
        <f t="shared" si="121"/>
        <v>16.596</v>
      </c>
      <c r="C265" s="325">
        <f t="shared" si="96"/>
        <v>20.136501891610219</v>
      </c>
      <c r="D265" s="326">
        <f t="shared" si="97"/>
        <v>1.521114833007448</v>
      </c>
      <c r="E265" s="326">
        <f t="shared" si="98"/>
        <v>1.0002174449714023</v>
      </c>
      <c r="F265" s="327">
        <f t="shared" si="99"/>
        <v>2.0852125876389502E-2</v>
      </c>
      <c r="G265" s="326">
        <f t="shared" si="100"/>
        <v>1</v>
      </c>
      <c r="H265" s="327">
        <f t="shared" si="101"/>
        <v>0</v>
      </c>
      <c r="I265" s="325">
        <f t="shared" si="102"/>
        <v>22027.303958147004</v>
      </c>
      <c r="J265" s="328">
        <f t="shared" si="103"/>
        <v>1.5707509285926362</v>
      </c>
      <c r="K265" s="336">
        <f t="shared" si="123"/>
        <v>4.3825764991282563</v>
      </c>
      <c r="L265" s="337">
        <f t="shared" si="124"/>
        <v>1.3405921904780174</v>
      </c>
      <c r="M265" s="325">
        <f t="shared" si="104"/>
        <v>1.0064280893068231</v>
      </c>
      <c r="N265" s="337">
        <f t="shared" si="105"/>
        <v>0.11308265582772462</v>
      </c>
      <c r="O265" s="343">
        <f t="shared" si="106"/>
        <v>1.0046394183108585</v>
      </c>
      <c r="P265" s="691">
        <f t="shared" si="107"/>
        <v>9.6141065122146471E-2</v>
      </c>
      <c r="Q265" s="336">
        <f t="shared" si="122"/>
        <v>15.139168616399683</v>
      </c>
      <c r="R265" s="692">
        <f t="shared" si="108"/>
        <v>4.4982331821598123E-2</v>
      </c>
      <c r="S265" s="329">
        <f t="shared" si="109"/>
        <v>0.99795645563157653</v>
      </c>
      <c r="T265" s="330">
        <f t="shared" si="110"/>
        <v>0.1430803828854908</v>
      </c>
      <c r="U265" s="331">
        <f t="shared" si="111"/>
        <v>7.6691634562987563</v>
      </c>
      <c r="V265" s="332">
        <f t="shared" si="112"/>
        <v>-110.89172720037462</v>
      </c>
      <c r="W265" s="334">
        <f t="shared" si="113"/>
        <v>69.108272799625382</v>
      </c>
      <c r="Y265" s="307">
        <f t="shared" si="114"/>
        <v>1000000000</v>
      </c>
      <c r="Z265" s="307">
        <f t="shared" si="115"/>
        <v>275427216</v>
      </c>
      <c r="AB265" s="333">
        <f t="shared" si="116"/>
        <v>23.626932629577656</v>
      </c>
      <c r="AC265" s="334">
        <f t="shared" si="117"/>
        <v>-19.666283249555548</v>
      </c>
      <c r="AE265" s="333">
        <f t="shared" si="118"/>
        <v>41.583467149789215</v>
      </c>
      <c r="AF265" s="334">
        <f t="shared" si="119"/>
        <v>-94.156623457525228</v>
      </c>
      <c r="AH265">
        <f t="shared" si="120"/>
        <v>0</v>
      </c>
      <c r="AI265">
        <f t="shared" si="125"/>
        <v>0</v>
      </c>
    </row>
    <row r="266" spans="1:35" x14ac:dyDescent="0.25">
      <c r="A266" s="335">
        <v>16692.5</v>
      </c>
      <c r="B266" s="352">
        <f t="shared" si="121"/>
        <v>16.692499999999999</v>
      </c>
      <c r="C266" s="325">
        <f t="shared" si="96"/>
        <v>20.253300756314754</v>
      </c>
      <c r="D266" s="326">
        <f t="shared" si="97"/>
        <v>1.5214015753881811</v>
      </c>
      <c r="E266" s="326">
        <f t="shared" si="98"/>
        <v>1.0002199807789802</v>
      </c>
      <c r="F266" s="327">
        <f t="shared" si="99"/>
        <v>2.0973338325731797E-2</v>
      </c>
      <c r="G266" s="326">
        <f t="shared" si="100"/>
        <v>1</v>
      </c>
      <c r="H266" s="327">
        <f t="shared" si="101"/>
        <v>0</v>
      </c>
      <c r="I266" s="325">
        <f t="shared" si="102"/>
        <v>22155.385111894466</v>
      </c>
      <c r="J266" s="328">
        <f t="shared" si="103"/>
        <v>1.5707511910414313</v>
      </c>
      <c r="K266" s="336">
        <f t="shared" si="123"/>
        <v>4.4067365360052992</v>
      </c>
      <c r="L266" s="337">
        <f t="shared" si="124"/>
        <v>1.3418768745330272</v>
      </c>
      <c r="M266" s="325">
        <f t="shared" si="104"/>
        <v>1.006502818676605</v>
      </c>
      <c r="N266" s="337">
        <f t="shared" si="105"/>
        <v>0.11373455273944831</v>
      </c>
      <c r="O266" s="343">
        <f t="shared" si="106"/>
        <v>1.0046934020058464</v>
      </c>
      <c r="P266" s="691">
        <f t="shared" si="107"/>
        <v>9.6696623938740192E-2</v>
      </c>
      <c r="Q266" s="336">
        <f t="shared" si="122"/>
        <v>15.139342017170058</v>
      </c>
      <c r="R266" s="692">
        <f t="shared" si="108"/>
        <v>4.5243548059390813E-2</v>
      </c>
      <c r="S266" s="329">
        <f t="shared" si="109"/>
        <v>0.99793348270909488</v>
      </c>
      <c r="T266" s="330">
        <f t="shared" si="110"/>
        <v>0.14392145680087939</v>
      </c>
      <c r="U266" s="331">
        <f t="shared" si="111"/>
        <v>7.6162644854816497</v>
      </c>
      <c r="V266" s="332">
        <f t="shared" si="112"/>
        <v>-110.89629576951353</v>
      </c>
      <c r="W266" s="334">
        <f t="shared" si="113"/>
        <v>69.103704230486471</v>
      </c>
      <c r="Y266" s="307">
        <f t="shared" si="114"/>
        <v>1000000000</v>
      </c>
      <c r="Z266" s="307">
        <f t="shared" si="115"/>
        <v>278639556.25</v>
      </c>
      <c r="AB266" s="333">
        <f t="shared" si="116"/>
        <v>23.623680147545258</v>
      </c>
      <c r="AC266" s="334">
        <f t="shared" si="117"/>
        <v>-19.630042254081992</v>
      </c>
      <c r="AE266" s="333">
        <f t="shared" si="118"/>
        <v>41.533453428223304</v>
      </c>
      <c r="AF266" s="334">
        <f t="shared" si="119"/>
        <v>-94.214297609653215</v>
      </c>
      <c r="AH266">
        <f t="shared" si="120"/>
        <v>0</v>
      </c>
      <c r="AI266">
        <f t="shared" si="125"/>
        <v>0</v>
      </c>
    </row>
    <row r="267" spans="1:35" x14ac:dyDescent="0.25">
      <c r="A267" s="335">
        <v>16789</v>
      </c>
      <c r="B267" s="352">
        <f t="shared" si="121"/>
        <v>16.789000000000001</v>
      </c>
      <c r="C267" s="325">
        <f t="shared" si="96"/>
        <v>20.370101267173212</v>
      </c>
      <c r="D267" s="326">
        <f t="shared" si="97"/>
        <v>1.5216850294768234</v>
      </c>
      <c r="E267" s="326">
        <f t="shared" si="98"/>
        <v>1.0002225312821735</v>
      </c>
      <c r="F267" s="327">
        <f t="shared" si="99"/>
        <v>2.1094550158687071E-2</v>
      </c>
      <c r="G267" s="326">
        <f t="shared" si="100"/>
        <v>1</v>
      </c>
      <c r="H267" s="327">
        <f t="shared" si="101"/>
        <v>0</v>
      </c>
      <c r="I267" s="325">
        <f t="shared" si="102"/>
        <v>22283.466265643441</v>
      </c>
      <c r="J267" s="328">
        <f t="shared" si="103"/>
        <v>1.5707514504732143</v>
      </c>
      <c r="K267" s="336">
        <f t="shared" si="123"/>
        <v>4.4309037664980666</v>
      </c>
      <c r="L267" s="337">
        <f t="shared" si="124"/>
        <v>1.3431475467054319</v>
      </c>
      <c r="M267" s="325">
        <f t="shared" si="104"/>
        <v>1.0065779757158537</v>
      </c>
      <c r="N267" s="337">
        <f t="shared" si="105"/>
        <v>0.11438635257920804</v>
      </c>
      <c r="O267" s="343">
        <f t="shared" si="106"/>
        <v>1.0047476957616535</v>
      </c>
      <c r="P267" s="691">
        <f t="shared" si="107"/>
        <v>9.7252122885081019E-2</v>
      </c>
      <c r="Q267" s="336">
        <f t="shared" si="122"/>
        <v>15.139516421281471</v>
      </c>
      <c r="R267" s="692">
        <f t="shared" si="108"/>
        <v>4.5504758384855098E-2</v>
      </c>
      <c r="S267" s="329">
        <f t="shared" si="109"/>
        <v>0.99791039666491232</v>
      </c>
      <c r="T267" s="330">
        <f t="shared" si="110"/>
        <v>0.14476268850597315</v>
      </c>
      <c r="U267" s="331">
        <f t="shared" si="111"/>
        <v>7.5636965485502197</v>
      </c>
      <c r="V267" s="332">
        <f t="shared" si="112"/>
        <v>-110.90148518801675</v>
      </c>
      <c r="W267" s="334">
        <f t="shared" si="113"/>
        <v>69.09851481198325</v>
      </c>
      <c r="Y267" s="307">
        <f t="shared" si="114"/>
        <v>1000000000</v>
      </c>
      <c r="Z267" s="307">
        <f t="shared" si="115"/>
        <v>281870521</v>
      </c>
      <c r="AB267" s="333">
        <f t="shared" si="116"/>
        <v>23.62046733055983</v>
      </c>
      <c r="AC267" s="334">
        <f t="shared" si="117"/>
        <v>-19.594598345669763</v>
      </c>
      <c r="AE267" s="333">
        <f t="shared" si="118"/>
        <v>41.483728994644736</v>
      </c>
      <c r="AF267" s="334">
        <f t="shared" si="119"/>
        <v>-94.271792432522943</v>
      </c>
      <c r="AH267">
        <f t="shared" si="120"/>
        <v>0</v>
      </c>
      <c r="AI267">
        <f t="shared" si="125"/>
        <v>0</v>
      </c>
    </row>
    <row r="268" spans="1:35" x14ac:dyDescent="0.25">
      <c r="A268" s="335">
        <v>16885.5</v>
      </c>
      <c r="B268" s="352">
        <f t="shared" si="121"/>
        <v>16.8855</v>
      </c>
      <c r="C268" s="325">
        <f t="shared" si="96"/>
        <v>20.486903396030282</v>
      </c>
      <c r="D268" s="326">
        <f t="shared" si="97"/>
        <v>1.5219652514701212</v>
      </c>
      <c r="E268" s="326">
        <f t="shared" si="98"/>
        <v>1.0002250964808697</v>
      </c>
      <c r="F268" s="327">
        <f t="shared" si="99"/>
        <v>2.1215761371698283E-2</v>
      </c>
      <c r="G268" s="326">
        <f t="shared" si="100"/>
        <v>1</v>
      </c>
      <c r="H268" s="327">
        <f t="shared" si="101"/>
        <v>0</v>
      </c>
      <c r="I268" s="325">
        <f t="shared" si="102"/>
        <v>22411.547419393894</v>
      </c>
      <c r="J268" s="328">
        <f t="shared" si="103"/>
        <v>1.5707517069397112</v>
      </c>
      <c r="K268" s="336">
        <f t="shared" si="123"/>
        <v>4.4550780735380604</v>
      </c>
      <c r="L268" s="337">
        <f t="shared" si="124"/>
        <v>1.3444044309535794</v>
      </c>
      <c r="M268" s="325">
        <f t="shared" si="104"/>
        <v>1.0066535603287798</v>
      </c>
      <c r="N268" s="337">
        <f t="shared" si="105"/>
        <v>0.11503805481498312</v>
      </c>
      <c r="O268" s="343">
        <f t="shared" si="106"/>
        <v>1.0048022995280175</v>
      </c>
      <c r="P268" s="691">
        <f t="shared" si="107"/>
        <v>9.7807561628071346E-2</v>
      </c>
      <c r="Q268" s="336">
        <f t="shared" si="122"/>
        <v>15.139691828699275</v>
      </c>
      <c r="R268" s="692">
        <f t="shared" si="108"/>
        <v>4.576596276408551E-2</v>
      </c>
      <c r="S268" s="329">
        <f t="shared" si="109"/>
        <v>0.99788719784852598</v>
      </c>
      <c r="T268" s="330">
        <f t="shared" si="110"/>
        <v>0.14560407889270705</v>
      </c>
      <c r="U268" s="331">
        <f t="shared" si="111"/>
        <v>7.5114554182363396</v>
      </c>
      <c r="V268" s="332">
        <f t="shared" si="112"/>
        <v>-110.90728588478414</v>
      </c>
      <c r="W268" s="334">
        <f t="shared" si="113"/>
        <v>69.092714115215855</v>
      </c>
      <c r="Y268" s="307">
        <f t="shared" si="114"/>
        <v>1000000000</v>
      </c>
      <c r="Z268" s="307">
        <f t="shared" si="115"/>
        <v>285120110.25</v>
      </c>
      <c r="AB268" s="333">
        <f t="shared" si="116"/>
        <v>23.617293234473603</v>
      </c>
      <c r="AC268" s="334">
        <f t="shared" si="117"/>
        <v>-19.559938664931842</v>
      </c>
      <c r="AE268" s="333">
        <f t="shared" si="118"/>
        <v>41.434290566759707</v>
      </c>
      <c r="AF268" s="334">
        <f t="shared" si="119"/>
        <v>-94.329111197278664</v>
      </c>
      <c r="AH268">
        <f t="shared" si="120"/>
        <v>0</v>
      </c>
      <c r="AI268">
        <f t="shared" si="125"/>
        <v>0</v>
      </c>
    </row>
    <row r="269" spans="1:35" x14ac:dyDescent="0.25">
      <c r="A269" s="335">
        <v>16982</v>
      </c>
      <c r="B269" s="352">
        <f t="shared" si="121"/>
        <v>16.981999999999999</v>
      </c>
      <c r="C269" s="325">
        <f t="shared" ref="C269:C332" si="126">SQRT(1+(A269/pole1)^2)</f>
        <v>20.603707115368739</v>
      </c>
      <c r="D269" s="326">
        <f t="shared" ref="D269:D332" si="127">ATAN(A269/pole1)</f>
        <v>1.5222422962925466</v>
      </c>
      <c r="E269" s="326">
        <f t="shared" ref="E269:E332" si="128">SQRT(1+(A269/Zero1)^2)</f>
        <v>1.0002276763749556</v>
      </c>
      <c r="F269" s="327">
        <f t="shared" ref="F269:F332" si="129">ATAN(A269/Zero1)</f>
        <v>2.1336971961208515E-2</v>
      </c>
      <c r="G269" s="326">
        <f t="shared" ref="G269:G332" si="130">IF(VIN_nom&gt;Vout, 1, SQRT(1+(A269/z_RHP)^2))</f>
        <v>1</v>
      </c>
      <c r="H269" s="327">
        <f t="shared" ref="H269:H332" si="131">IF(VIN_nom&gt;Vout, 0, -ATAN(A269/z_RHP))</f>
        <v>0</v>
      </c>
      <c r="I269" s="325">
        <f t="shared" ref="I269:I332" si="132">SQRT(1+(A269/Pole2)^2)</f>
        <v>22539.628573145805</v>
      </c>
      <c r="J269" s="328">
        <f t="shared" ref="J269:J332" si="133">ATAN(A269/Pole2)</f>
        <v>1.5707519604914733</v>
      </c>
      <c r="K269" s="336">
        <f t="shared" si="123"/>
        <v>4.479259342550117</v>
      </c>
      <c r="L269" s="337">
        <f t="shared" si="124"/>
        <v>1.3456477465760479</v>
      </c>
      <c r="M269" s="325">
        <f t="shared" ref="M269:M332" si="134">SQRT(1+(A269/pole4)^2)</f>
        <v>1.0067295724190772</v>
      </c>
      <c r="N269" s="337">
        <f t="shared" ref="N269:N332" si="135">ATAN(A269/pole4)</f>
        <v>0.11568965891524383</v>
      </c>
      <c r="O269" s="343">
        <f t="shared" ref="O269:O332" si="136">IF(VOUT_setting=1,1,SQRT(1+(A269*zterm1)^2))</f>
        <v>1.0048572132544009</v>
      </c>
      <c r="P269" s="691">
        <f t="shared" ref="P269:P332" si="137">IF(VOUT_setting=1,0,ATAN(((A269*zterm1))))</f>
        <v>9.8362939834834268E-2</v>
      </c>
      <c r="Q269" s="336">
        <f t="shared" si="122"/>
        <v>15.139868239388633</v>
      </c>
      <c r="R269" s="692">
        <f t="shared" ref="R269:R332" si="138">IF(VOUT_setting=1,0,ATAN(A269*$Q$4/(1+Afbr-$Q$5*(A269)^2)))</f>
        <v>4.6027161163181306E-2</v>
      </c>
      <c r="S269" s="329">
        <f t="shared" ref="S269:S332" si="139">SQRT((1-(Z269/pterm2))^2+(A269/pterm1)^2)</f>
        <v>0.99786388661148695</v>
      </c>
      <c r="T269" s="330">
        <f t="shared" ref="T269:T332" si="140">IF((ATAN((A269/pterm1)/(1-A269^2/pterm2))&gt;0),ATAN((A269/pterm1)/(1-A269^2/pterm2)),PI()+ATAN((A269/pterm1)/(1-A269^2/pterm2)))</f>
        <v>0.14644562885264287</v>
      </c>
      <c r="U269" s="331">
        <f t="shared" ref="U269:U332" si="141">20*LOG10(((E269*K269*G269*O269)/(C269*I269*S269*M269*Q269))*Adc)</f>
        <v>7.4595369482496832</v>
      </c>
      <c r="V269" s="332">
        <f t="shared" ref="V269:V332" si="142">((F269+L269+H269+P269)-(D269+J269+T269+N269+R269))*radconv</f>
        <v>-110.91368848273167</v>
      </c>
      <c r="W269" s="334">
        <f t="shared" ref="W269:W332" si="143">IF(V269&gt;0,V269,V269+180)</f>
        <v>69.086311517268328</v>
      </c>
      <c r="Y269" s="307">
        <f t="shared" ref="Y269:Y332" si="144">IF(U269&lt;0,A269,1000000000)</f>
        <v>1000000000</v>
      </c>
      <c r="Z269" s="307">
        <f t="shared" ref="Z269:Z332" si="145">A269^2</f>
        <v>288388324</v>
      </c>
      <c r="AB269" s="333">
        <f t="shared" ref="AB269:AB332" si="146">20*LOG10((K269/(I269*M269))*AEA)</f>
        <v>23.614156940613483</v>
      </c>
      <c r="AC269" s="334">
        <f t="shared" ref="AC269:AC332" si="147">(L269-(J269+N269))*radconv</f>
        <v>-19.526050619427203</v>
      </c>
      <c r="AE269" s="333">
        <f t="shared" ref="AE269:AE332" si="148">20*LOG10((E269*G269/(C269*S269))*Acs*Am)</f>
        <v>41.385134917781997</v>
      </c>
      <c r="AF269" s="334">
        <f t="shared" ref="AF269:AF332" si="149">(F269+H269-(D269+T269))*radconv</f>
        <v>-94.386257102147383</v>
      </c>
      <c r="AH269">
        <f t="shared" ref="AH269:AH332" si="150">SUM((U270&lt;0)*(U269&gt;0))*A269</f>
        <v>0</v>
      </c>
      <c r="AI269">
        <f t="shared" si="125"/>
        <v>0</v>
      </c>
    </row>
    <row r="270" spans="1:35" x14ac:dyDescent="0.25">
      <c r="A270" s="335">
        <v>17081</v>
      </c>
      <c r="B270" s="352">
        <f t="shared" ref="B270:B333" si="151">A270/1000</f>
        <v>17.081</v>
      </c>
      <c r="C270" s="325">
        <f t="shared" si="126"/>
        <v>20.723538462431598</v>
      </c>
      <c r="D270" s="326">
        <f t="shared" si="127"/>
        <v>1.5225232730056255</v>
      </c>
      <c r="E270" s="326">
        <f t="shared" si="128"/>
        <v>1.0002303383769424</v>
      </c>
      <c r="F270" s="327">
        <f t="shared" si="129"/>
        <v>2.1461322069763769E-2</v>
      </c>
      <c r="G270" s="326">
        <f t="shared" si="130"/>
        <v>1</v>
      </c>
      <c r="H270" s="327">
        <f t="shared" si="131"/>
        <v>0</v>
      </c>
      <c r="I270" s="325">
        <f t="shared" si="132"/>
        <v>22671.027891504182</v>
      </c>
      <c r="J270" s="328">
        <f t="shared" si="133"/>
        <v>1.5707522176347337</v>
      </c>
      <c r="K270" s="336">
        <f t="shared" si="123"/>
        <v>4.5040741866269993</v>
      </c>
      <c r="L270" s="337">
        <f t="shared" si="124"/>
        <v>1.3469093970621473</v>
      </c>
      <c r="M270" s="325">
        <f t="shared" si="134"/>
        <v>1.0068079978656619</v>
      </c>
      <c r="N270" s="337">
        <f t="shared" si="135"/>
        <v>0.11635804141212874</v>
      </c>
      <c r="O270" s="343">
        <f t="shared" si="136"/>
        <v>1.0049138716720338</v>
      </c>
      <c r="P270" s="691">
        <f t="shared" si="137"/>
        <v>9.8932642820378322E-2</v>
      </c>
      <c r="Q270" s="336">
        <f t="shared" si="122"/>
        <v>15.140050262861839</v>
      </c>
      <c r="R270" s="692">
        <f t="shared" si="138"/>
        <v>4.6295120110122344E-2</v>
      </c>
      <c r="S270" s="329">
        <f t="shared" si="139"/>
        <v>0.99783985499998573</v>
      </c>
      <c r="T270" s="330">
        <f t="shared" si="140"/>
        <v>0.14730914738690637</v>
      </c>
      <c r="U270" s="331">
        <f t="shared" si="141"/>
        <v>7.4066044846328065</v>
      </c>
      <c r="V270" s="332">
        <f t="shared" si="142"/>
        <v>-110.92087281509936</v>
      </c>
      <c r="W270" s="334">
        <f t="shared" si="143"/>
        <v>69.079127184900642</v>
      </c>
      <c r="Y270" s="307">
        <f t="shared" si="144"/>
        <v>1000000000</v>
      </c>
      <c r="Z270" s="307">
        <f t="shared" si="145"/>
        <v>291760561</v>
      </c>
      <c r="AB270" s="333">
        <f t="shared" si="146"/>
        <v>23.610977742616068</v>
      </c>
      <c r="AC270" s="334">
        <f t="shared" si="147"/>
        <v>-19.492073600709734</v>
      </c>
      <c r="AE270" s="333">
        <f t="shared" si="148"/>
        <v>41.334996344035403</v>
      </c>
      <c r="AF270" s="334">
        <f t="shared" si="149"/>
        <v>-94.444707113157477</v>
      </c>
      <c r="AH270">
        <f t="shared" si="150"/>
        <v>0</v>
      </c>
      <c r="AI270">
        <f t="shared" si="125"/>
        <v>0</v>
      </c>
    </row>
    <row r="271" spans="1:35" x14ac:dyDescent="0.25">
      <c r="A271" s="335">
        <v>17180</v>
      </c>
      <c r="B271" s="352">
        <f t="shared" si="151"/>
        <v>17.18</v>
      </c>
      <c r="C271" s="325">
        <f t="shared" si="126"/>
        <v>20.843371426762413</v>
      </c>
      <c r="D271" s="326">
        <f t="shared" si="127"/>
        <v>1.5228010189509547</v>
      </c>
      <c r="E271" s="326">
        <f t="shared" si="128"/>
        <v>1.0002330158453578</v>
      </c>
      <c r="F271" s="327">
        <f t="shared" si="129"/>
        <v>2.1585671514509974E-2</v>
      </c>
      <c r="G271" s="326">
        <f t="shared" si="130"/>
        <v>1</v>
      </c>
      <c r="H271" s="327">
        <f t="shared" si="131"/>
        <v>0</v>
      </c>
      <c r="I271" s="325">
        <f t="shared" si="132"/>
        <v>22802.427209864036</v>
      </c>
      <c r="J271" s="328">
        <f t="shared" si="133"/>
        <v>1.5707524718144106</v>
      </c>
      <c r="K271" s="336">
        <f t="shared" si="123"/>
        <v>4.5288961215455004</v>
      </c>
      <c r="L271" s="337">
        <f t="shared" si="124"/>
        <v>1.3481572198301117</v>
      </c>
      <c r="M271" s="325">
        <f t="shared" si="134"/>
        <v>1.0068868730185982</v>
      </c>
      <c r="N271" s="337">
        <f t="shared" si="135"/>
        <v>0.11702631949114316</v>
      </c>
      <c r="O271" s="343">
        <f t="shared" si="136"/>
        <v>1.0049708562091741</v>
      </c>
      <c r="P271" s="691">
        <f t="shared" si="137"/>
        <v>9.9502281383419738E-2</v>
      </c>
      <c r="Q271" s="336">
        <f t="shared" ref="Q271:Q334" si="152">IF(VOUT_setting=1,1,SQRT((1+Afbr-$Q$5*(A271)^2)^2+(A271*$Q$4)^2))</f>
        <v>15.140233342188006</v>
      </c>
      <c r="R271" s="692">
        <f t="shared" si="138"/>
        <v>4.6563072690794599E-2</v>
      </c>
      <c r="S271" s="329">
        <f t="shared" si="139"/>
        <v>0.99781570582370427</v>
      </c>
      <c r="T271" s="330">
        <f t="shared" si="140"/>
        <v>0.14817283576931475</v>
      </c>
      <c r="U271" s="331">
        <f t="shared" si="141"/>
        <v>7.3540030279345707</v>
      </c>
      <c r="V271" s="332">
        <f t="shared" si="142"/>
        <v>-110.92867125148885</v>
      </c>
      <c r="W271" s="334">
        <f t="shared" si="143"/>
        <v>69.071328748511149</v>
      </c>
      <c r="Y271" s="307">
        <f t="shared" si="144"/>
        <v>1000000000</v>
      </c>
      <c r="Z271" s="307">
        <f t="shared" si="145"/>
        <v>295152400</v>
      </c>
      <c r="AB271" s="333">
        <f t="shared" si="146"/>
        <v>23.607836450859253</v>
      </c>
      <c r="AC271" s="334">
        <f t="shared" si="147"/>
        <v>-19.458882699378471</v>
      </c>
      <c r="AE271" s="333">
        <f t="shared" si="148"/>
        <v>41.285148684433565</v>
      </c>
      <c r="AF271" s="334">
        <f t="shared" si="149"/>
        <v>-94.502981784426026</v>
      </c>
      <c r="AH271">
        <f t="shared" si="150"/>
        <v>0</v>
      </c>
      <c r="AI271">
        <f t="shared" si="125"/>
        <v>0</v>
      </c>
    </row>
    <row r="272" spans="1:35" x14ac:dyDescent="0.25">
      <c r="A272" s="335">
        <v>17279</v>
      </c>
      <c r="B272" s="352">
        <f t="shared" si="151"/>
        <v>17.279</v>
      </c>
      <c r="C272" s="325">
        <f t="shared" si="126"/>
        <v>20.963205980626586</v>
      </c>
      <c r="D272" s="326">
        <f t="shared" si="127"/>
        <v>1.5230755894906161</v>
      </c>
      <c r="E272" s="326">
        <f t="shared" si="128"/>
        <v>1.0002357087800779</v>
      </c>
      <c r="F272" s="327">
        <f t="shared" si="129"/>
        <v>2.1710020291606898E-2</v>
      </c>
      <c r="G272" s="326">
        <f t="shared" si="130"/>
        <v>1</v>
      </c>
      <c r="H272" s="327">
        <f t="shared" si="131"/>
        <v>0</v>
      </c>
      <c r="I272" s="325">
        <f t="shared" si="132"/>
        <v>22933.826528225349</v>
      </c>
      <c r="J272" s="328">
        <f t="shared" si="133"/>
        <v>1.5707527230814438</v>
      </c>
      <c r="K272" s="336">
        <f t="shared" si="123"/>
        <v>4.5537250313510489</v>
      </c>
      <c r="L272" s="337">
        <f t="shared" si="124"/>
        <v>1.3493914371463414</v>
      </c>
      <c r="M272" s="325">
        <f t="shared" si="134"/>
        <v>1.0069661977722104</v>
      </c>
      <c r="N272" s="337">
        <f t="shared" si="135"/>
        <v>0.11769449257999444</v>
      </c>
      <c r="O272" s="343">
        <f t="shared" si="136"/>
        <v>1.0050281668103496</v>
      </c>
      <c r="P272" s="691">
        <f t="shared" si="137"/>
        <v>0.10007185516526641</v>
      </c>
      <c r="Q272" s="336">
        <f t="shared" si="152"/>
        <v>15.140417477328862</v>
      </c>
      <c r="R272" s="692">
        <f t="shared" si="138"/>
        <v>4.6831018868609374E-2</v>
      </c>
      <c r="S272" s="329">
        <f t="shared" si="139"/>
        <v>0.9977914394689742</v>
      </c>
      <c r="T272" s="330">
        <f t="shared" si="140"/>
        <v>0.14903669496129004</v>
      </c>
      <c r="U272" s="331">
        <f t="shared" si="141"/>
        <v>7.3017283535547994</v>
      </c>
      <c r="V272" s="332">
        <f t="shared" si="142"/>
        <v>-110.93707427287653</v>
      </c>
      <c r="W272" s="334">
        <f t="shared" si="143"/>
        <v>69.062925727123471</v>
      </c>
      <c r="Y272" s="307">
        <f t="shared" si="144"/>
        <v>1000000000</v>
      </c>
      <c r="Z272" s="307">
        <f t="shared" si="145"/>
        <v>298563841</v>
      </c>
      <c r="AB272" s="333">
        <f t="shared" si="146"/>
        <v>23.60473215174185</v>
      </c>
      <c r="AC272" s="334">
        <f t="shared" si="147"/>
        <v>-19.42646515063544</v>
      </c>
      <c r="AE272" s="333">
        <f t="shared" si="148"/>
        <v>41.23558862888936</v>
      </c>
      <c r="AF272" s="334">
        <f t="shared" si="149"/>
        <v>-94.561084343272128</v>
      </c>
      <c r="AH272">
        <f t="shared" si="150"/>
        <v>0</v>
      </c>
      <c r="AI272">
        <f t="shared" si="125"/>
        <v>0</v>
      </c>
    </row>
    <row r="273" spans="1:35" x14ac:dyDescent="0.25">
      <c r="A273" s="335">
        <v>17378</v>
      </c>
      <c r="B273" s="352">
        <f t="shared" si="151"/>
        <v>17.378</v>
      </c>
      <c r="C273" s="325">
        <f t="shared" si="126"/>
        <v>21.083042096919726</v>
      </c>
      <c r="D273" s="326">
        <f t="shared" si="127"/>
        <v>1.5233470387299182</v>
      </c>
      <c r="E273" s="326">
        <f t="shared" si="128"/>
        <v>1.0002384171809777</v>
      </c>
      <c r="F273" s="327">
        <f t="shared" si="129"/>
        <v>2.1834368397214435E-2</v>
      </c>
      <c r="G273" s="326">
        <f t="shared" si="130"/>
        <v>1</v>
      </c>
      <c r="H273" s="327">
        <f t="shared" si="131"/>
        <v>0</v>
      </c>
      <c r="I273" s="325">
        <f t="shared" si="132"/>
        <v>23065.225846588088</v>
      </c>
      <c r="J273" s="328">
        <f t="shared" si="133"/>
        <v>1.5707529714856114</v>
      </c>
      <c r="K273" s="336">
        <f t="shared" si="123"/>
        <v>4.5785608025720697</v>
      </c>
      <c r="L273" s="337">
        <f t="shared" si="124"/>
        <v>1.3506122666224634</v>
      </c>
      <c r="M273" s="325">
        <f t="shared" si="134"/>
        <v>1.0070459720202538</v>
      </c>
      <c r="N273" s="337">
        <f t="shared" si="135"/>
        <v>0.11836256010694472</v>
      </c>
      <c r="O273" s="343">
        <f t="shared" si="136"/>
        <v>1.0050858034197827</v>
      </c>
      <c r="P273" s="691">
        <f t="shared" si="137"/>
        <v>0.10064136380747594</v>
      </c>
      <c r="Q273" s="336">
        <f t="shared" si="152"/>
        <v>15.14060266824592</v>
      </c>
      <c r="R273" s="692">
        <f t="shared" si="138"/>
        <v>4.7098958606983314E-2</v>
      </c>
      <c r="S273" s="329">
        <f t="shared" si="139"/>
        <v>0.99776705632440599</v>
      </c>
      <c r="T273" s="330">
        <f t="shared" si="140"/>
        <v>0.14990072592382825</v>
      </c>
      <c r="U273" s="331">
        <f t="shared" si="141"/>
        <v>7.2497763178002561</v>
      </c>
      <c r="V273" s="332">
        <f t="shared" si="142"/>
        <v>-110.94607255485646</v>
      </c>
      <c r="W273" s="334">
        <f t="shared" si="143"/>
        <v>69.053927445143543</v>
      </c>
      <c r="Y273" s="307">
        <f t="shared" si="144"/>
        <v>1000000000</v>
      </c>
      <c r="Z273" s="307">
        <f t="shared" si="145"/>
        <v>301994884</v>
      </c>
      <c r="AB273" s="333">
        <f t="shared" si="146"/>
        <v>23.601663956437076</v>
      </c>
      <c r="AC273" s="334">
        <f t="shared" si="147"/>
        <v>-19.394808456346716</v>
      </c>
      <c r="AE273" s="333">
        <f t="shared" si="148"/>
        <v>41.186312923453087</v>
      </c>
      <c r="AF273" s="334">
        <f t="shared" si="149"/>
        <v>-94.619017944982687</v>
      </c>
      <c r="AH273">
        <f t="shared" si="150"/>
        <v>0</v>
      </c>
      <c r="AI273">
        <f t="shared" si="125"/>
        <v>0</v>
      </c>
    </row>
    <row r="274" spans="1:35" x14ac:dyDescent="0.25">
      <c r="A274" s="335">
        <v>17479.25</v>
      </c>
      <c r="B274" s="352">
        <f t="shared" si="151"/>
        <v>17.47925</v>
      </c>
      <c r="C274" s="325">
        <f t="shared" si="126"/>
        <v>21.205603349801542</v>
      </c>
      <c r="D274" s="326">
        <f t="shared" si="127"/>
        <v>1.5236214838634867</v>
      </c>
      <c r="E274" s="326">
        <f t="shared" si="128"/>
        <v>1.0002412031337424</v>
      </c>
      <c r="F274" s="327">
        <f t="shared" si="129"/>
        <v>2.1961541897574769E-2</v>
      </c>
      <c r="G274" s="326">
        <f t="shared" si="130"/>
        <v>1</v>
      </c>
      <c r="H274" s="327">
        <f t="shared" si="131"/>
        <v>0</v>
      </c>
      <c r="I274" s="325">
        <f t="shared" si="132"/>
        <v>23199.611513096897</v>
      </c>
      <c r="J274" s="328">
        <f t="shared" si="133"/>
        <v>1.5707532226248226</v>
      </c>
      <c r="K274" s="336">
        <f t="shared" si="123"/>
        <v>4.6039680045137921</v>
      </c>
      <c r="L274" s="337">
        <f t="shared" si="124"/>
        <v>1.351847216559817</v>
      </c>
      <c r="M274" s="325">
        <f t="shared" si="134"/>
        <v>1.0071280241422598</v>
      </c>
      <c r="N274" s="337">
        <f t="shared" si="135"/>
        <v>0.11904570120364288</v>
      </c>
      <c r="O274" s="343">
        <f t="shared" si="136"/>
        <v>1.0051450871000802</v>
      </c>
      <c r="P274" s="691">
        <f t="shared" si="137"/>
        <v>0.10122374807748741</v>
      </c>
      <c r="Q274" s="336">
        <f t="shared" si="152"/>
        <v>15.140793160048361</v>
      </c>
      <c r="R274" s="692">
        <f t="shared" si="138"/>
        <v>4.7372981186114445E-2</v>
      </c>
      <c r="S274" s="329">
        <f t="shared" si="139"/>
        <v>0.99774199862338098</v>
      </c>
      <c r="T274" s="330">
        <f t="shared" si="140"/>
        <v>0.15078457262552267</v>
      </c>
      <c r="U274" s="331">
        <f t="shared" si="141"/>
        <v>7.1969730390960454</v>
      </c>
      <c r="V274" s="332">
        <f t="shared" si="142"/>
        <v>-110.95588153173449</v>
      </c>
      <c r="W274" s="334">
        <f t="shared" si="143"/>
        <v>69.044118468265509</v>
      </c>
      <c r="Y274" s="307">
        <f t="shared" si="144"/>
        <v>1000000000</v>
      </c>
      <c r="Z274" s="307">
        <f t="shared" si="145"/>
        <v>305524180.5625</v>
      </c>
      <c r="AB274" s="333">
        <f t="shared" si="146"/>
        <v>23.598562472178525</v>
      </c>
      <c r="AC274" s="334">
        <f t="shared" si="147"/>
        <v>-19.363206527859909</v>
      </c>
      <c r="AE274" s="333">
        <f t="shared" si="148"/>
        <v>41.136208099211601</v>
      </c>
      <c r="AF274" s="334">
        <f t="shared" si="149"/>
        <v>-94.678096673818672</v>
      </c>
      <c r="AH274">
        <f t="shared" si="150"/>
        <v>0</v>
      </c>
      <c r="AI274">
        <f t="shared" si="125"/>
        <v>0</v>
      </c>
    </row>
    <row r="275" spans="1:35" x14ac:dyDescent="0.25">
      <c r="A275" s="335">
        <v>17580.5</v>
      </c>
      <c r="B275" s="352">
        <f t="shared" si="151"/>
        <v>17.580500000000001</v>
      </c>
      <c r="C275" s="325">
        <f t="shared" si="126"/>
        <v>21.328166181535554</v>
      </c>
      <c r="D275" s="326">
        <f t="shared" si="127"/>
        <v>1.5238927748058686</v>
      </c>
      <c r="E275" s="326">
        <f t="shared" si="128"/>
        <v>1.0002440052634169</v>
      </c>
      <c r="F275" s="327">
        <f t="shared" si="129"/>
        <v>2.2088714687452451E-2</v>
      </c>
      <c r="G275" s="326">
        <f t="shared" si="130"/>
        <v>1</v>
      </c>
      <c r="H275" s="327">
        <f t="shared" si="131"/>
        <v>0</v>
      </c>
      <c r="I275" s="325">
        <f t="shared" si="132"/>
        <v>23333.997179607151</v>
      </c>
      <c r="J275" s="328">
        <f t="shared" si="133"/>
        <v>1.5707534708713011</v>
      </c>
      <c r="K275" s="336">
        <f t="shared" si="123"/>
        <v>4.6293821508954407</v>
      </c>
      <c r="L275" s="337">
        <f t="shared" si="124"/>
        <v>1.3530686092123614</v>
      </c>
      <c r="M275" s="325">
        <f t="shared" si="134"/>
        <v>1.0072105461958367</v>
      </c>
      <c r="N275" s="337">
        <f t="shared" si="135"/>
        <v>0.11972873067780027</v>
      </c>
      <c r="O275" s="343">
        <f t="shared" si="136"/>
        <v>1.0052047116566027</v>
      </c>
      <c r="P275" s="691">
        <f t="shared" si="137"/>
        <v>0.10180606345576594</v>
      </c>
      <c r="Q275" s="336">
        <f t="shared" si="152"/>
        <v>15.140984756080039</v>
      </c>
      <c r="R275" s="692">
        <f t="shared" si="138"/>
        <v>4.7646996952394029E-2</v>
      </c>
      <c r="S275" s="329">
        <f t="shared" si="139"/>
        <v>0.99771681959304903</v>
      </c>
      <c r="T275" s="330">
        <f t="shared" si="140"/>
        <v>0.15166860102607269</v>
      </c>
      <c r="U275" s="331">
        <f t="shared" si="141"/>
        <v>7.1444987144598526</v>
      </c>
      <c r="V275" s="332">
        <f t="shared" si="142"/>
        <v>-110.96629400887292</v>
      </c>
      <c r="W275" s="334">
        <f t="shared" si="143"/>
        <v>69.033705991127079</v>
      </c>
      <c r="Y275" s="307">
        <f t="shared" si="144"/>
        <v>1000000000</v>
      </c>
      <c r="Z275" s="307">
        <f t="shared" si="145"/>
        <v>309073980.25</v>
      </c>
      <c r="AB275" s="333">
        <f t="shared" si="146"/>
        <v>23.595496946899587</v>
      </c>
      <c r="AC275" s="334">
        <f t="shared" si="147"/>
        <v>-19.332374813333359</v>
      </c>
      <c r="AE275" s="333">
        <f t="shared" si="148"/>
        <v>41.086393986875933</v>
      </c>
      <c r="AF275" s="334">
        <f t="shared" si="149"/>
        <v>-94.737005132096911</v>
      </c>
      <c r="AH275">
        <f t="shared" si="150"/>
        <v>0</v>
      </c>
      <c r="AI275">
        <f t="shared" si="125"/>
        <v>0</v>
      </c>
    </row>
    <row r="276" spans="1:35" x14ac:dyDescent="0.25">
      <c r="A276" s="335">
        <v>17681.75</v>
      </c>
      <c r="B276" s="352">
        <f t="shared" si="151"/>
        <v>17.681750000000001</v>
      </c>
      <c r="C276" s="325">
        <f t="shared" si="126"/>
        <v>21.450730565058542</v>
      </c>
      <c r="D276" s="326">
        <f t="shared" si="127"/>
        <v>1.5241609655836834</v>
      </c>
      <c r="E276" s="326">
        <f t="shared" si="128"/>
        <v>1.0002468235698656</v>
      </c>
      <c r="F276" s="327">
        <f t="shared" si="129"/>
        <v>2.2215886762739973E-2</v>
      </c>
      <c r="G276" s="326">
        <f t="shared" si="130"/>
        <v>1</v>
      </c>
      <c r="H276" s="327">
        <f t="shared" si="131"/>
        <v>0</v>
      </c>
      <c r="I276" s="325">
        <f t="shared" si="132"/>
        <v>23468.382846118824</v>
      </c>
      <c r="J276" s="328">
        <f t="shared" si="133"/>
        <v>1.5707537162747403</v>
      </c>
      <c r="K276" s="336">
        <f t="shared" si="123"/>
        <v>4.6548031279719186</v>
      </c>
      <c r="L276" s="337">
        <f t="shared" si="124"/>
        <v>1.354276663024369</v>
      </c>
      <c r="M276" s="325">
        <f t="shared" si="134"/>
        <v>1.0072935380654875</v>
      </c>
      <c r="N276" s="337">
        <f t="shared" si="135"/>
        <v>0.12041164791962293</v>
      </c>
      <c r="O276" s="343">
        <f t="shared" si="136"/>
        <v>1.0052646770286955</v>
      </c>
      <c r="P276" s="691">
        <f t="shared" si="137"/>
        <v>0.10238830955968918</v>
      </c>
      <c r="Q276" s="336">
        <f t="shared" si="152"/>
        <v>15.141177456299072</v>
      </c>
      <c r="R276" s="692">
        <f t="shared" si="138"/>
        <v>4.7921005866704822E-2</v>
      </c>
      <c r="S276" s="329">
        <f t="shared" si="139"/>
        <v>0.99769151965652281</v>
      </c>
      <c r="T276" s="330">
        <f t="shared" si="140"/>
        <v>0.1525528121520936</v>
      </c>
      <c r="U276" s="331">
        <f t="shared" si="141"/>
        <v>7.0923491606230229</v>
      </c>
      <c r="V276" s="332">
        <f t="shared" si="142"/>
        <v>-110.97730061248025</v>
      </c>
      <c r="W276" s="334">
        <f t="shared" si="143"/>
        <v>69.022699387519751</v>
      </c>
      <c r="Y276" s="307">
        <f t="shared" si="144"/>
        <v>1000000000</v>
      </c>
      <c r="Z276" s="307">
        <f t="shared" si="145"/>
        <v>312644283.0625</v>
      </c>
      <c r="AB276" s="333">
        <f t="shared" si="146"/>
        <v>23.592466505124484</v>
      </c>
      <c r="AC276" s="334">
        <f t="shared" si="147"/>
        <v>-19.302300764740757</v>
      </c>
      <c r="AE276" s="333">
        <f t="shared" si="148"/>
        <v>41.036867279649769</v>
      </c>
      <c r="AF276" s="334">
        <f t="shared" si="149"/>
        <v>-94.795746474370773</v>
      </c>
      <c r="AH276">
        <f t="shared" si="150"/>
        <v>0</v>
      </c>
      <c r="AI276">
        <f t="shared" si="125"/>
        <v>0</v>
      </c>
    </row>
    <row r="277" spans="1:35" x14ac:dyDescent="0.25">
      <c r="A277" s="335">
        <v>17783</v>
      </c>
      <c r="B277" s="352">
        <f t="shared" si="151"/>
        <v>17.783000000000001</v>
      </c>
      <c r="C277" s="325">
        <f t="shared" si="126"/>
        <v>21.573296473921975</v>
      </c>
      <c r="D277" s="326">
        <f t="shared" si="127"/>
        <v>1.524426108997577</v>
      </c>
      <c r="E277" s="326">
        <f t="shared" si="128"/>
        <v>1.0002496580529514</v>
      </c>
      <c r="F277" s="327">
        <f t="shared" si="129"/>
        <v>2.2343058119329937E-2</v>
      </c>
      <c r="G277" s="326">
        <f t="shared" si="130"/>
        <v>1</v>
      </c>
      <c r="H277" s="327">
        <f t="shared" si="131"/>
        <v>0</v>
      </c>
      <c r="I277" s="325">
        <f t="shared" si="132"/>
        <v>23602.768512631897</v>
      </c>
      <c r="J277" s="328">
        <f t="shared" si="133"/>
        <v>1.5707539588837016</v>
      </c>
      <c r="K277" s="336">
        <f t="shared" si="123"/>
        <v>4.6802308244391417</v>
      </c>
      <c r="L277" s="337">
        <f t="shared" si="124"/>
        <v>1.3554715918505347</v>
      </c>
      <c r="M277" s="325">
        <f t="shared" si="134"/>
        <v>1.0073769996350959</v>
      </c>
      <c r="N277" s="337">
        <f t="shared" si="135"/>
        <v>0.12109445231993606</v>
      </c>
      <c r="O277" s="343">
        <f t="shared" si="136"/>
        <v>1.0053249831553719</v>
      </c>
      <c r="P277" s="691">
        <f t="shared" si="137"/>
        <v>0.10297048600691368</v>
      </c>
      <c r="Q277" s="336">
        <f t="shared" si="152"/>
        <v>15.141371260663345</v>
      </c>
      <c r="R277" s="692">
        <f t="shared" si="138"/>
        <v>4.8195007889935568E-2</v>
      </c>
      <c r="S277" s="329">
        <f t="shared" si="139"/>
        <v>0.9976660992394103</v>
      </c>
      <c r="T277" s="330">
        <f t="shared" si="140"/>
        <v>0.15343720702972011</v>
      </c>
      <c r="U277" s="331">
        <f t="shared" si="141"/>
        <v>7.0405202741626898</v>
      </c>
      <c r="V277" s="332">
        <f t="shared" si="142"/>
        <v>-110.98889216141262</v>
      </c>
      <c r="W277" s="334">
        <f t="shared" si="143"/>
        <v>69.011107838587378</v>
      </c>
      <c r="Y277" s="307">
        <f t="shared" si="144"/>
        <v>1000000000</v>
      </c>
      <c r="Z277" s="307">
        <f t="shared" si="145"/>
        <v>316235089</v>
      </c>
      <c r="AB277" s="333">
        <f t="shared" si="146"/>
        <v>23.589470295162652</v>
      </c>
      <c r="AC277" s="334">
        <f t="shared" si="147"/>
        <v>-19.272972096989889</v>
      </c>
      <c r="AE277" s="333">
        <f t="shared" si="148"/>
        <v>40.98762472680275</v>
      </c>
      <c r="AF277" s="334">
        <f t="shared" si="149"/>
        <v>-94.854323784922926</v>
      </c>
      <c r="AH277">
        <f t="shared" si="150"/>
        <v>0</v>
      </c>
      <c r="AI277">
        <f t="shared" si="125"/>
        <v>0</v>
      </c>
    </row>
    <row r="278" spans="1:35" x14ac:dyDescent="0.25">
      <c r="A278" s="335">
        <v>17886.5</v>
      </c>
      <c r="B278" s="352">
        <f t="shared" si="151"/>
        <v>17.886500000000002</v>
      </c>
      <c r="C278" s="325">
        <f t="shared" si="126"/>
        <v>21.698587619296944</v>
      </c>
      <c r="D278" s="326">
        <f t="shared" si="127"/>
        <v>1.5246940485228504</v>
      </c>
      <c r="E278" s="326">
        <f t="shared" si="128"/>
        <v>1.0002525722442599</v>
      </c>
      <c r="F278" s="327">
        <f t="shared" si="129"/>
        <v>2.2473054758958149E-2</v>
      </c>
      <c r="G278" s="326">
        <f t="shared" si="130"/>
        <v>1</v>
      </c>
      <c r="H278" s="327">
        <f t="shared" si="131"/>
        <v>0</v>
      </c>
      <c r="I278" s="325">
        <f t="shared" si="132"/>
        <v>23740.140527291122</v>
      </c>
      <c r="J278" s="328">
        <f t="shared" si="133"/>
        <v>1.5707542040450693</v>
      </c>
      <c r="K278" s="336">
        <f t="shared" si="123"/>
        <v>4.7062304124516849</v>
      </c>
      <c r="L278" s="337">
        <f t="shared" si="124"/>
        <v>1.3566797269162572</v>
      </c>
      <c r="M278" s="325">
        <f t="shared" si="134"/>
        <v>1.0074628012572975</v>
      </c>
      <c r="N278" s="337">
        <f t="shared" si="135"/>
        <v>0.12179231288696846</v>
      </c>
      <c r="O278" s="343">
        <f t="shared" si="136"/>
        <v>1.0053869815515546</v>
      </c>
      <c r="P278" s="691">
        <f t="shared" si="137"/>
        <v>0.10356552731491669</v>
      </c>
      <c r="Q278" s="336">
        <f t="shared" si="152"/>
        <v>15.14157051296986</v>
      </c>
      <c r="R278" s="692">
        <f t="shared" si="138"/>
        <v>4.8475091683813892E-2</v>
      </c>
      <c r="S278" s="329">
        <f t="shared" si="139"/>
        <v>0.99763998984355873</v>
      </c>
      <c r="T278" s="330">
        <f t="shared" si="140"/>
        <v>0.15434144611682141</v>
      </c>
      <c r="U278" s="331">
        <f t="shared" si="141"/>
        <v>6.9878668789758809</v>
      </c>
      <c r="V278" s="332">
        <f t="shared" si="142"/>
        <v>-111.00133652520812</v>
      </c>
      <c r="W278" s="334">
        <f t="shared" si="143"/>
        <v>68.998663474791883</v>
      </c>
      <c r="Y278" s="307">
        <f t="shared" si="144"/>
        <v>1000000000</v>
      </c>
      <c r="Z278" s="307">
        <f t="shared" si="145"/>
        <v>319926882.25</v>
      </c>
      <c r="AB278" s="333">
        <f t="shared" si="146"/>
        <v>23.58644202137323</v>
      </c>
      <c r="AC278" s="334">
        <f t="shared" si="147"/>
        <v>-19.243749568500071</v>
      </c>
      <c r="AE278" s="333">
        <f t="shared" si="148"/>
        <v>40.937578263955565</v>
      </c>
      <c r="AF278" s="334">
        <f t="shared" si="149"/>
        <v>-94.91403641351414</v>
      </c>
      <c r="AH278">
        <f t="shared" si="150"/>
        <v>0</v>
      </c>
      <c r="AI278">
        <f t="shared" si="125"/>
        <v>0</v>
      </c>
    </row>
    <row r="279" spans="1:35" x14ac:dyDescent="0.25">
      <c r="A279" s="335">
        <v>17990</v>
      </c>
      <c r="B279" s="352">
        <f t="shared" si="151"/>
        <v>17.989999999999998</v>
      </c>
      <c r="C279" s="325">
        <f t="shared" si="126"/>
        <v>21.82388030456152</v>
      </c>
      <c r="D279" s="326">
        <f t="shared" si="127"/>
        <v>1.5249589115414133</v>
      </c>
      <c r="E279" s="326">
        <f t="shared" si="128"/>
        <v>1.0002555033388643</v>
      </c>
      <c r="F279" s="327">
        <f t="shared" si="129"/>
        <v>2.2603050638912922E-2</v>
      </c>
      <c r="G279" s="326">
        <f t="shared" si="130"/>
        <v>1</v>
      </c>
      <c r="H279" s="327">
        <f t="shared" si="131"/>
        <v>0</v>
      </c>
      <c r="I279" s="325">
        <f t="shared" si="132"/>
        <v>23877.512541951757</v>
      </c>
      <c r="J279" s="328">
        <f t="shared" si="133"/>
        <v>1.5707544463855141</v>
      </c>
      <c r="K279" s="336">
        <f t="shared" ref="K279:K342" si="153">SQRT(1+(A279/Zero2)^2)</f>
        <v>4.7322367941464574</v>
      </c>
      <c r="L279" s="337">
        <f t="shared" ref="L279:L342" si="154">ATAN(A279/Zero2)</f>
        <v>1.3578745849063745</v>
      </c>
      <c r="M279" s="325">
        <f t="shared" si="134"/>
        <v>1.0075490934396198</v>
      </c>
      <c r="N279" s="337">
        <f t="shared" si="135"/>
        <v>0.12249005425633566</v>
      </c>
      <c r="O279" s="343">
        <f t="shared" si="136"/>
        <v>1.0054493358853116</v>
      </c>
      <c r="P279" s="691">
        <f t="shared" si="137"/>
        <v>0.10416049502893822</v>
      </c>
      <c r="Q279" s="336">
        <f t="shared" si="152"/>
        <v>15.141770918950224</v>
      </c>
      <c r="R279" s="692">
        <f t="shared" si="138"/>
        <v>4.8755168194312276E-2</v>
      </c>
      <c r="S279" s="329">
        <f t="shared" si="139"/>
        <v>0.99761375546026654</v>
      </c>
      <c r="T279" s="330">
        <f t="shared" si="140"/>
        <v>0.15524587937977899</v>
      </c>
      <c r="U279" s="331">
        <f t="shared" si="141"/>
        <v>6.9355401371267309</v>
      </c>
      <c r="V279" s="332">
        <f t="shared" si="142"/>
        <v>-111.01437331570122</v>
      </c>
      <c r="W279" s="334">
        <f t="shared" si="143"/>
        <v>68.985626684298779</v>
      </c>
      <c r="Y279" s="307">
        <f t="shared" si="144"/>
        <v>1000000000</v>
      </c>
      <c r="Z279" s="307">
        <f t="shared" si="145"/>
        <v>323640100</v>
      </c>
      <c r="AB279" s="333">
        <f t="shared" si="146"/>
        <v>23.583447790808062</v>
      </c>
      <c r="AC279" s="334">
        <f t="shared" si="147"/>
        <v>-19.215280769257447</v>
      </c>
      <c r="AE279" s="333">
        <f t="shared" si="148"/>
        <v>40.887822029659461</v>
      </c>
      <c r="AF279" s="334">
        <f t="shared" si="149"/>
        <v>-94.973583940238157</v>
      </c>
      <c r="AH279">
        <f t="shared" si="150"/>
        <v>0</v>
      </c>
      <c r="AI279">
        <f t="shared" si="125"/>
        <v>0</v>
      </c>
    </row>
    <row r="280" spans="1:35" x14ac:dyDescent="0.25">
      <c r="A280" s="335">
        <v>18093.5</v>
      </c>
      <c r="B280" s="352">
        <f t="shared" si="151"/>
        <v>18.093499999999999</v>
      </c>
      <c r="C280" s="325">
        <f t="shared" si="126"/>
        <v>21.949174503345198</v>
      </c>
      <c r="D280" s="326">
        <f t="shared" si="127"/>
        <v>1.525220750701378</v>
      </c>
      <c r="E280" s="326">
        <f t="shared" si="128"/>
        <v>1.000258451336616</v>
      </c>
      <c r="F280" s="327">
        <f t="shared" si="129"/>
        <v>2.273304575480738E-2</v>
      </c>
      <c r="G280" s="326">
        <f t="shared" si="130"/>
        <v>1</v>
      </c>
      <c r="H280" s="327">
        <f t="shared" si="131"/>
        <v>0</v>
      </c>
      <c r="I280" s="325">
        <f t="shared" si="132"/>
        <v>24014.884556613779</v>
      </c>
      <c r="J280" s="328">
        <f t="shared" si="133"/>
        <v>1.5707546859534456</v>
      </c>
      <c r="K280" s="336">
        <f t="shared" si="153"/>
        <v>4.7582498581301316</v>
      </c>
      <c r="L280" s="337">
        <f t="shared" si="154"/>
        <v>1.3590563801357582</v>
      </c>
      <c r="M280" s="325">
        <f t="shared" si="134"/>
        <v>1.0076358760560304</v>
      </c>
      <c r="N280" s="337">
        <f t="shared" si="135"/>
        <v>0.12318767577936796</v>
      </c>
      <c r="O280" s="343">
        <f t="shared" si="136"/>
        <v>1.0055120460904252</v>
      </c>
      <c r="P280" s="691">
        <f t="shared" si="137"/>
        <v>0.1047553887414877</v>
      </c>
      <c r="Q280" s="336">
        <f t="shared" si="152"/>
        <v>15.141972478558658</v>
      </c>
      <c r="R280" s="692">
        <f t="shared" si="138"/>
        <v>4.9035237379673281E-2</v>
      </c>
      <c r="S280" s="329">
        <f t="shared" si="139"/>
        <v>0.99758739655224316</v>
      </c>
      <c r="T280" s="330">
        <f t="shared" si="140"/>
        <v>0.15615050791308743</v>
      </c>
      <c r="U280" s="331">
        <f t="shared" si="141"/>
        <v>6.8835359112621575</v>
      </c>
      <c r="V280" s="332">
        <f t="shared" si="142"/>
        <v>-111.02799331959275</v>
      </c>
      <c r="W280" s="334">
        <f t="shared" si="143"/>
        <v>68.972006680407247</v>
      </c>
      <c r="Y280" s="307">
        <f t="shared" si="144"/>
        <v>1000000000</v>
      </c>
      <c r="Z280" s="307">
        <f t="shared" si="145"/>
        <v>327374742.25</v>
      </c>
      <c r="AB280" s="333">
        <f t="shared" si="146"/>
        <v>23.580486765925667</v>
      </c>
      <c r="AC280" s="334">
        <f t="shared" si="147"/>
        <v>-19.187553385531999</v>
      </c>
      <c r="AE280" s="333">
        <f t="shared" si="148"/>
        <v>40.838352725190319</v>
      </c>
      <c r="AF280" s="334">
        <f t="shared" si="149"/>
        <v>-95.032969444570867</v>
      </c>
      <c r="AH280">
        <f t="shared" si="150"/>
        <v>0</v>
      </c>
      <c r="AI280">
        <f t="shared" si="125"/>
        <v>0</v>
      </c>
    </row>
    <row r="281" spans="1:35" x14ac:dyDescent="0.25">
      <c r="A281" s="335">
        <v>18197</v>
      </c>
      <c r="B281" s="352">
        <f t="shared" si="151"/>
        <v>18.196999999999999</v>
      </c>
      <c r="C281" s="325">
        <f t="shared" si="126"/>
        <v>22.074470189875875</v>
      </c>
      <c r="D281" s="326">
        <f t="shared" si="127"/>
        <v>1.5254796174572045</v>
      </c>
      <c r="E281" s="326">
        <f t="shared" si="128"/>
        <v>1.0002614162373653</v>
      </c>
      <c r="F281" s="327">
        <f t="shared" si="129"/>
        <v>2.2863040102254796E-2</v>
      </c>
      <c r="G281" s="326">
        <f t="shared" si="130"/>
        <v>1</v>
      </c>
      <c r="H281" s="327">
        <f t="shared" si="131"/>
        <v>0</v>
      </c>
      <c r="I281" s="325">
        <f t="shared" si="132"/>
        <v>24152.256571277161</v>
      </c>
      <c r="J281" s="328">
        <f t="shared" si="133"/>
        <v>1.5707549227961715</v>
      </c>
      <c r="K281" s="336">
        <f t="shared" si="153"/>
        <v>4.7842694954037466</v>
      </c>
      <c r="L281" s="337">
        <f t="shared" si="154"/>
        <v>1.3602253224047605</v>
      </c>
      <c r="M281" s="325">
        <f t="shared" si="134"/>
        <v>1.0077231489798248</v>
      </c>
      <c r="N281" s="337">
        <f t="shared" si="135"/>
        <v>0.12388517680808507</v>
      </c>
      <c r="O281" s="343">
        <f t="shared" si="136"/>
        <v>1.0055751121003162</v>
      </c>
      <c r="P281" s="691">
        <f t="shared" si="137"/>
        <v>0.10535020804538542</v>
      </c>
      <c r="Q281" s="336">
        <f t="shared" si="152"/>
        <v>15.142175191749146</v>
      </c>
      <c r="R281" s="692">
        <f t="shared" si="138"/>
        <v>4.9315299198146124E-2</v>
      </c>
      <c r="S281" s="329">
        <f t="shared" si="139"/>
        <v>0.99756091358492727</v>
      </c>
      <c r="T281" s="330">
        <f t="shared" si="140"/>
        <v>0.1570553328107003</v>
      </c>
      <c r="U281" s="331">
        <f t="shared" si="141"/>
        <v>6.8318501426942717</v>
      </c>
      <c r="V281" s="332">
        <f t="shared" si="142"/>
        <v>-111.04218751378328</v>
      </c>
      <c r="W281" s="334">
        <f t="shared" si="143"/>
        <v>68.957812486216724</v>
      </c>
      <c r="Y281" s="307">
        <f t="shared" si="144"/>
        <v>1000000000</v>
      </c>
      <c r="Z281" s="307">
        <f t="shared" si="145"/>
        <v>331130809</v>
      </c>
      <c r="AB281" s="333">
        <f t="shared" si="146"/>
        <v>23.577558131970271</v>
      </c>
      <c r="AC281" s="334">
        <f t="shared" si="147"/>
        <v>-19.160555362233001</v>
      </c>
      <c r="AE281" s="333">
        <f t="shared" si="148"/>
        <v>40.789167107709304</v>
      </c>
      <c r="AF281" s="334">
        <f t="shared" si="149"/>
        <v>-95.092195937565933</v>
      </c>
      <c r="AH281">
        <f t="shared" si="150"/>
        <v>0</v>
      </c>
      <c r="AI281">
        <f t="shared" si="125"/>
        <v>0</v>
      </c>
    </row>
    <row r="282" spans="1:35" x14ac:dyDescent="0.25">
      <c r="A282" s="335">
        <v>18303</v>
      </c>
      <c r="B282" s="352">
        <f t="shared" si="151"/>
        <v>18.303000000000001</v>
      </c>
      <c r="C282" s="325">
        <f t="shared" si="126"/>
        <v>22.202793858032404</v>
      </c>
      <c r="D282" s="326">
        <f t="shared" si="127"/>
        <v>1.5257417086101044</v>
      </c>
      <c r="E282" s="326">
        <f t="shared" si="128"/>
        <v>1.0002644702742742</v>
      </c>
      <c r="F282" s="327">
        <f t="shared" si="129"/>
        <v>2.299617360868858E-2</v>
      </c>
      <c r="G282" s="326">
        <f t="shared" si="130"/>
        <v>1</v>
      </c>
      <c r="H282" s="327">
        <f t="shared" si="131"/>
        <v>0</v>
      </c>
      <c r="I282" s="325">
        <f t="shared" si="132"/>
        <v>24292.946750547333</v>
      </c>
      <c r="J282" s="328">
        <f t="shared" si="133"/>
        <v>1.5707551625833025</v>
      </c>
      <c r="K282" s="336">
        <f t="shared" si="153"/>
        <v>4.8109243282619554</v>
      </c>
      <c r="L282" s="337">
        <f t="shared" si="154"/>
        <v>1.3614093921885586</v>
      </c>
      <c r="M282" s="325">
        <f t="shared" si="134"/>
        <v>1.0078130380273376</v>
      </c>
      <c r="N282" s="337">
        <f t="shared" si="135"/>
        <v>0.12459940011620887</v>
      </c>
      <c r="O282" s="343">
        <f t="shared" si="136"/>
        <v>1.0056400701738848</v>
      </c>
      <c r="P282" s="691">
        <f t="shared" si="137"/>
        <v>0.10595931741387424</v>
      </c>
      <c r="Q282" s="336">
        <f t="shared" si="152"/>
        <v>15.142383997060163</v>
      </c>
      <c r="R282" s="692">
        <f t="shared" si="138"/>
        <v>4.9602118115272438E-2</v>
      </c>
      <c r="S282" s="329">
        <f t="shared" si="139"/>
        <v>0.99753366283121658</v>
      </c>
      <c r="T282" s="330">
        <f t="shared" si="140"/>
        <v>0.15798221806087101</v>
      </c>
      <c r="U282" s="331">
        <f t="shared" si="141"/>
        <v>6.7792418539103894</v>
      </c>
      <c r="V282" s="332">
        <f t="shared" si="142"/>
        <v>-111.0573104916816</v>
      </c>
      <c r="W282" s="334">
        <f t="shared" si="143"/>
        <v>68.942689508318395</v>
      </c>
      <c r="Y282" s="307">
        <f t="shared" si="144"/>
        <v>1000000000</v>
      </c>
      <c r="Z282" s="307">
        <f t="shared" si="145"/>
        <v>334999809</v>
      </c>
      <c r="AB282" s="333">
        <f t="shared" si="146"/>
        <v>23.574591503890389</v>
      </c>
      <c r="AC282" s="334">
        <f t="shared" si="147"/>
        <v>-19.133648880917615</v>
      </c>
      <c r="AE282" s="333">
        <f t="shared" si="148"/>
        <v>40.739084149172342</v>
      </c>
      <c r="AF282" s="334">
        <f t="shared" si="149"/>
        <v>-95.1526912794412</v>
      </c>
      <c r="AH282">
        <f t="shared" si="150"/>
        <v>0</v>
      </c>
      <c r="AI282">
        <f t="shared" ref="AI282:AI345" si="155">IF(AH282&gt;0,W282,0)</f>
        <v>0</v>
      </c>
    </row>
    <row r="283" spans="1:35" x14ac:dyDescent="0.25">
      <c r="A283" s="335">
        <v>18409</v>
      </c>
      <c r="B283" s="352">
        <f t="shared" si="151"/>
        <v>18.408999999999999</v>
      </c>
      <c r="C283" s="325">
        <f t="shared" si="126"/>
        <v>22.331119033809884</v>
      </c>
      <c r="D283" s="326">
        <f t="shared" si="127"/>
        <v>1.5260007875810884</v>
      </c>
      <c r="E283" s="326">
        <f t="shared" si="128"/>
        <v>1.0002675420402927</v>
      </c>
      <c r="F283" s="327">
        <f t="shared" si="129"/>
        <v>2.3129306299790875E-2</v>
      </c>
      <c r="G283" s="326">
        <f t="shared" si="130"/>
        <v>1</v>
      </c>
      <c r="H283" s="327">
        <f t="shared" si="131"/>
        <v>0</v>
      </c>
      <c r="I283" s="325">
        <f t="shared" si="132"/>
        <v>24433.636929818884</v>
      </c>
      <c r="J283" s="328">
        <f t="shared" si="133"/>
        <v>1.5707553996090196</v>
      </c>
      <c r="K283" s="336">
        <f t="shared" si="153"/>
        <v>4.8375858318034775</v>
      </c>
      <c r="L283" s="337">
        <f t="shared" si="154"/>
        <v>1.3625804120143556</v>
      </c>
      <c r="M283" s="325">
        <f t="shared" si="134"/>
        <v>1.0079034410834793</v>
      </c>
      <c r="N283" s="337">
        <f t="shared" si="135"/>
        <v>0.12531349566522465</v>
      </c>
      <c r="O283" s="343">
        <f t="shared" si="136"/>
        <v>1.0057054013059437</v>
      </c>
      <c r="P283" s="691">
        <f t="shared" si="137"/>
        <v>0.10656834787219167</v>
      </c>
      <c r="Q283" s="336">
        <f t="shared" si="152"/>
        <v>15.142594012256319</v>
      </c>
      <c r="R283" s="692">
        <f t="shared" si="138"/>
        <v>4.9888929216703806E-2</v>
      </c>
      <c r="S283" s="329">
        <f t="shared" si="139"/>
        <v>0.99750628294958743</v>
      </c>
      <c r="T283" s="330">
        <f t="shared" si="140"/>
        <v>0.15890931159695088</v>
      </c>
      <c r="U283" s="331">
        <f t="shared" si="141"/>
        <v>6.7269592199142947</v>
      </c>
      <c r="V283" s="332">
        <f t="shared" si="142"/>
        <v>-111.07301716754296</v>
      </c>
      <c r="W283" s="334">
        <f t="shared" si="143"/>
        <v>68.926982832457043</v>
      </c>
      <c r="Y283" s="307">
        <f t="shared" si="144"/>
        <v>1000000000</v>
      </c>
      <c r="Z283" s="307">
        <f t="shared" si="145"/>
        <v>338891281</v>
      </c>
      <c r="AB283" s="333">
        <f t="shared" si="146"/>
        <v>23.571657190705736</v>
      </c>
      <c r="AC283" s="334">
        <f t="shared" si="147"/>
        <v>-19.107482628844302</v>
      </c>
      <c r="AE283" s="333">
        <f t="shared" si="148"/>
        <v>40.689292037151986</v>
      </c>
      <c r="AF283" s="334">
        <f t="shared" si="149"/>
        <v>-95.213026016623985</v>
      </c>
      <c r="AH283">
        <f t="shared" si="150"/>
        <v>0</v>
      </c>
      <c r="AI283">
        <f t="shared" si="155"/>
        <v>0</v>
      </c>
    </row>
    <row r="284" spans="1:35" x14ac:dyDescent="0.25">
      <c r="A284" s="335">
        <v>18515</v>
      </c>
      <c r="B284" s="352">
        <f t="shared" si="151"/>
        <v>18.515000000000001</v>
      </c>
      <c r="C284" s="325">
        <f t="shared" si="126"/>
        <v>22.459445691366305</v>
      </c>
      <c r="D284" s="326">
        <f t="shared" si="127"/>
        <v>1.5262569059672362</v>
      </c>
      <c r="E284" s="326">
        <f t="shared" si="128"/>
        <v>1.0002706315352576</v>
      </c>
      <c r="F284" s="327">
        <f t="shared" si="129"/>
        <v>2.3262438170849838E-2</v>
      </c>
      <c r="G284" s="326">
        <f t="shared" si="130"/>
        <v>1</v>
      </c>
      <c r="H284" s="327">
        <f t="shared" si="131"/>
        <v>0</v>
      </c>
      <c r="I284" s="325">
        <f t="shared" si="132"/>
        <v>24574.327109091788</v>
      </c>
      <c r="J284" s="328">
        <f t="shared" si="133"/>
        <v>1.5707556339207505</v>
      </c>
      <c r="K284" s="336">
        <f t="shared" si="153"/>
        <v>4.8642538963400952</v>
      </c>
      <c r="L284" s="337">
        <f t="shared" si="154"/>
        <v>1.3637385932813668</v>
      </c>
      <c r="M284" s="325">
        <f t="shared" si="134"/>
        <v>1.0079943580099517</v>
      </c>
      <c r="N284" s="337">
        <f t="shared" si="135"/>
        <v>0.12602746276132451</v>
      </c>
      <c r="O284" s="343">
        <f t="shared" si="136"/>
        <v>1.0057711054237959</v>
      </c>
      <c r="P284" s="691">
        <f t="shared" si="137"/>
        <v>0.10717729898395824</v>
      </c>
      <c r="Q284" s="336">
        <f t="shared" si="152"/>
        <v>15.14280523728732</v>
      </c>
      <c r="R284" s="692">
        <f t="shared" si="138"/>
        <v>5.01757324576124E-2</v>
      </c>
      <c r="S284" s="329">
        <f t="shared" si="139"/>
        <v>0.99747877444893318</v>
      </c>
      <c r="T284" s="330">
        <f t="shared" si="140"/>
        <v>0.15983661459230392</v>
      </c>
      <c r="U284" s="331">
        <f t="shared" si="141"/>
        <v>6.6749981245068568</v>
      </c>
      <c r="V284" s="332">
        <f t="shared" si="142"/>
        <v>-111.08929843827759</v>
      </c>
      <c r="W284" s="334">
        <f t="shared" si="143"/>
        <v>68.910701561722405</v>
      </c>
      <c r="Y284" s="307">
        <f t="shared" si="144"/>
        <v>1000000000</v>
      </c>
      <c r="Z284" s="307">
        <f t="shared" si="145"/>
        <v>342805225</v>
      </c>
      <c r="AB284" s="333">
        <f t="shared" si="146"/>
        <v>23.568754386798489</v>
      </c>
      <c r="AC284" s="334">
        <f t="shared" si="147"/>
        <v>-19.082044456695382</v>
      </c>
      <c r="AE284" s="333">
        <f t="shared" si="148"/>
        <v>40.639787462260259</v>
      </c>
      <c r="AF284" s="334">
        <f t="shared" si="149"/>
        <v>-95.273203172907913</v>
      </c>
      <c r="AH284">
        <f t="shared" si="150"/>
        <v>0</v>
      </c>
      <c r="AI284">
        <f t="shared" si="155"/>
        <v>0</v>
      </c>
    </row>
    <row r="285" spans="1:35" x14ac:dyDescent="0.25">
      <c r="A285" s="335">
        <v>18621</v>
      </c>
      <c r="B285" s="352">
        <f t="shared" si="151"/>
        <v>18.620999999999999</v>
      </c>
      <c r="C285" s="325">
        <f t="shared" si="126"/>
        <v>22.587773805446623</v>
      </c>
      <c r="D285" s="326">
        <f t="shared" si="127"/>
        <v>1.5265101141946456</v>
      </c>
      <c r="E285" s="326">
        <f t="shared" si="128"/>
        <v>1.0002737387590046</v>
      </c>
      <c r="F285" s="327">
        <f t="shared" si="129"/>
        <v>2.3395569217153807E-2</v>
      </c>
      <c r="G285" s="326">
        <f t="shared" si="130"/>
        <v>1</v>
      </c>
      <c r="H285" s="327">
        <f t="shared" si="131"/>
        <v>0</v>
      </c>
      <c r="I285" s="325">
        <f t="shared" si="132"/>
        <v>24715.017288366031</v>
      </c>
      <c r="J285" s="328">
        <f t="shared" si="133"/>
        <v>1.5707558655648435</v>
      </c>
      <c r="K285" s="336">
        <f t="shared" si="153"/>
        <v>4.890928414549216</v>
      </c>
      <c r="L285" s="337">
        <f t="shared" si="154"/>
        <v>1.3648841429165062</v>
      </c>
      <c r="M285" s="325">
        <f t="shared" si="134"/>
        <v>1.0080857886677208</v>
      </c>
      <c r="N285" s="337">
        <f t="shared" si="135"/>
        <v>0.12674130071147394</v>
      </c>
      <c r="O285" s="343">
        <f t="shared" si="136"/>
        <v>1.0058371824543482</v>
      </c>
      <c r="P285" s="691">
        <f t="shared" si="137"/>
        <v>0.10778617031314355</v>
      </c>
      <c r="Q285" s="336">
        <f t="shared" si="152"/>
        <v>15.14301767210258</v>
      </c>
      <c r="R285" s="692">
        <f t="shared" si="138"/>
        <v>5.0462527793177926E-2</v>
      </c>
      <c r="S285" s="329">
        <f t="shared" si="139"/>
        <v>0.99745113784115425</v>
      </c>
      <c r="T285" s="330">
        <f t="shared" si="140"/>
        <v>0.16076412821968022</v>
      </c>
      <c r="U285" s="331">
        <f t="shared" si="141"/>
        <v>6.6233545295953791</v>
      </c>
      <c r="V285" s="332">
        <f t="shared" si="142"/>
        <v>-111.10614538987512</v>
      </c>
      <c r="W285" s="334">
        <f t="shared" si="143"/>
        <v>68.893854610124876</v>
      </c>
      <c r="Y285" s="307">
        <f t="shared" si="144"/>
        <v>1000000000</v>
      </c>
      <c r="Z285" s="307">
        <f t="shared" si="145"/>
        <v>346741641</v>
      </c>
      <c r="AB285" s="333">
        <f t="shared" si="146"/>
        <v>23.565882308538239</v>
      </c>
      <c r="AC285" s="334">
        <f t="shared" si="147"/>
        <v>-19.05732247137961</v>
      </c>
      <c r="AE285" s="333">
        <f t="shared" si="148"/>
        <v>40.590567171234525</v>
      </c>
      <c r="AF285" s="334">
        <f t="shared" si="149"/>
        <v>-95.333225704959204</v>
      </c>
      <c r="AH285">
        <f t="shared" si="150"/>
        <v>0</v>
      </c>
      <c r="AI285">
        <f t="shared" si="155"/>
        <v>0</v>
      </c>
    </row>
    <row r="286" spans="1:35" x14ac:dyDescent="0.25">
      <c r="A286" s="335">
        <v>18729.5</v>
      </c>
      <c r="B286" s="352">
        <f t="shared" si="151"/>
        <v>18.729500000000002</v>
      </c>
      <c r="C286" s="325">
        <f t="shared" si="126"/>
        <v>22.719130008685724</v>
      </c>
      <c r="D286" s="326">
        <f t="shared" si="127"/>
        <v>1.5267663318323335</v>
      </c>
      <c r="E286" s="326">
        <f t="shared" si="128"/>
        <v>1.0002769376270684</v>
      </c>
      <c r="F286" s="327">
        <f t="shared" si="129"/>
        <v>2.3531839287545455E-2</v>
      </c>
      <c r="G286" s="326">
        <f t="shared" si="130"/>
        <v>1</v>
      </c>
      <c r="H286" s="327">
        <f t="shared" si="131"/>
        <v>0</v>
      </c>
      <c r="I286" s="325">
        <f t="shared" si="132"/>
        <v>24859.02563224715</v>
      </c>
      <c r="J286" s="328">
        <f t="shared" si="133"/>
        <v>1.5707560999567629</v>
      </c>
      <c r="K286" s="336">
        <f t="shared" si="153"/>
        <v>4.9182386229297332</v>
      </c>
      <c r="L286" s="337">
        <f t="shared" si="154"/>
        <v>1.366043839629097</v>
      </c>
      <c r="M286" s="325">
        <f t="shared" si="134"/>
        <v>1.0081799076116658</v>
      </c>
      <c r="N286" s="337">
        <f t="shared" si="135"/>
        <v>0.12747183998905112</v>
      </c>
      <c r="O286" s="343">
        <f t="shared" si="136"/>
        <v>1.0059052040378038</v>
      </c>
      <c r="P286" s="691">
        <f t="shared" si="137"/>
        <v>0.1084093187331603</v>
      </c>
      <c r="Q286" s="336">
        <f t="shared" si="152"/>
        <v>15.143236370039519</v>
      </c>
      <c r="R286" s="692">
        <f t="shared" si="138"/>
        <v>5.0756078935689314E-2</v>
      </c>
      <c r="S286" s="329">
        <f t="shared" si="139"/>
        <v>0.99742271728921994</v>
      </c>
      <c r="T286" s="330">
        <f t="shared" si="140"/>
        <v>0.1617137365341306</v>
      </c>
      <c r="U286" s="331">
        <f t="shared" si="141"/>
        <v>6.5708176114778594</v>
      </c>
      <c r="V286" s="332">
        <f t="shared" si="142"/>
        <v>-111.12396641482773</v>
      </c>
      <c r="W286" s="334">
        <f t="shared" si="143"/>
        <v>68.876033585172266</v>
      </c>
      <c r="Y286" s="307">
        <f t="shared" si="144"/>
        <v>1000000000</v>
      </c>
      <c r="Z286" s="307">
        <f t="shared" si="145"/>
        <v>350794170.25</v>
      </c>
      <c r="AB286" s="333">
        <f t="shared" si="146"/>
        <v>23.562973518155093</v>
      </c>
      <c r="AC286" s="334">
        <f t="shared" si="147"/>
        <v>-19.032746991246317</v>
      </c>
      <c r="AE286" s="333">
        <f t="shared" si="148"/>
        <v>40.540477106283063</v>
      </c>
      <c r="AF286" s="334">
        <f t="shared" si="149"/>
        <v>-95.394506743006701</v>
      </c>
      <c r="AH286">
        <f t="shared" si="150"/>
        <v>0</v>
      </c>
      <c r="AI286">
        <f t="shared" si="155"/>
        <v>0</v>
      </c>
    </row>
    <row r="287" spans="1:35" x14ac:dyDescent="0.25">
      <c r="A287" s="335">
        <v>18838</v>
      </c>
      <c r="B287" s="352">
        <f t="shared" si="151"/>
        <v>18.838000000000001</v>
      </c>
      <c r="C287" s="325">
        <f t="shared" si="126"/>
        <v>22.850487686231087</v>
      </c>
      <c r="D287" s="326">
        <f t="shared" si="127"/>
        <v>1.5270196037153267</v>
      </c>
      <c r="E287" s="326">
        <f t="shared" si="128"/>
        <v>1.000280155069688</v>
      </c>
      <c r="F287" s="327">
        <f t="shared" si="129"/>
        <v>2.3668108483830871E-2</v>
      </c>
      <c r="G287" s="326">
        <f t="shared" si="130"/>
        <v>1</v>
      </c>
      <c r="H287" s="327">
        <f t="shared" si="131"/>
        <v>0</v>
      </c>
      <c r="I287" s="325">
        <f t="shared" si="132"/>
        <v>25003.033976129624</v>
      </c>
      <c r="J287" s="328">
        <f t="shared" si="133"/>
        <v>1.5707563316486588</v>
      </c>
      <c r="K287" s="336">
        <f t="shared" si="153"/>
        <v>4.9455553727737769</v>
      </c>
      <c r="L287" s="337">
        <f t="shared" si="154"/>
        <v>1.3671907267122274</v>
      </c>
      <c r="M287" s="325">
        <f t="shared" si="134"/>
        <v>1.0082745645081443</v>
      </c>
      <c r="N287" s="337">
        <f t="shared" si="135"/>
        <v>0.12820224249020309</v>
      </c>
      <c r="O287" s="343">
        <f t="shared" si="136"/>
        <v>1.0059736161753738</v>
      </c>
      <c r="P287" s="691">
        <f t="shared" si="137"/>
        <v>0.10903238263956026</v>
      </c>
      <c r="Q287" s="336">
        <f t="shared" si="152"/>
        <v>15.143456335390791</v>
      </c>
      <c r="R287" s="692">
        <f t="shared" si="138"/>
        <v>5.1049621700564714E-2</v>
      </c>
      <c r="S287" s="329">
        <f t="shared" si="139"/>
        <v>0.99739416361107769</v>
      </c>
      <c r="T287" s="330">
        <f t="shared" si="140"/>
        <v>0.16266356801767085</v>
      </c>
      <c r="U287" s="331">
        <f t="shared" si="141"/>
        <v>6.5186050277381193</v>
      </c>
      <c r="V287" s="332">
        <f t="shared" si="142"/>
        <v>-111.14236180576276</v>
      </c>
      <c r="W287" s="334">
        <f t="shared" si="143"/>
        <v>68.857638194237239</v>
      </c>
      <c r="Y287" s="307">
        <f t="shared" si="144"/>
        <v>1000000000</v>
      </c>
      <c r="Z287" s="307">
        <f t="shared" si="145"/>
        <v>354870244</v>
      </c>
      <c r="AB287" s="333">
        <f t="shared" si="146"/>
        <v>23.560095325950819</v>
      </c>
      <c r="AC287" s="334">
        <f t="shared" si="147"/>
        <v>-19.008897457407222</v>
      </c>
      <c r="AE287" s="333">
        <f t="shared" si="148"/>
        <v>40.490678170226587</v>
      </c>
      <c r="AF287" s="334">
        <f t="shared" si="149"/>
        <v>-95.455631838472115</v>
      </c>
      <c r="AH287">
        <f t="shared" si="150"/>
        <v>0</v>
      </c>
      <c r="AI287">
        <f t="shared" si="155"/>
        <v>0</v>
      </c>
    </row>
    <row r="288" spans="1:35" x14ac:dyDescent="0.25">
      <c r="A288" s="335">
        <v>18946.5</v>
      </c>
      <c r="B288" s="352">
        <f t="shared" si="151"/>
        <v>18.9465</v>
      </c>
      <c r="C288" s="325">
        <f t="shared" si="126"/>
        <v>22.981846812802569</v>
      </c>
      <c r="D288" s="326">
        <f t="shared" si="127"/>
        <v>1.5272699803226875</v>
      </c>
      <c r="E288" s="326">
        <f t="shared" si="128"/>
        <v>1.000283391086684</v>
      </c>
      <c r="F288" s="327">
        <f t="shared" si="129"/>
        <v>2.3804376800957674E-2</v>
      </c>
      <c r="G288" s="326">
        <f t="shared" si="130"/>
        <v>1</v>
      </c>
      <c r="H288" s="327">
        <f t="shared" si="131"/>
        <v>0</v>
      </c>
      <c r="I288" s="325">
        <f t="shared" si="132"/>
        <v>25147.042320013425</v>
      </c>
      <c r="J288" s="328">
        <f t="shared" si="133"/>
        <v>1.5707565606869172</v>
      </c>
      <c r="K288" s="336">
        <f t="shared" si="153"/>
        <v>4.9728785562816977</v>
      </c>
      <c r="L288" s="337">
        <f t="shared" si="154"/>
        <v>1.3683250122688775</v>
      </c>
      <c r="M288" s="325">
        <f t="shared" si="134"/>
        <v>1.0083697592056613</v>
      </c>
      <c r="N288" s="337">
        <f t="shared" si="135"/>
        <v>0.12893250747423646</v>
      </c>
      <c r="O288" s="343">
        <f t="shared" si="136"/>
        <v>1.0060424187873835</v>
      </c>
      <c r="P288" s="691">
        <f t="shared" si="137"/>
        <v>0.10965536156587653</v>
      </c>
      <c r="Q288" s="336">
        <f t="shared" si="152"/>
        <v>15.143677568101214</v>
      </c>
      <c r="R288" s="692">
        <f t="shared" si="138"/>
        <v>5.1343156039761938E-2</v>
      </c>
      <c r="S288" s="329">
        <f t="shared" si="139"/>
        <v>0.99736547736550207</v>
      </c>
      <c r="T288" s="330">
        <f t="shared" si="140"/>
        <v>0.16361362392597129</v>
      </c>
      <c r="U288" s="331">
        <f t="shared" si="141"/>
        <v>6.4667126893501345</v>
      </c>
      <c r="V288" s="332">
        <f t="shared" si="142"/>
        <v>-111.16132258792214</v>
      </c>
      <c r="W288" s="334">
        <f t="shared" si="143"/>
        <v>68.838677412077857</v>
      </c>
      <c r="Y288" s="307">
        <f t="shared" si="144"/>
        <v>1000000000</v>
      </c>
      <c r="Z288" s="307">
        <f t="shared" si="145"/>
        <v>358969862.25</v>
      </c>
      <c r="AB288" s="333">
        <f t="shared" si="146"/>
        <v>23.557246958565162</v>
      </c>
      <c r="AC288" s="334">
        <f t="shared" si="147"/>
        <v>-18.985761906658936</v>
      </c>
      <c r="AE288" s="333">
        <f t="shared" si="148"/>
        <v>40.44116704870649</v>
      </c>
      <c r="AF288" s="334">
        <f t="shared" si="149"/>
        <v>-95.516603955826724</v>
      </c>
      <c r="AH288">
        <f t="shared" si="150"/>
        <v>0</v>
      </c>
      <c r="AI288">
        <f t="shared" si="155"/>
        <v>0</v>
      </c>
    </row>
    <row r="289" spans="1:35" x14ac:dyDescent="0.25">
      <c r="A289" s="335">
        <v>19055</v>
      </c>
      <c r="B289" s="352">
        <f t="shared" si="151"/>
        <v>19.055</v>
      </c>
      <c r="C289" s="325">
        <f t="shared" si="126"/>
        <v>23.11320736369446</v>
      </c>
      <c r="D289" s="326">
        <f t="shared" si="127"/>
        <v>1.5275175109873866</v>
      </c>
      <c r="E289" s="326">
        <f t="shared" si="128"/>
        <v>1.0002866456778761</v>
      </c>
      <c r="F289" s="327">
        <f t="shared" si="129"/>
        <v>2.3940644233873671E-2</v>
      </c>
      <c r="G289" s="326">
        <f t="shared" si="130"/>
        <v>1</v>
      </c>
      <c r="H289" s="327">
        <f t="shared" si="131"/>
        <v>0</v>
      </c>
      <c r="I289" s="325">
        <f t="shared" si="132"/>
        <v>25291.050663898528</v>
      </c>
      <c r="J289" s="328">
        <f t="shared" si="133"/>
        <v>1.5707567871168677</v>
      </c>
      <c r="K289" s="336">
        <f t="shared" si="153"/>
        <v>5.0002080679849801</v>
      </c>
      <c r="L289" s="337">
        <f t="shared" si="154"/>
        <v>1.369446899983654</v>
      </c>
      <c r="M289" s="325">
        <f t="shared" si="134"/>
        <v>1.0084654915519189</v>
      </c>
      <c r="N289" s="337">
        <f t="shared" si="135"/>
        <v>0.12966263420132348</v>
      </c>
      <c r="O289" s="343">
        <f t="shared" si="136"/>
        <v>1.0061116117937254</v>
      </c>
      <c r="P289" s="691">
        <f t="shared" si="137"/>
        <v>0.11027825504603328</v>
      </c>
      <c r="Q289" s="336">
        <f t="shared" si="152"/>
        <v>15.143900068115292</v>
      </c>
      <c r="R289" s="692">
        <f t="shared" si="138"/>
        <v>5.1636681905247235E-2</v>
      </c>
      <c r="S289" s="329">
        <f t="shared" si="139"/>
        <v>0.99733665911457225</v>
      </c>
      <c r="T289" s="330">
        <f t="shared" si="140"/>
        <v>0.16456390551400696</v>
      </c>
      <c r="U289" s="331">
        <f t="shared" si="141"/>
        <v>6.4151365846789261</v>
      </c>
      <c r="V289" s="332">
        <f t="shared" si="142"/>
        <v>-111.18083997396313</v>
      </c>
      <c r="W289" s="334">
        <f t="shared" si="143"/>
        <v>68.819160026036869</v>
      </c>
      <c r="Y289" s="307">
        <f t="shared" si="144"/>
        <v>1000000000</v>
      </c>
      <c r="Z289" s="307">
        <f t="shared" si="145"/>
        <v>363093025</v>
      </c>
      <c r="AB289" s="333">
        <f t="shared" si="146"/>
        <v>23.554427663800183</v>
      </c>
      <c r="AC289" s="334">
        <f t="shared" si="147"/>
        <v>-18.963328628941337</v>
      </c>
      <c r="AE289" s="333">
        <f t="shared" si="148"/>
        <v>40.391940483599839</v>
      </c>
      <c r="AF289" s="334">
        <f t="shared" si="149"/>
        <v>-95.577425993835817</v>
      </c>
      <c r="AH289">
        <f t="shared" si="150"/>
        <v>0</v>
      </c>
      <c r="AI289">
        <f t="shared" si="155"/>
        <v>0</v>
      </c>
    </row>
    <row r="290" spans="1:35" x14ac:dyDescent="0.25">
      <c r="A290" s="335">
        <v>19165.75</v>
      </c>
      <c r="B290" s="352">
        <f t="shared" si="151"/>
        <v>19.165749999999999</v>
      </c>
      <c r="C290" s="325">
        <f t="shared" si="126"/>
        <v>23.247293425168419</v>
      </c>
      <c r="D290" s="326">
        <f t="shared" si="127"/>
        <v>1.5277672897633807</v>
      </c>
      <c r="E290" s="326">
        <f t="shared" si="128"/>
        <v>1.0002899869163611</v>
      </c>
      <c r="F290" s="327">
        <f t="shared" si="129"/>
        <v>2.4079736571979822E-2</v>
      </c>
      <c r="G290" s="326">
        <f t="shared" si="130"/>
        <v>1</v>
      </c>
      <c r="H290" s="327">
        <f t="shared" si="131"/>
        <v>0</v>
      </c>
      <c r="I290" s="325">
        <f t="shared" si="132"/>
        <v>25438.045355930037</v>
      </c>
      <c r="J290" s="328">
        <f t="shared" si="133"/>
        <v>1.5707570155983692</v>
      </c>
      <c r="K290" s="336">
        <f t="shared" si="153"/>
        <v>5.028110739959744</v>
      </c>
      <c r="L290" s="337">
        <f t="shared" si="154"/>
        <v>1.3705794735208525</v>
      </c>
      <c r="M290" s="325">
        <f t="shared" si="134"/>
        <v>1.0085637634606135</v>
      </c>
      <c r="N290" s="337">
        <f t="shared" si="135"/>
        <v>0.13040775845057986</v>
      </c>
      <c r="O290" s="343">
        <f t="shared" si="136"/>
        <v>1.0061826422163169</v>
      </c>
      <c r="P290" s="691">
        <f t="shared" si="137"/>
        <v>0.11091397706608633</v>
      </c>
      <c r="Q290" s="336">
        <f t="shared" si="152"/>
        <v>15.14412848912389</v>
      </c>
      <c r="R290" s="692">
        <f t="shared" si="138"/>
        <v>5.1936285923654582E-2</v>
      </c>
      <c r="S290" s="329">
        <f t="shared" si="139"/>
        <v>0.99730710769739117</v>
      </c>
      <c r="T290" s="330">
        <f t="shared" si="140"/>
        <v>0.16553412745300486</v>
      </c>
      <c r="U290" s="331">
        <f t="shared" si="141"/>
        <v>6.3628129807842591</v>
      </c>
      <c r="V290" s="332">
        <f t="shared" si="142"/>
        <v>-111.20132720116106</v>
      </c>
      <c r="W290" s="334">
        <f t="shared" si="143"/>
        <v>68.798672798838936</v>
      </c>
      <c r="Y290" s="307">
        <f t="shared" si="144"/>
        <v>1000000000</v>
      </c>
      <c r="Z290" s="307">
        <f t="shared" si="145"/>
        <v>367325973.0625</v>
      </c>
      <c r="AB290" s="333">
        <f t="shared" si="146"/>
        <v>23.551579127855483</v>
      </c>
      <c r="AC290" s="334">
        <f t="shared" si="147"/>
        <v>-18.941142510967286</v>
      </c>
      <c r="AE290" s="333">
        <f t="shared" si="148"/>
        <v>40.341983234090073</v>
      </c>
      <c r="AF290" s="334">
        <f t="shared" si="149"/>
        <v>-95.639357481942483</v>
      </c>
      <c r="AH290">
        <f t="shared" si="150"/>
        <v>0</v>
      </c>
      <c r="AI290">
        <f t="shared" si="155"/>
        <v>0</v>
      </c>
    </row>
    <row r="291" spans="1:35" x14ac:dyDescent="0.25">
      <c r="A291" s="335">
        <v>19276.5</v>
      </c>
      <c r="B291" s="352">
        <f t="shared" si="151"/>
        <v>19.276499999999999</v>
      </c>
      <c r="C291" s="325">
        <f t="shared" si="126"/>
        <v>23.381380920392715</v>
      </c>
      <c r="D291" s="326">
        <f t="shared" si="127"/>
        <v>1.5280142036930109</v>
      </c>
      <c r="E291" s="326">
        <f t="shared" si="128"/>
        <v>1.0002933475070055</v>
      </c>
      <c r="F291" s="327">
        <f t="shared" si="129"/>
        <v>2.4218827978186256E-2</v>
      </c>
      <c r="G291" s="326">
        <f t="shared" si="130"/>
        <v>1</v>
      </c>
      <c r="H291" s="327">
        <f t="shared" si="131"/>
        <v>0</v>
      </c>
      <c r="I291" s="325">
        <f t="shared" si="132"/>
        <v>25585.040047962855</v>
      </c>
      <c r="J291" s="328">
        <f t="shared" si="133"/>
        <v>1.5707572414544642</v>
      </c>
      <c r="K291" s="336">
        <f t="shared" si="153"/>
        <v>5.0560197904144326</v>
      </c>
      <c r="L291" s="337">
        <f t="shared" si="154"/>
        <v>1.3716995449498532</v>
      </c>
      <c r="M291" s="325">
        <f t="shared" si="134"/>
        <v>1.0086625952248494</v>
      </c>
      <c r="N291" s="337">
        <f t="shared" si="135"/>
        <v>0.13115273709440364</v>
      </c>
      <c r="O291" s="343">
        <f t="shared" si="136"/>
        <v>1.0062540792225587</v>
      </c>
      <c r="P291" s="691">
        <f t="shared" si="137"/>
        <v>0.11154960907935507</v>
      </c>
      <c r="Q291" s="336">
        <f t="shared" si="152"/>
        <v>15.144358230424272</v>
      </c>
      <c r="R291" s="692">
        <f t="shared" si="138"/>
        <v>5.2235881012157773E-2</v>
      </c>
      <c r="S291" s="329">
        <f t="shared" si="139"/>
        <v>0.99727741993715002</v>
      </c>
      <c r="T291" s="330">
        <f t="shared" si="140"/>
        <v>0.16650458716878477</v>
      </c>
      <c r="U291" s="331">
        <f t="shared" si="141"/>
        <v>6.31081065424282</v>
      </c>
      <c r="V291" s="332">
        <f t="shared" si="142"/>
        <v>-111.22237643215036</v>
      </c>
      <c r="W291" s="334">
        <f t="shared" si="143"/>
        <v>68.777623567849645</v>
      </c>
      <c r="Y291" s="307">
        <f t="shared" si="144"/>
        <v>1000000000</v>
      </c>
      <c r="Z291" s="307">
        <f t="shared" si="145"/>
        <v>371583452.25</v>
      </c>
      <c r="AB291" s="333">
        <f t="shared" si="146"/>
        <v>23.548759363601206</v>
      </c>
      <c r="AC291" s="334">
        <f t="shared" si="147"/>
        <v>-18.919664218027318</v>
      </c>
      <c r="AE291" s="333">
        <f t="shared" si="148"/>
        <v>40.292315779200798</v>
      </c>
      <c r="AF291" s="334">
        <f t="shared" si="149"/>
        <v>-95.701138503443346</v>
      </c>
      <c r="AH291">
        <f t="shared" si="150"/>
        <v>0</v>
      </c>
      <c r="AI291">
        <f t="shared" si="155"/>
        <v>0</v>
      </c>
    </row>
    <row r="292" spans="1:35" x14ac:dyDescent="0.25">
      <c r="A292" s="335">
        <v>19387.25</v>
      </c>
      <c r="B292" s="352">
        <f t="shared" si="151"/>
        <v>19.387250000000002</v>
      </c>
      <c r="C292" s="325">
        <f t="shared" si="126"/>
        <v>23.515469824841198</v>
      </c>
      <c r="D292" s="326">
        <f t="shared" si="127"/>
        <v>1.528258301753322</v>
      </c>
      <c r="E292" s="326">
        <f t="shared" si="128"/>
        <v>1.000296727449614</v>
      </c>
      <c r="F292" s="327">
        <f t="shared" si="129"/>
        <v>2.4357918447120552E-2</v>
      </c>
      <c r="G292" s="326">
        <f t="shared" si="130"/>
        <v>1</v>
      </c>
      <c r="H292" s="327">
        <f t="shared" si="131"/>
        <v>0</v>
      </c>
      <c r="I292" s="325">
        <f t="shared" si="132"/>
        <v>25732.034739996969</v>
      </c>
      <c r="J292" s="328">
        <f t="shared" si="133"/>
        <v>1.5707574647301452</v>
      </c>
      <c r="K292" s="336">
        <f t="shared" si="153"/>
        <v>5.0839351143020819</v>
      </c>
      <c r="L292" s="337">
        <f t="shared" si="154"/>
        <v>1.3728073173799378</v>
      </c>
      <c r="M292" s="325">
        <f t="shared" si="134"/>
        <v>1.0087619866800741</v>
      </c>
      <c r="N292" s="337">
        <f t="shared" si="135"/>
        <v>0.13189756934879718</v>
      </c>
      <c r="O292" s="343">
        <f t="shared" si="136"/>
        <v>1.0063259227258636</v>
      </c>
      <c r="P292" s="691">
        <f t="shared" si="137"/>
        <v>0.11218515059143633</v>
      </c>
      <c r="Q292" s="336">
        <f t="shared" si="152"/>
        <v>15.144589291956407</v>
      </c>
      <c r="R292" s="692">
        <f t="shared" si="138"/>
        <v>5.2535467119699877E-2</v>
      </c>
      <c r="S292" s="329">
        <f t="shared" si="139"/>
        <v>0.99724759644228866</v>
      </c>
      <c r="T292" s="330">
        <f t="shared" si="140"/>
        <v>0.16747528599374936</v>
      </c>
      <c r="U292" s="331">
        <f t="shared" si="141"/>
        <v>6.2591255757058555</v>
      </c>
      <c r="V292" s="332">
        <f t="shared" si="142"/>
        <v>-111.24397889551321</v>
      </c>
      <c r="W292" s="334">
        <f t="shared" si="143"/>
        <v>68.756021104486791</v>
      </c>
      <c r="Y292" s="307">
        <f t="shared" si="144"/>
        <v>1000000000</v>
      </c>
      <c r="Z292" s="307">
        <f t="shared" si="145"/>
        <v>375865462.5625</v>
      </c>
      <c r="AB292" s="333">
        <f t="shared" si="146"/>
        <v>23.545967634952607</v>
      </c>
      <c r="AC292" s="334">
        <f t="shared" si="147"/>
        <v>-18.898882070474929</v>
      </c>
      <c r="AE292" s="333">
        <f t="shared" si="148"/>
        <v>40.242934827087844</v>
      </c>
      <c r="AF292" s="334">
        <f t="shared" si="149"/>
        <v>-95.762771941165298</v>
      </c>
      <c r="AH292">
        <f t="shared" si="150"/>
        <v>0</v>
      </c>
      <c r="AI292">
        <f t="shared" si="155"/>
        <v>0</v>
      </c>
    </row>
    <row r="293" spans="1:35" x14ac:dyDescent="0.25">
      <c r="A293" s="335">
        <v>19498</v>
      </c>
      <c r="B293" s="352">
        <f t="shared" si="151"/>
        <v>19.498000000000001</v>
      </c>
      <c r="C293" s="325">
        <f t="shared" si="126"/>
        <v>23.649560114543689</v>
      </c>
      <c r="D293" s="326">
        <f t="shared" si="127"/>
        <v>1.5284996318119421</v>
      </c>
      <c r="E293" s="326">
        <f t="shared" si="128"/>
        <v>1.0003001267439906</v>
      </c>
      <c r="F293" s="327">
        <f t="shared" si="129"/>
        <v>2.4497007973410496E-2</v>
      </c>
      <c r="G293" s="326">
        <f t="shared" si="130"/>
        <v>1</v>
      </c>
      <c r="H293" s="327">
        <f t="shared" si="131"/>
        <v>0</v>
      </c>
      <c r="I293" s="325">
        <f t="shared" si="132"/>
        <v>25879.029432032352</v>
      </c>
      <c r="J293" s="328">
        <f t="shared" si="133"/>
        <v>1.5707576854693834</v>
      </c>
      <c r="K293" s="336">
        <f t="shared" si="153"/>
        <v>5.1118566088469741</v>
      </c>
      <c r="L293" s="337">
        <f t="shared" si="154"/>
        <v>1.3739029896050154</v>
      </c>
      <c r="M293" s="325">
        <f t="shared" si="134"/>
        <v>1.0088619376608681</v>
      </c>
      <c r="N293" s="337">
        <f t="shared" si="135"/>
        <v>0.1326422544307205</v>
      </c>
      <c r="O293" s="343">
        <f t="shared" si="136"/>
        <v>1.006398172639176</v>
      </c>
      <c r="P293" s="691">
        <f t="shared" si="137"/>
        <v>0.11282060110836012</v>
      </c>
      <c r="Q293" s="336">
        <f t="shared" si="152"/>
        <v>15.144821673659916</v>
      </c>
      <c r="R293" s="692">
        <f t="shared" si="138"/>
        <v>5.2835044195233362E-2</v>
      </c>
      <c r="S293" s="329">
        <f t="shared" si="139"/>
        <v>0.99721763782483974</v>
      </c>
      <c r="T293" s="330">
        <f t="shared" si="140"/>
        <v>0.1684462252595223</v>
      </c>
      <c r="U293" s="331">
        <f t="shared" si="141"/>
        <v>6.2077537916818954</v>
      </c>
      <c r="V293" s="332">
        <f t="shared" si="142"/>
        <v>-111.26612600344693</v>
      </c>
      <c r="W293" s="334">
        <f t="shared" si="143"/>
        <v>68.733873996553072</v>
      </c>
      <c r="Y293" s="307">
        <f t="shared" si="144"/>
        <v>1000000000</v>
      </c>
      <c r="Z293" s="307">
        <f t="shared" si="145"/>
        <v>380172004</v>
      </c>
      <c r="AB293" s="333">
        <f t="shared" si="146"/>
        <v>23.543203225964827</v>
      </c>
      <c r="AC293" s="334">
        <f t="shared" si="147"/>
        <v>-18.878784635912584</v>
      </c>
      <c r="AE293" s="333">
        <f t="shared" si="148"/>
        <v>40.193837141631903</v>
      </c>
      <c r="AF293" s="334">
        <f t="shared" si="149"/>
        <v>-95.824260614325553</v>
      </c>
      <c r="AH293">
        <f t="shared" si="150"/>
        <v>0</v>
      </c>
      <c r="AI293">
        <f t="shared" si="155"/>
        <v>0</v>
      </c>
    </row>
    <row r="294" spans="1:35" x14ac:dyDescent="0.25">
      <c r="A294" s="335">
        <v>19611.75</v>
      </c>
      <c r="B294" s="352">
        <f t="shared" si="151"/>
        <v>19.611750000000001</v>
      </c>
      <c r="C294" s="325">
        <f t="shared" si="126"/>
        <v>23.787284064297669</v>
      </c>
      <c r="D294" s="326">
        <f t="shared" si="127"/>
        <v>1.5287446666811426</v>
      </c>
      <c r="E294" s="326">
        <f t="shared" si="128"/>
        <v>1.0003036382635391</v>
      </c>
      <c r="F294" s="327">
        <f t="shared" si="129"/>
        <v>2.4639864174877658E-2</v>
      </c>
      <c r="G294" s="326">
        <f t="shared" si="130"/>
        <v>1</v>
      </c>
      <c r="H294" s="327">
        <f t="shared" si="131"/>
        <v>0</v>
      </c>
      <c r="I294" s="325">
        <f t="shared" si="132"/>
        <v>26030.005921595945</v>
      </c>
      <c r="J294" s="328">
        <f t="shared" si="133"/>
        <v>1.5707579095927162</v>
      </c>
      <c r="K294" s="336">
        <f t="shared" si="153"/>
        <v>5.1405407598743329</v>
      </c>
      <c r="L294" s="337">
        <f t="shared" si="154"/>
        <v>1.3750159495070728</v>
      </c>
      <c r="M294" s="325">
        <f t="shared" si="134"/>
        <v>1.0089651784082894</v>
      </c>
      <c r="N294" s="337">
        <f t="shared" si="135"/>
        <v>0.13340695754116805</v>
      </c>
      <c r="O294" s="343">
        <f t="shared" si="136"/>
        <v>1.0064728026411973</v>
      </c>
      <c r="P294" s="691">
        <f t="shared" si="137"/>
        <v>0.11347316948757023</v>
      </c>
      <c r="Q294" s="336">
        <f t="shared" si="152"/>
        <v>15.14506172436062</v>
      </c>
      <c r="R294" s="692">
        <f t="shared" si="138"/>
        <v>5.3142726769487163E-2</v>
      </c>
      <c r="S294" s="329">
        <f t="shared" si="139"/>
        <v>0.99718672767148941</v>
      </c>
      <c r="T294" s="330">
        <f t="shared" si="140"/>
        <v>0.16944371705972475</v>
      </c>
      <c r="U294" s="331">
        <f t="shared" si="141"/>
        <v>6.1553125116278924</v>
      </c>
      <c r="V294" s="332">
        <f t="shared" si="142"/>
        <v>-111.28943117607855</v>
      </c>
      <c r="W294" s="334">
        <f t="shared" si="143"/>
        <v>68.710568823921449</v>
      </c>
      <c r="Y294" s="307">
        <f t="shared" si="144"/>
        <v>1000000000</v>
      </c>
      <c r="Z294" s="307">
        <f t="shared" si="145"/>
        <v>384620738.0625</v>
      </c>
      <c r="AB294" s="333">
        <f t="shared" si="146"/>
        <v>23.54039164288405</v>
      </c>
      <c r="AC294" s="334">
        <f t="shared" si="147"/>
        <v>-18.858843832864853</v>
      </c>
      <c r="AE294" s="333">
        <f t="shared" si="148"/>
        <v>40.143701034971414</v>
      </c>
      <c r="AF294" s="334">
        <f t="shared" si="149"/>
        <v>-95.887267091065453</v>
      </c>
      <c r="AH294">
        <f t="shared" si="150"/>
        <v>0</v>
      </c>
      <c r="AI294">
        <f t="shared" si="155"/>
        <v>0</v>
      </c>
    </row>
    <row r="295" spans="1:35" x14ac:dyDescent="0.25">
      <c r="A295" s="335">
        <v>19725.5</v>
      </c>
      <c r="B295" s="352">
        <f t="shared" si="151"/>
        <v>19.7255</v>
      </c>
      <c r="C295" s="325">
        <f t="shared" si="126"/>
        <v>23.925009425846522</v>
      </c>
      <c r="D295" s="326">
        <f t="shared" si="127"/>
        <v>1.5289868804568967</v>
      </c>
      <c r="E295" s="326">
        <f t="shared" si="128"/>
        <v>1.0003071701970345</v>
      </c>
      <c r="F295" s="327">
        <f t="shared" si="129"/>
        <v>2.478271937045284E-2</v>
      </c>
      <c r="G295" s="326">
        <f t="shared" si="130"/>
        <v>1</v>
      </c>
      <c r="H295" s="327">
        <f t="shared" si="131"/>
        <v>0</v>
      </c>
      <c r="I295" s="325">
        <f t="shared" si="132"/>
        <v>26180.982411160832</v>
      </c>
      <c r="J295" s="328">
        <f t="shared" si="133"/>
        <v>1.5707581311311687</v>
      </c>
      <c r="K295" s="336">
        <f t="shared" si="153"/>
        <v>5.1692312077142812</v>
      </c>
      <c r="L295" s="337">
        <f t="shared" si="154"/>
        <v>1.3761165563819009</v>
      </c>
      <c r="M295" s="325">
        <f t="shared" si="134"/>
        <v>1.0090690090481997</v>
      </c>
      <c r="N295" s="337">
        <f t="shared" si="135"/>
        <v>0.13417150372660508</v>
      </c>
      <c r="O295" s="343">
        <f t="shared" si="136"/>
        <v>1.0065478611814587</v>
      </c>
      <c r="P295" s="691">
        <f t="shared" si="137"/>
        <v>0.11412564082020456</v>
      </c>
      <c r="Q295" s="336">
        <f t="shared" si="152"/>
        <v>15.145303167592878</v>
      </c>
      <c r="R295" s="692">
        <f t="shared" si="138"/>
        <v>5.345039970665702E-2</v>
      </c>
      <c r="S295" s="329">
        <f t="shared" si="139"/>
        <v>0.99715567629641388</v>
      </c>
      <c r="T295" s="330">
        <f t="shared" si="140"/>
        <v>0.17044146534828586</v>
      </c>
      <c r="U295" s="331">
        <f t="shared" si="141"/>
        <v>6.1031935125679446</v>
      </c>
      <c r="V295" s="332">
        <f t="shared" si="142"/>
        <v>-111.31329311057239</v>
      </c>
      <c r="W295" s="334">
        <f t="shared" si="143"/>
        <v>68.686706889427612</v>
      </c>
      <c r="Y295" s="307">
        <f t="shared" si="144"/>
        <v>1000000000</v>
      </c>
      <c r="Z295" s="307">
        <f t="shared" si="145"/>
        <v>389095350.25</v>
      </c>
      <c r="AB295" s="333">
        <f t="shared" si="146"/>
        <v>23.537607411083599</v>
      </c>
      <c r="AC295" s="334">
        <f t="shared" si="147"/>
        <v>-18.839601666898833</v>
      </c>
      <c r="AE295" s="333">
        <f t="shared" si="148"/>
        <v>40.093857004199265</v>
      </c>
      <c r="AF295" s="334">
        <f t="shared" si="149"/>
        <v>-95.950126684390895</v>
      </c>
      <c r="AH295">
        <f t="shared" si="150"/>
        <v>0</v>
      </c>
      <c r="AI295">
        <f t="shared" si="155"/>
        <v>0</v>
      </c>
    </row>
    <row r="296" spans="1:35" x14ac:dyDescent="0.25">
      <c r="A296" s="335">
        <v>19839.25</v>
      </c>
      <c r="B296" s="352">
        <f t="shared" si="151"/>
        <v>19.83925</v>
      </c>
      <c r="C296" s="325">
        <f t="shared" si="126"/>
        <v>24.062736174948615</v>
      </c>
      <c r="D296" s="326">
        <f t="shared" si="127"/>
        <v>1.5292263215514164</v>
      </c>
      <c r="E296" s="326">
        <f t="shared" si="128"/>
        <v>1.0003107225442613</v>
      </c>
      <c r="F296" s="327">
        <f t="shared" si="129"/>
        <v>2.4925573554316068E-2</v>
      </c>
      <c r="G296" s="326">
        <f t="shared" si="130"/>
        <v>1</v>
      </c>
      <c r="H296" s="327">
        <f t="shared" si="131"/>
        <v>0</v>
      </c>
      <c r="I296" s="325">
        <f t="shared" si="132"/>
        <v>26331.95890072699</v>
      </c>
      <c r="J296" s="328">
        <f t="shared" si="133"/>
        <v>1.5707583501292026</v>
      </c>
      <c r="K296" s="336">
        <f t="shared" si="153"/>
        <v>5.1979278480992885</v>
      </c>
      <c r="L296" s="337">
        <f t="shared" si="154"/>
        <v>1.3772050121359833</v>
      </c>
      <c r="M296" s="325">
        <f t="shared" si="134"/>
        <v>1.0091734293985226</v>
      </c>
      <c r="N296" s="337">
        <f t="shared" si="135"/>
        <v>0.13493589214180504</v>
      </c>
      <c r="O296" s="343">
        <f t="shared" si="136"/>
        <v>1.0066233481640983</v>
      </c>
      <c r="P296" s="691">
        <f t="shared" si="137"/>
        <v>0.11477801457249559</v>
      </c>
      <c r="Q296" s="336">
        <f t="shared" si="152"/>
        <v>15.145546003290155</v>
      </c>
      <c r="R296" s="692">
        <f t="shared" si="138"/>
        <v>5.3758062951464874E-2</v>
      </c>
      <c r="S296" s="329">
        <f t="shared" si="139"/>
        <v>0.997124484374589</v>
      </c>
      <c r="T296" s="330">
        <f t="shared" si="140"/>
        <v>0.17143947156539238</v>
      </c>
      <c r="U296" s="331">
        <f t="shared" si="141"/>
        <v>6.0513927484556573</v>
      </c>
      <c r="V296" s="332">
        <f t="shared" si="142"/>
        <v>-111.33770307673956</v>
      </c>
      <c r="W296" s="334">
        <f t="shared" si="143"/>
        <v>68.662296923260442</v>
      </c>
      <c r="Y296" s="307">
        <f t="shared" si="144"/>
        <v>1000000000</v>
      </c>
      <c r="Z296" s="307">
        <f t="shared" si="145"/>
        <v>393595840.5625</v>
      </c>
      <c r="AB296" s="333">
        <f t="shared" si="146"/>
        <v>23.534849816975282</v>
      </c>
      <c r="AC296" s="334">
        <f t="shared" si="147"/>
        <v>-18.821046523744695</v>
      </c>
      <c r="AE296" s="333">
        <f t="shared" si="148"/>
        <v>40.044301718428301</v>
      </c>
      <c r="AF296" s="334">
        <f t="shared" si="149"/>
        <v>-96.012842250967395</v>
      </c>
      <c r="AH296">
        <f t="shared" si="150"/>
        <v>0</v>
      </c>
      <c r="AI296">
        <f t="shared" si="155"/>
        <v>0</v>
      </c>
    </row>
    <row r="297" spans="1:35" x14ac:dyDescent="0.25">
      <c r="A297" s="335">
        <v>19953</v>
      </c>
      <c r="B297" s="352">
        <f t="shared" si="151"/>
        <v>19.952999999999999</v>
      </c>
      <c r="C297" s="325">
        <f t="shared" si="126"/>
        <v>24.200464287913928</v>
      </c>
      <c r="D297" s="326">
        <f t="shared" si="127"/>
        <v>1.52946303727612</v>
      </c>
      <c r="E297" s="326">
        <f t="shared" si="128"/>
        <v>1.0003142953050017</v>
      </c>
      <c r="F297" s="327">
        <f t="shared" si="129"/>
        <v>2.5068426720647616E-2</v>
      </c>
      <c r="G297" s="326">
        <f t="shared" si="130"/>
        <v>1</v>
      </c>
      <c r="H297" s="327">
        <f t="shared" si="131"/>
        <v>0</v>
      </c>
      <c r="I297" s="325">
        <f t="shared" si="132"/>
        <v>26482.935390294395</v>
      </c>
      <c r="J297" s="328">
        <f t="shared" si="133"/>
        <v>1.5707585666302661</v>
      </c>
      <c r="K297" s="336">
        <f t="shared" si="153"/>
        <v>5.226630579029468</v>
      </c>
      <c r="L297" s="337">
        <f t="shared" si="154"/>
        <v>1.3782815143572282</v>
      </c>
      <c r="M297" s="325">
        <f t="shared" si="134"/>
        <v>1.0092784392762228</v>
      </c>
      <c r="N297" s="337">
        <f t="shared" si="135"/>
        <v>0.13570012194262762</v>
      </c>
      <c r="O297" s="343">
        <f t="shared" si="136"/>
        <v>1.0066992634927368</v>
      </c>
      <c r="P297" s="691">
        <f t="shared" si="137"/>
        <v>0.11543029021116769</v>
      </c>
      <c r="Q297" s="336">
        <f t="shared" si="152"/>
        <v>15.145790231385527</v>
      </c>
      <c r="R297" s="692">
        <f t="shared" si="138"/>
        <v>5.4065716448643317E-2</v>
      </c>
      <c r="S297" s="329">
        <f t="shared" si="139"/>
        <v>0.99709315258499498</v>
      </c>
      <c r="T297" s="330">
        <f t="shared" si="140"/>
        <v>0.17243773715033614</v>
      </c>
      <c r="U297" s="331">
        <f t="shared" si="141"/>
        <v>5.9999062494779558</v>
      </c>
      <c r="V297" s="332">
        <f t="shared" si="142"/>
        <v>-111.36265252868186</v>
      </c>
      <c r="W297" s="334">
        <f t="shared" si="143"/>
        <v>68.637347471318137</v>
      </c>
      <c r="Y297" s="307">
        <f t="shared" si="144"/>
        <v>1000000000</v>
      </c>
      <c r="Z297" s="307">
        <f t="shared" si="145"/>
        <v>398122209</v>
      </c>
      <c r="AB297" s="333">
        <f t="shared" si="146"/>
        <v>23.532118166612488</v>
      </c>
      <c r="AC297" s="334">
        <f t="shared" si="147"/>
        <v>-18.803167036572933</v>
      </c>
      <c r="AE297" s="333">
        <f t="shared" si="148"/>
        <v>39.995031903371313</v>
      </c>
      <c r="AF297" s="334">
        <f t="shared" si="149"/>
        <v>-96.075416584338356</v>
      </c>
      <c r="AH297">
        <f t="shared" si="150"/>
        <v>0</v>
      </c>
      <c r="AI297">
        <f t="shared" si="155"/>
        <v>0</v>
      </c>
    </row>
    <row r="298" spans="1:35" x14ac:dyDescent="0.25">
      <c r="A298" s="335">
        <v>20069</v>
      </c>
      <c r="B298" s="352">
        <f t="shared" si="151"/>
        <v>20.068999999999999</v>
      </c>
      <c r="C298" s="325">
        <f t="shared" si="126"/>
        <v>24.340918073819843</v>
      </c>
      <c r="D298" s="326">
        <f t="shared" si="127"/>
        <v>1.529701676455695</v>
      </c>
      <c r="E298" s="326">
        <f t="shared" si="128"/>
        <v>1.0003179597586906</v>
      </c>
      <c r="F298" s="327">
        <f t="shared" si="129"/>
        <v>2.5214104500051453E-2</v>
      </c>
      <c r="G298" s="326">
        <f t="shared" si="130"/>
        <v>1</v>
      </c>
      <c r="H298" s="327">
        <f t="shared" si="131"/>
        <v>0</v>
      </c>
      <c r="I298" s="325">
        <f t="shared" si="132"/>
        <v>26636.898228008355</v>
      </c>
      <c r="J298" s="328">
        <f t="shared" si="133"/>
        <v>1.5707587848862377</v>
      </c>
      <c r="K298" s="336">
        <f t="shared" si="153"/>
        <v>5.255907225290958</v>
      </c>
      <c r="L298" s="337">
        <f t="shared" si="154"/>
        <v>1.3793671999426336</v>
      </c>
      <c r="M298" s="325">
        <f t="shared" si="134"/>
        <v>1.0093861332158192</v>
      </c>
      <c r="N298" s="337">
        <f t="shared" si="135"/>
        <v>0.13647930415137896</v>
      </c>
      <c r="O298" s="343">
        <f t="shared" si="136"/>
        <v>1.0067771214817707</v>
      </c>
      <c r="P298" s="691">
        <f t="shared" si="137"/>
        <v>0.11609536640914529</v>
      </c>
      <c r="Q298" s="336">
        <f t="shared" si="152"/>
        <v>15.14604072427994</v>
      </c>
      <c r="R298" s="692">
        <f t="shared" si="138"/>
        <v>5.43794453035783E-2</v>
      </c>
      <c r="S298" s="329">
        <f t="shared" si="139"/>
        <v>0.99706105770870568</v>
      </c>
      <c r="T298" s="330">
        <f t="shared" si="140"/>
        <v>0.17345601725316612</v>
      </c>
      <c r="U298" s="331">
        <f t="shared" si="141"/>
        <v>5.9477209492836902</v>
      </c>
      <c r="V298" s="332">
        <f t="shared" si="142"/>
        <v>-111.38864241221108</v>
      </c>
      <c r="W298" s="334">
        <f t="shared" si="143"/>
        <v>68.611357587788916</v>
      </c>
      <c r="Y298" s="307">
        <f t="shared" si="144"/>
        <v>1000000000</v>
      </c>
      <c r="Z298" s="307">
        <f t="shared" si="145"/>
        <v>402764761</v>
      </c>
      <c r="AB298" s="333">
        <f t="shared" si="146"/>
        <v>23.529358502596949</v>
      </c>
      <c r="AC298" s="334">
        <f t="shared" si="147"/>
        <v>-18.785618191810116</v>
      </c>
      <c r="AE298" s="333">
        <f t="shared" si="148"/>
        <v>39.945078180433683</v>
      </c>
      <c r="AF298" s="334">
        <f t="shared" si="149"/>
        <v>-96.139086032552854</v>
      </c>
      <c r="AH298">
        <f t="shared" si="150"/>
        <v>0</v>
      </c>
      <c r="AI298">
        <f t="shared" si="155"/>
        <v>0</v>
      </c>
    </row>
    <row r="299" spans="1:35" x14ac:dyDescent="0.25">
      <c r="A299" s="335">
        <v>20185</v>
      </c>
      <c r="B299" s="352">
        <f t="shared" si="151"/>
        <v>20.184999999999999</v>
      </c>
      <c r="C299" s="325">
        <f t="shared" si="126"/>
        <v>24.481373230002795</v>
      </c>
      <c r="D299" s="326">
        <f t="shared" si="127"/>
        <v>1.5299375773950536</v>
      </c>
      <c r="E299" s="326">
        <f t="shared" si="128"/>
        <v>1.0003216454409871</v>
      </c>
      <c r="F299" s="327">
        <f t="shared" si="129"/>
        <v>2.5359781209048086E-2</v>
      </c>
      <c r="G299" s="326">
        <f t="shared" si="130"/>
        <v>1</v>
      </c>
      <c r="H299" s="327">
        <f t="shared" si="131"/>
        <v>0</v>
      </c>
      <c r="I299" s="325">
        <f t="shared" si="132"/>
        <v>26790.861065723569</v>
      </c>
      <c r="J299" s="328">
        <f t="shared" si="133"/>
        <v>1.570759000633644</v>
      </c>
      <c r="K299" s="336">
        <f t="shared" si="153"/>
        <v>5.2851899981202459</v>
      </c>
      <c r="L299" s="337">
        <f t="shared" si="154"/>
        <v>1.380440856226957</v>
      </c>
      <c r="M299" s="325">
        <f t="shared" si="134"/>
        <v>1.0094944398479149</v>
      </c>
      <c r="N299" s="337">
        <f t="shared" si="135"/>
        <v>0.13725831963921539</v>
      </c>
      <c r="O299" s="343">
        <f t="shared" si="136"/>
        <v>1.0068554247258663</v>
      </c>
      <c r="P299" s="691">
        <f t="shared" si="137"/>
        <v>0.11676033945513904</v>
      </c>
      <c r="Q299" s="336">
        <f t="shared" si="152"/>
        <v>15.146292665059351</v>
      </c>
      <c r="R299" s="692">
        <f t="shared" si="138"/>
        <v>5.4693163905395942E-2</v>
      </c>
      <c r="S299" s="329">
        <f t="shared" si="139"/>
        <v>0.99702881881559535</v>
      </c>
      <c r="T299" s="330">
        <f t="shared" si="140"/>
        <v>0.17447457010634068</v>
      </c>
      <c r="U299" s="331">
        <f t="shared" si="141"/>
        <v>5.8958543651079331</v>
      </c>
      <c r="V299" s="332">
        <f t="shared" si="142"/>
        <v>-111.41517594966712</v>
      </c>
      <c r="W299" s="334">
        <f t="shared" si="143"/>
        <v>68.584824050332884</v>
      </c>
      <c r="Y299" s="307">
        <f t="shared" si="144"/>
        <v>1000000000</v>
      </c>
      <c r="Z299" s="307">
        <f t="shared" si="145"/>
        <v>407434225</v>
      </c>
      <c r="AB299" s="333">
        <f t="shared" si="146"/>
        <v>23.5266244208781</v>
      </c>
      <c r="AC299" s="334">
        <f t="shared" si="147"/>
        <v>-18.768748879095586</v>
      </c>
      <c r="AE299" s="333">
        <f t="shared" si="148"/>
        <v>39.895414629996957</v>
      </c>
      <c r="AF299" s="334">
        <f t="shared" si="149"/>
        <v>-96.202614279932916</v>
      </c>
      <c r="AH299">
        <f t="shared" si="150"/>
        <v>0</v>
      </c>
      <c r="AI299">
        <f t="shared" si="155"/>
        <v>0</v>
      </c>
    </row>
    <row r="300" spans="1:35" x14ac:dyDescent="0.25">
      <c r="A300" s="335">
        <v>20301</v>
      </c>
      <c r="B300" s="352">
        <f t="shared" si="151"/>
        <v>20.300999999999998</v>
      </c>
      <c r="C300" s="325">
        <f t="shared" si="126"/>
        <v>24.621829733012575</v>
      </c>
      <c r="D300" s="326">
        <f t="shared" si="127"/>
        <v>1.5301707869290131</v>
      </c>
      <c r="E300" s="326">
        <f t="shared" si="128"/>
        <v>1.0003253523516562</v>
      </c>
      <c r="F300" s="327">
        <f t="shared" si="129"/>
        <v>2.5505456841466365E-2</v>
      </c>
      <c r="G300" s="326">
        <f t="shared" si="130"/>
        <v>1</v>
      </c>
      <c r="H300" s="327">
        <f t="shared" si="131"/>
        <v>0</v>
      </c>
      <c r="I300" s="325">
        <f t="shared" si="132"/>
        <v>26944.823903440014</v>
      </c>
      <c r="J300" s="328">
        <f t="shared" si="133"/>
        <v>1.5707592139154876</v>
      </c>
      <c r="K300" s="336">
        <f t="shared" si="153"/>
        <v>5.3144787962451838</v>
      </c>
      <c r="L300" s="337">
        <f t="shared" si="154"/>
        <v>1.3815026795994532</v>
      </c>
      <c r="M300" s="325">
        <f t="shared" si="134"/>
        <v>1.0096033589753277</v>
      </c>
      <c r="N300" s="337">
        <f t="shared" si="135"/>
        <v>0.13803716751443074</v>
      </c>
      <c r="O300" s="343">
        <f t="shared" si="136"/>
        <v>1.0069341731211492</v>
      </c>
      <c r="P300" s="691">
        <f t="shared" si="137"/>
        <v>0.11742520878519465</v>
      </c>
      <c r="Q300" s="336">
        <f t="shared" si="152"/>
        <v>15.146546053651576</v>
      </c>
      <c r="R300" s="692">
        <f t="shared" si="138"/>
        <v>5.5006872195518586E-2</v>
      </c>
      <c r="S300" s="329">
        <f t="shared" si="139"/>
        <v>0.99699643663861559</v>
      </c>
      <c r="T300" s="330">
        <f t="shared" si="140"/>
        <v>0.1754933972333379</v>
      </c>
      <c r="U300" s="331">
        <f t="shared" si="141"/>
        <v>5.8443025196730636</v>
      </c>
      <c r="V300" s="332">
        <f t="shared" si="142"/>
        <v>-111.44224464018312</v>
      </c>
      <c r="W300" s="334">
        <f t="shared" si="143"/>
        <v>68.557755359816881</v>
      </c>
      <c r="Y300" s="307">
        <f t="shared" si="144"/>
        <v>1000000000</v>
      </c>
      <c r="Z300" s="307">
        <f t="shared" si="145"/>
        <v>412130601</v>
      </c>
      <c r="AB300" s="333">
        <f t="shared" si="146"/>
        <v>23.523915244592459</v>
      </c>
      <c r="AC300" s="334">
        <f t="shared" si="147"/>
        <v>-18.752547797526748</v>
      </c>
      <c r="AE300" s="333">
        <f t="shared" si="148"/>
        <v>39.846037953348329</v>
      </c>
      <c r="AF300" s="334">
        <f t="shared" si="149"/>
        <v>-96.266004097558351</v>
      </c>
      <c r="AH300">
        <f t="shared" si="150"/>
        <v>0</v>
      </c>
      <c r="AI300">
        <f t="shared" si="155"/>
        <v>0</v>
      </c>
    </row>
    <row r="301" spans="1:35" x14ac:dyDescent="0.25">
      <c r="A301" s="335">
        <v>20417</v>
      </c>
      <c r="B301" s="352">
        <f t="shared" si="151"/>
        <v>20.417000000000002</v>
      </c>
      <c r="C301" s="325">
        <f t="shared" si="126"/>
        <v>24.76228755993078</v>
      </c>
      <c r="D301" s="326">
        <f t="shared" si="127"/>
        <v>1.5304013508309411</v>
      </c>
      <c r="E301" s="326">
        <f t="shared" si="128"/>
        <v>1.0003290804904621</v>
      </c>
      <c r="F301" s="327">
        <f t="shared" si="129"/>
        <v>2.5651131391135413E-2</v>
      </c>
      <c r="G301" s="326">
        <f t="shared" si="130"/>
        <v>1</v>
      </c>
      <c r="H301" s="327">
        <f t="shared" si="131"/>
        <v>0</v>
      </c>
      <c r="I301" s="325">
        <f t="shared" si="132"/>
        <v>27098.786741157674</v>
      </c>
      <c r="J301" s="328">
        <f t="shared" si="133"/>
        <v>1.5707594247737922</v>
      </c>
      <c r="K301" s="336">
        <f t="shared" si="153"/>
        <v>5.343773520593273</v>
      </c>
      <c r="L301" s="337">
        <f t="shared" si="154"/>
        <v>1.3825528622509944</v>
      </c>
      <c r="M301" s="325">
        <f t="shared" si="134"/>
        <v>1.0097128903998454</v>
      </c>
      <c r="N301" s="337">
        <f t="shared" si="135"/>
        <v>0.13881584688651594</v>
      </c>
      <c r="O301" s="343">
        <f t="shared" si="136"/>
        <v>1.0070133665631869</v>
      </c>
      <c r="P301" s="691">
        <f t="shared" si="137"/>
        <v>0.11808997383590053</v>
      </c>
      <c r="Q301" s="336">
        <f t="shared" si="152"/>
        <v>15.146800889984014</v>
      </c>
      <c r="R301" s="692">
        <f t="shared" si="138"/>
        <v>5.5320570115380371E-2</v>
      </c>
      <c r="S301" s="329">
        <f t="shared" si="139"/>
        <v>0.99696391191505684</v>
      </c>
      <c r="T301" s="330">
        <f t="shared" si="140"/>
        <v>0.17651250015663614</v>
      </c>
      <c r="U301" s="331">
        <f t="shared" si="141"/>
        <v>5.7930615101710945</v>
      </c>
      <c r="V301" s="332">
        <f t="shared" si="142"/>
        <v>-111.46984016255017</v>
      </c>
      <c r="W301" s="334">
        <f t="shared" si="143"/>
        <v>68.53015983744983</v>
      </c>
      <c r="Y301" s="307">
        <f t="shared" si="144"/>
        <v>1000000000</v>
      </c>
      <c r="Z301" s="307">
        <f t="shared" si="145"/>
        <v>416853889</v>
      </c>
      <c r="AB301" s="333">
        <f t="shared" si="146"/>
        <v>23.521230315487877</v>
      </c>
      <c r="AC301" s="334">
        <f t="shared" si="147"/>
        <v>-18.737003886763123</v>
      </c>
      <c r="AE301" s="333">
        <f t="shared" si="148"/>
        <v>39.796944907642185</v>
      </c>
      <c r="AF301" s="334">
        <f t="shared" si="149"/>
        <v>-96.329258195635092</v>
      </c>
      <c r="AH301">
        <f t="shared" si="150"/>
        <v>0</v>
      </c>
      <c r="AI301">
        <f t="shared" si="155"/>
        <v>0</v>
      </c>
    </row>
    <row r="302" spans="1:35" x14ac:dyDescent="0.25">
      <c r="A302" s="335">
        <v>20536</v>
      </c>
      <c r="B302" s="352">
        <f t="shared" si="151"/>
        <v>20.536000000000001</v>
      </c>
      <c r="C302" s="325">
        <f t="shared" si="126"/>
        <v>24.906379269089879</v>
      </c>
      <c r="D302" s="326">
        <f t="shared" si="127"/>
        <v>1.5306351753297387</v>
      </c>
      <c r="E302" s="326">
        <f t="shared" si="128"/>
        <v>1.0003329271051433</v>
      </c>
      <c r="F302" s="327">
        <f t="shared" si="129"/>
        <v>2.580057225447268E-2</v>
      </c>
      <c r="G302" s="326">
        <f t="shared" si="130"/>
        <v>1</v>
      </c>
      <c r="H302" s="327">
        <f t="shared" si="131"/>
        <v>0</v>
      </c>
      <c r="I302" s="325">
        <f t="shared" si="132"/>
        <v>27256.73137640375</v>
      </c>
      <c r="J302" s="328">
        <f t="shared" si="133"/>
        <v>1.5707596386100069</v>
      </c>
      <c r="K302" s="336">
        <f t="shared" si="153"/>
        <v>5.3738319236458665</v>
      </c>
      <c r="L302" s="337">
        <f t="shared" si="154"/>
        <v>1.3836183057256346</v>
      </c>
      <c r="M302" s="325">
        <f t="shared" si="134"/>
        <v>1.0098258905795665</v>
      </c>
      <c r="N302" s="337">
        <f t="shared" si="135"/>
        <v>0.13961448848992208</v>
      </c>
      <c r="O302" s="343">
        <f t="shared" si="136"/>
        <v>1.0070950704617758</v>
      </c>
      <c r="P302" s="691">
        <f t="shared" si="137"/>
        <v>0.11877182213672263</v>
      </c>
      <c r="Q302" s="336">
        <f t="shared" si="152"/>
        <v>15.147063821221446</v>
      </c>
      <c r="R302" s="692">
        <f t="shared" si="138"/>
        <v>5.5642370075086933E-2</v>
      </c>
      <c r="S302" s="329">
        <f t="shared" si="139"/>
        <v>0.99693039868810096</v>
      </c>
      <c r="T302" s="330">
        <f t="shared" si="140"/>
        <v>0.1775582473721721</v>
      </c>
      <c r="U302" s="331">
        <f t="shared" si="141"/>
        <v>5.740814286428801</v>
      </c>
      <c r="V302" s="332">
        <f t="shared" si="142"/>
        <v>-111.49868827100082</v>
      </c>
      <c r="W302" s="334">
        <f t="shared" si="143"/>
        <v>68.501311728999184</v>
      </c>
      <c r="Y302" s="307">
        <f t="shared" si="144"/>
        <v>1000000000</v>
      </c>
      <c r="Z302" s="307">
        <f t="shared" si="145"/>
        <v>421727296</v>
      </c>
      <c r="AB302" s="333">
        <f t="shared" si="146"/>
        <v>23.518500473563336</v>
      </c>
      <c r="AC302" s="334">
        <f t="shared" si="147"/>
        <v>-18.721729517470383</v>
      </c>
      <c r="AE302" s="333">
        <f t="shared" si="148"/>
        <v>39.746873601742514</v>
      </c>
      <c r="AF302" s="334">
        <f t="shared" si="149"/>
        <v>-96.394009923768706</v>
      </c>
      <c r="AH302">
        <f t="shared" si="150"/>
        <v>0</v>
      </c>
      <c r="AI302">
        <f t="shared" si="155"/>
        <v>0</v>
      </c>
    </row>
    <row r="303" spans="1:35" x14ac:dyDescent="0.25">
      <c r="A303" s="335">
        <v>20655</v>
      </c>
      <c r="B303" s="352">
        <f t="shared" si="151"/>
        <v>20.655000000000001</v>
      </c>
      <c r="C303" s="325">
        <f t="shared" si="126"/>
        <v>25.050472324312253</v>
      </c>
      <c r="D303" s="326">
        <f t="shared" si="127"/>
        <v>1.530866309872897</v>
      </c>
      <c r="E303" s="326">
        <f t="shared" si="128"/>
        <v>1.000336796059659</v>
      </c>
      <c r="F303" s="327">
        <f t="shared" si="129"/>
        <v>2.5950011965176812E-2</v>
      </c>
      <c r="G303" s="326">
        <f t="shared" si="130"/>
        <v>1</v>
      </c>
      <c r="H303" s="327">
        <f t="shared" si="131"/>
        <v>0</v>
      </c>
      <c r="I303" s="325">
        <f t="shared" si="132"/>
        <v>27414.67601165106</v>
      </c>
      <c r="J303" s="328">
        <f t="shared" si="133"/>
        <v>1.5707598499822655</v>
      </c>
      <c r="K303" s="336">
        <f t="shared" si="153"/>
        <v>5.4038963590430278</v>
      </c>
      <c r="L303" s="337">
        <f t="shared" si="154"/>
        <v>1.3846718952516641</v>
      </c>
      <c r="M303" s="325">
        <f t="shared" si="134"/>
        <v>1.0099395347105575</v>
      </c>
      <c r="N303" s="337">
        <f t="shared" si="135"/>
        <v>0.14041295086713901</v>
      </c>
      <c r="O303" s="343">
        <f t="shared" si="136"/>
        <v>1.0071772424999981</v>
      </c>
      <c r="P303" s="691">
        <f t="shared" si="137"/>
        <v>0.11945355949525804</v>
      </c>
      <c r="Q303" s="336">
        <f t="shared" si="152"/>
        <v>15.147328275894424</v>
      </c>
      <c r="R303" s="692">
        <f t="shared" si="138"/>
        <v>5.5964158996379493E-2</v>
      </c>
      <c r="S303" s="329">
        <f t="shared" si="139"/>
        <v>0.99689673703205028</v>
      </c>
      <c r="T303" s="330">
        <f t="shared" si="140"/>
        <v>0.17860428807646417</v>
      </c>
      <c r="U303" s="331">
        <f t="shared" si="141"/>
        <v>5.6888860959819461</v>
      </c>
      <c r="V303" s="332">
        <f t="shared" si="142"/>
        <v>-111.5280736332727</v>
      </c>
      <c r="W303" s="334">
        <f t="shared" si="143"/>
        <v>68.471926366727303</v>
      </c>
      <c r="Y303" s="307">
        <f t="shared" si="144"/>
        <v>1000000000</v>
      </c>
      <c r="Z303" s="307">
        <f t="shared" si="145"/>
        <v>426629025</v>
      </c>
      <c r="AB303" s="333">
        <f t="shared" si="146"/>
        <v>23.515794803330419</v>
      </c>
      <c r="AC303" s="334">
        <f t="shared" si="147"/>
        <v>-18.707123919325841</v>
      </c>
      <c r="AE303" s="333">
        <f t="shared" si="148"/>
        <v>39.697094048343665</v>
      </c>
      <c r="AF303" s="334">
        <f t="shared" si="149"/>
        <v>-96.458624410505024</v>
      </c>
      <c r="AH303">
        <f t="shared" si="150"/>
        <v>0</v>
      </c>
      <c r="AI303">
        <f t="shared" si="155"/>
        <v>0</v>
      </c>
    </row>
    <row r="304" spans="1:35" x14ac:dyDescent="0.25">
      <c r="A304" s="335">
        <v>20774</v>
      </c>
      <c r="B304" s="352">
        <f t="shared" si="151"/>
        <v>20.774000000000001</v>
      </c>
      <c r="C304" s="325">
        <f t="shared" si="126"/>
        <v>25.194566702502634</v>
      </c>
      <c r="D304" s="326">
        <f t="shared" si="127"/>
        <v>1.5310948005892047</v>
      </c>
      <c r="E304" s="326">
        <f t="shared" si="128"/>
        <v>1.0003406873537504</v>
      </c>
      <c r="F304" s="327">
        <f t="shared" si="129"/>
        <v>2.6099450516586593E-2</v>
      </c>
      <c r="G304" s="326">
        <f t="shared" si="130"/>
        <v>1</v>
      </c>
      <c r="H304" s="327">
        <f t="shared" si="131"/>
        <v>0</v>
      </c>
      <c r="I304" s="325">
        <f t="shared" si="132"/>
        <v>27572.620646899577</v>
      </c>
      <c r="J304" s="328">
        <f t="shared" si="133"/>
        <v>1.5707600589329105</v>
      </c>
      <c r="K304" s="336">
        <f t="shared" si="153"/>
        <v>5.4339667266595404</v>
      </c>
      <c r="L304" s="337">
        <f t="shared" si="154"/>
        <v>1.3857138252617547</v>
      </c>
      <c r="M304" s="325">
        <f t="shared" si="134"/>
        <v>1.0100538225754601</v>
      </c>
      <c r="N304" s="337">
        <f t="shared" si="135"/>
        <v>0.14121123306072819</v>
      </c>
      <c r="O304" s="343">
        <f t="shared" si="136"/>
        <v>1.007259882563281</v>
      </c>
      <c r="P304" s="691">
        <f t="shared" si="137"/>
        <v>0.12013518530504019</v>
      </c>
      <c r="Q304" s="336">
        <f t="shared" si="152"/>
        <v>15.147594253923224</v>
      </c>
      <c r="R304" s="692">
        <f t="shared" si="138"/>
        <v>5.6285936816068881E-2</v>
      </c>
      <c r="S304" s="329">
        <f t="shared" si="139"/>
        <v>0.99686292775713492</v>
      </c>
      <c r="T304" s="330">
        <f t="shared" si="140"/>
        <v>0.17965062390986122</v>
      </c>
      <c r="U304" s="331">
        <f t="shared" si="141"/>
        <v>5.6372729575580003</v>
      </c>
      <c r="V304" s="332">
        <f t="shared" si="142"/>
        <v>-111.55798782524225</v>
      </c>
      <c r="W304" s="334">
        <f t="shared" si="143"/>
        <v>68.44201217475775</v>
      </c>
      <c r="Y304" s="307">
        <f t="shared" si="144"/>
        <v>1000000000</v>
      </c>
      <c r="Z304" s="307">
        <f t="shared" si="145"/>
        <v>431559076</v>
      </c>
      <c r="AB304" s="333">
        <f t="shared" si="146"/>
        <v>23.513112651292726</v>
      </c>
      <c r="AC304" s="334">
        <f t="shared" si="147"/>
        <v>-18.693175899726885</v>
      </c>
      <c r="AE304" s="333">
        <f t="shared" si="148"/>
        <v>39.647602921544916</v>
      </c>
      <c r="AF304" s="334">
        <f t="shared" si="149"/>
        <v>-96.523104393195666</v>
      </c>
      <c r="AH304">
        <f t="shared" si="150"/>
        <v>0</v>
      </c>
      <c r="AI304">
        <f t="shared" si="155"/>
        <v>0</v>
      </c>
    </row>
    <row r="305" spans="1:35" x14ac:dyDescent="0.25">
      <c r="A305" s="335">
        <v>20893</v>
      </c>
      <c r="B305" s="352">
        <f t="shared" si="151"/>
        <v>20.893000000000001</v>
      </c>
      <c r="C305" s="325">
        <f t="shared" si="126"/>
        <v>25.338662381090906</v>
      </c>
      <c r="D305" s="326">
        <f t="shared" si="127"/>
        <v>1.5313206925592708</v>
      </c>
      <c r="E305" s="326">
        <f t="shared" si="128"/>
        <v>1.0003446009871564</v>
      </c>
      <c r="F305" s="327">
        <f t="shared" si="129"/>
        <v>2.6248887902041093E-2</v>
      </c>
      <c r="G305" s="326">
        <f t="shared" si="130"/>
        <v>1</v>
      </c>
      <c r="H305" s="327">
        <f t="shared" si="131"/>
        <v>0</v>
      </c>
      <c r="I305" s="325">
        <f t="shared" si="132"/>
        <v>27730.565282149288</v>
      </c>
      <c r="J305" s="328">
        <f t="shared" si="133"/>
        <v>1.5707602655033204</v>
      </c>
      <c r="K305" s="336">
        <f t="shared" si="153"/>
        <v>5.4640429285547318</v>
      </c>
      <c r="L305" s="337">
        <f t="shared" si="154"/>
        <v>1.3867442860101828</v>
      </c>
      <c r="M305" s="325">
        <f t="shared" si="134"/>
        <v>1.0101687539557829</v>
      </c>
      <c r="N305" s="337">
        <f t="shared" si="135"/>
        <v>0.14200933411460182</v>
      </c>
      <c r="O305" s="343">
        <f t="shared" si="136"/>
        <v>1.0073429905364379</v>
      </c>
      <c r="P305" s="691">
        <f t="shared" si="137"/>
        <v>0.12081669896021549</v>
      </c>
      <c r="Q305" s="336">
        <f t="shared" si="152"/>
        <v>15.147861755227675</v>
      </c>
      <c r="R305" s="692">
        <f t="shared" si="138"/>
        <v>5.6607703470979286E-2</v>
      </c>
      <c r="S305" s="329">
        <f t="shared" si="139"/>
        <v>0.99682897167839701</v>
      </c>
      <c r="T305" s="330">
        <f t="shared" si="140"/>
        <v>0.1806972565115684</v>
      </c>
      <c r="U305" s="331">
        <f t="shared" si="141"/>
        <v>5.5859709644020956</v>
      </c>
      <c r="V305" s="332">
        <f t="shared" si="142"/>
        <v>-111.58842260205637</v>
      </c>
      <c r="W305" s="334">
        <f t="shared" si="143"/>
        <v>68.411577397943631</v>
      </c>
      <c r="Y305" s="307">
        <f t="shared" si="144"/>
        <v>1000000000</v>
      </c>
      <c r="Z305" s="307">
        <f t="shared" si="145"/>
        <v>436517449</v>
      </c>
      <c r="AB305" s="333">
        <f t="shared" si="146"/>
        <v>23.510453382010247</v>
      </c>
      <c r="AC305" s="334">
        <f t="shared" si="147"/>
        <v>-18.67987450549742</v>
      </c>
      <c r="AE305" s="333">
        <f t="shared" si="148"/>
        <v>39.598396951916591</v>
      </c>
      <c r="AF305" s="334">
        <f t="shared" si="149"/>
        <v>-96.587452549070491</v>
      </c>
      <c r="AH305">
        <f t="shared" si="150"/>
        <v>0</v>
      </c>
      <c r="AI305">
        <f t="shared" si="155"/>
        <v>0</v>
      </c>
    </row>
    <row r="306" spans="1:35" x14ac:dyDescent="0.25">
      <c r="A306" s="335">
        <v>21014.75</v>
      </c>
      <c r="B306" s="352">
        <f t="shared" si="151"/>
        <v>21.014749999999999</v>
      </c>
      <c r="C306" s="325">
        <f t="shared" si="126"/>
        <v>25.486089324650106</v>
      </c>
      <c r="D306" s="326">
        <f t="shared" si="127"/>
        <v>1.5315491611455905</v>
      </c>
      <c r="E306" s="326">
        <f t="shared" si="128"/>
        <v>1.0003486281810439</v>
      </c>
      <c r="F306" s="327">
        <f t="shared" si="129"/>
        <v>2.6401777458824081E-2</v>
      </c>
      <c r="G306" s="326">
        <f t="shared" si="130"/>
        <v>1</v>
      </c>
      <c r="H306" s="327">
        <f t="shared" si="131"/>
        <v>0</v>
      </c>
      <c r="I306" s="325">
        <f t="shared" si="132"/>
        <v>27892.1598984669</v>
      </c>
      <c r="J306" s="328">
        <f t="shared" si="133"/>
        <v>1.5707604744262076</v>
      </c>
      <c r="K306" s="336">
        <f t="shared" si="153"/>
        <v>5.4948201068911233</v>
      </c>
      <c r="L306" s="337">
        <f t="shared" si="154"/>
        <v>1.3877868841841461</v>
      </c>
      <c r="M306" s="325">
        <f t="shared" si="134"/>
        <v>1.0102870070783141</v>
      </c>
      <c r="N306" s="337">
        <f t="shared" si="135"/>
        <v>0.14282569021745506</v>
      </c>
      <c r="O306" s="343">
        <f t="shared" si="136"/>
        <v>1.0074285032056061</v>
      </c>
      <c r="P306" s="691">
        <f t="shared" si="137"/>
        <v>0.12151384517706472</v>
      </c>
      <c r="Q306" s="336">
        <f t="shared" si="152"/>
        <v>15.148137014685883</v>
      </c>
      <c r="R306" s="692">
        <f t="shared" si="138"/>
        <v>5.6936894289284973E-2</v>
      </c>
      <c r="S306" s="329">
        <f t="shared" si="139"/>
        <v>0.99679407982361123</v>
      </c>
      <c r="T306" s="330">
        <f t="shared" si="140"/>
        <v>0.18176838484414173</v>
      </c>
      <c r="U306" s="331">
        <f t="shared" si="141"/>
        <v>5.5338014366674386</v>
      </c>
      <c r="V306" s="332">
        <f t="shared" si="142"/>
        <v>-111.62009105746922</v>
      </c>
      <c r="W306" s="334">
        <f t="shared" si="143"/>
        <v>68.379908942530776</v>
      </c>
      <c r="Y306" s="307">
        <f t="shared" si="144"/>
        <v>1000000000</v>
      </c>
      <c r="Z306" s="307">
        <f t="shared" si="145"/>
        <v>441619717.5625</v>
      </c>
      <c r="AB306" s="333">
        <f t="shared" si="146"/>
        <v>23.507755696714341</v>
      </c>
      <c r="AC306" s="334">
        <f t="shared" si="147"/>
        <v>-18.666923760059394</v>
      </c>
      <c r="AE306" s="333">
        <f t="shared" si="148"/>
        <v>39.548345635701033</v>
      </c>
      <c r="AF306" s="334">
        <f t="shared" si="149"/>
        <v>-96.653154041331049</v>
      </c>
      <c r="AH306">
        <f t="shared" si="150"/>
        <v>0</v>
      </c>
      <c r="AI306">
        <f t="shared" si="155"/>
        <v>0</v>
      </c>
    </row>
    <row r="307" spans="1:35" x14ac:dyDescent="0.25">
      <c r="A307" s="335">
        <v>21136.5</v>
      </c>
      <c r="B307" s="352">
        <f t="shared" si="151"/>
        <v>21.136500000000002</v>
      </c>
      <c r="C307" s="325">
        <f t="shared" si="126"/>
        <v>25.633517583227253</v>
      </c>
      <c r="D307" s="326">
        <f t="shared" si="127"/>
        <v>1.5317750017214495</v>
      </c>
      <c r="E307" s="326">
        <f t="shared" si="128"/>
        <v>1.0003526787581085</v>
      </c>
      <c r="F307" s="327">
        <f t="shared" si="129"/>
        <v>2.6554665781035644E-2</v>
      </c>
      <c r="G307" s="326">
        <f t="shared" si="130"/>
        <v>1</v>
      </c>
      <c r="H307" s="327">
        <f t="shared" si="131"/>
        <v>0</v>
      </c>
      <c r="I307" s="325">
        <f t="shared" si="132"/>
        <v>28053.75451478572</v>
      </c>
      <c r="J307" s="328">
        <f t="shared" si="133"/>
        <v>1.5707606809422288</v>
      </c>
      <c r="K307" s="336">
        <f t="shared" si="153"/>
        <v>5.5256031916158843</v>
      </c>
      <c r="L307" s="337">
        <f t="shared" si="154"/>
        <v>1.388817866858679</v>
      </c>
      <c r="M307" s="325">
        <f t="shared" si="134"/>
        <v>1.0104059333359172</v>
      </c>
      <c r="N307" s="337">
        <f t="shared" si="135"/>
        <v>0.14364185469150739</v>
      </c>
      <c r="O307" s="343">
        <f t="shared" si="136"/>
        <v>1.0075145054147179</v>
      </c>
      <c r="P307" s="691">
        <f t="shared" si="137"/>
        <v>0.12221087271476121</v>
      </c>
      <c r="Q307" s="336">
        <f t="shared" si="152"/>
        <v>15.148413868465484</v>
      </c>
      <c r="R307" s="692">
        <f t="shared" si="138"/>
        <v>5.7266073287086099E-2</v>
      </c>
      <c r="S307" s="329">
        <f t="shared" si="139"/>
        <v>0.99675903604299831</v>
      </c>
      <c r="T307" s="330">
        <f t="shared" si="140"/>
        <v>0.18283982728732157</v>
      </c>
      <c r="U307" s="331">
        <f t="shared" si="141"/>
        <v>5.4819495586000215</v>
      </c>
      <c r="V307" s="332">
        <f t="shared" si="142"/>
        <v>-111.6522875311416</v>
      </c>
      <c r="W307" s="334">
        <f t="shared" si="143"/>
        <v>68.347712468858404</v>
      </c>
      <c r="Y307" s="307">
        <f t="shared" si="144"/>
        <v>1000000000</v>
      </c>
      <c r="Z307" s="307">
        <f t="shared" si="145"/>
        <v>446751632.25</v>
      </c>
      <c r="AB307" s="333">
        <f t="shared" si="146"/>
        <v>23.50508067369941</v>
      </c>
      <c r="AC307" s="334">
        <f t="shared" si="147"/>
        <v>-18.654627416291635</v>
      </c>
      <c r="AE307" s="333">
        <f t="shared" si="148"/>
        <v>39.498586060370172</v>
      </c>
      <c r="AF307" s="334">
        <f t="shared" si="149"/>
        <v>-96.718723027631327</v>
      </c>
      <c r="AH307">
        <f t="shared" si="150"/>
        <v>0</v>
      </c>
      <c r="AI307">
        <f t="shared" si="155"/>
        <v>0</v>
      </c>
    </row>
    <row r="308" spans="1:35" x14ac:dyDescent="0.25">
      <c r="A308" s="335">
        <v>21258.25</v>
      </c>
      <c r="B308" s="352">
        <f t="shared" si="151"/>
        <v>21.25825</v>
      </c>
      <c r="C308" s="325">
        <f t="shared" si="126"/>
        <v>25.780947134262558</v>
      </c>
      <c r="D308" s="326">
        <f t="shared" si="127"/>
        <v>1.5319982593488124</v>
      </c>
      <c r="E308" s="326">
        <f t="shared" si="128"/>
        <v>1.0003567527180666</v>
      </c>
      <c r="F308" s="327">
        <f t="shared" si="129"/>
        <v>2.670755286154335E-2</v>
      </c>
      <c r="G308" s="326">
        <f t="shared" si="130"/>
        <v>1</v>
      </c>
      <c r="H308" s="327">
        <f t="shared" si="131"/>
        <v>0</v>
      </c>
      <c r="I308" s="325">
        <f t="shared" si="132"/>
        <v>28215.349131105722</v>
      </c>
      <c r="J308" s="328">
        <f t="shared" si="133"/>
        <v>1.5707608850927379</v>
      </c>
      <c r="K308" s="336">
        <f t="shared" si="153"/>
        <v>5.5563920845626988</v>
      </c>
      <c r="L308" s="337">
        <f t="shared" si="154"/>
        <v>1.3898374249138961</v>
      </c>
      <c r="M308" s="325">
        <f t="shared" si="134"/>
        <v>1.0105255324909337</v>
      </c>
      <c r="N308" s="337">
        <f t="shared" si="135"/>
        <v>0.14445782651727437</v>
      </c>
      <c r="O308" s="343">
        <f t="shared" si="136"/>
        <v>1.0076009970384212</v>
      </c>
      <c r="P308" s="691">
        <f t="shared" si="137"/>
        <v>0.12290778092648304</v>
      </c>
      <c r="Q308" s="336">
        <f t="shared" si="152"/>
        <v>15.148692316479142</v>
      </c>
      <c r="R308" s="692">
        <f t="shared" si="138"/>
        <v>5.7595240396768901E-2</v>
      </c>
      <c r="S308" s="329">
        <f t="shared" si="139"/>
        <v>0.9967238412250754</v>
      </c>
      <c r="T308" s="330">
        <f t="shared" si="140"/>
        <v>0.18391158559282189</v>
      </c>
      <c r="U308" s="331">
        <f t="shared" si="141"/>
        <v>5.4304113765098352</v>
      </c>
      <c r="V308" s="332">
        <f t="shared" si="142"/>
        <v>-111.68500374622681</v>
      </c>
      <c r="W308" s="334">
        <f t="shared" si="143"/>
        <v>68.314996253773188</v>
      </c>
      <c r="Y308" s="307">
        <f t="shared" si="144"/>
        <v>1000000000</v>
      </c>
      <c r="Z308" s="307">
        <f t="shared" si="145"/>
        <v>451913193.0625</v>
      </c>
      <c r="AB308" s="333">
        <f t="shared" si="146"/>
        <v>23.502427687369639</v>
      </c>
      <c r="AC308" s="334">
        <f t="shared" si="147"/>
        <v>-18.642974481526409</v>
      </c>
      <c r="AE308" s="333">
        <f t="shared" si="148"/>
        <v>39.449114899880364</v>
      </c>
      <c r="AF308" s="334">
        <f t="shared" si="149"/>
        <v>-96.78416219060621</v>
      </c>
      <c r="AH308">
        <f t="shared" si="150"/>
        <v>0</v>
      </c>
      <c r="AI308">
        <f t="shared" si="155"/>
        <v>0</v>
      </c>
    </row>
    <row r="309" spans="1:35" x14ac:dyDescent="0.25">
      <c r="A309" s="335">
        <v>21380</v>
      </c>
      <c r="B309" s="352">
        <f t="shared" si="151"/>
        <v>21.38</v>
      </c>
      <c r="C309" s="325">
        <f t="shared" si="126"/>
        <v>25.928377955709156</v>
      </c>
      <c r="D309" s="326">
        <f t="shared" si="127"/>
        <v>1.5322189780657833</v>
      </c>
      <c r="E309" s="326">
        <f t="shared" si="128"/>
        <v>1.0003608500606318</v>
      </c>
      <c r="F309" s="327">
        <f t="shared" si="129"/>
        <v>2.68604386932151E-2</v>
      </c>
      <c r="G309" s="326">
        <f t="shared" si="130"/>
        <v>1</v>
      </c>
      <c r="H309" s="327">
        <f t="shared" si="131"/>
        <v>0</v>
      </c>
      <c r="I309" s="325">
        <f t="shared" si="132"/>
        <v>28376.943747426885</v>
      </c>
      <c r="J309" s="328">
        <f t="shared" si="133"/>
        <v>1.5707610869181463</v>
      </c>
      <c r="K309" s="336">
        <f t="shared" si="153"/>
        <v>5.5871866897107578</v>
      </c>
      <c r="L309" s="337">
        <f t="shared" si="154"/>
        <v>1.3908457451178591</v>
      </c>
      <c r="M309" s="325">
        <f t="shared" si="134"/>
        <v>1.0106458043044726</v>
      </c>
      <c r="N309" s="337">
        <f t="shared" si="135"/>
        <v>0.14527360467677888</v>
      </c>
      <c r="O309" s="343">
        <f t="shared" si="136"/>
        <v>1.0076879779506942</v>
      </c>
      <c r="P309" s="691">
        <f t="shared" si="137"/>
        <v>0.12360456916609341</v>
      </c>
      <c r="Q309" s="336">
        <f t="shared" si="152"/>
        <v>15.148972358639027</v>
      </c>
      <c r="R309" s="692">
        <f t="shared" si="138"/>
        <v>5.7924395550734566E-2</v>
      </c>
      <c r="S309" s="329">
        <f t="shared" si="139"/>
        <v>0.9966884962636422</v>
      </c>
      <c r="T309" s="330">
        <f t="shared" si="140"/>
        <v>0.18498366151106127</v>
      </c>
      <c r="U309" s="331">
        <f t="shared" si="141"/>
        <v>5.3791830104833247</v>
      </c>
      <c r="V309" s="332">
        <f t="shared" si="142"/>
        <v>-111.71823160273838</v>
      </c>
      <c r="W309" s="334">
        <f t="shared" si="143"/>
        <v>68.281768397261615</v>
      </c>
      <c r="Y309" s="307">
        <f t="shared" si="144"/>
        <v>1000000000</v>
      </c>
      <c r="Z309" s="307">
        <f t="shared" si="145"/>
        <v>457104400</v>
      </c>
      <c r="AB309" s="333">
        <f t="shared" si="146"/>
        <v>23.499796129453348</v>
      </c>
      <c r="AC309" s="334">
        <f t="shared" si="147"/>
        <v>-18.631954198731616</v>
      </c>
      <c r="AE309" s="333">
        <f t="shared" si="148"/>
        <v>39.399928884650883</v>
      </c>
      <c r="AF309" s="334">
        <f t="shared" si="149"/>
        <v>-96.849474154153398</v>
      </c>
      <c r="AH309">
        <f t="shared" si="150"/>
        <v>0</v>
      </c>
      <c r="AI309">
        <f t="shared" si="155"/>
        <v>0</v>
      </c>
    </row>
    <row r="310" spans="1:35" x14ac:dyDescent="0.25">
      <c r="A310" s="335">
        <v>21504.5</v>
      </c>
      <c r="B310" s="352">
        <f t="shared" si="151"/>
        <v>21.5045</v>
      </c>
      <c r="C310" s="325">
        <f t="shared" si="126"/>
        <v>26.07914012810685</v>
      </c>
      <c r="D310" s="326">
        <f t="shared" si="127"/>
        <v>1.5324421014790426</v>
      </c>
      <c r="E310" s="326">
        <f t="shared" si="128"/>
        <v>1.0003650641314727</v>
      </c>
      <c r="F310" s="327">
        <f t="shared" si="129"/>
        <v>2.7016776499395233E-2</v>
      </c>
      <c r="G310" s="326">
        <f t="shared" si="130"/>
        <v>1</v>
      </c>
      <c r="H310" s="327">
        <f t="shared" si="131"/>
        <v>0</v>
      </c>
      <c r="I310" s="325">
        <f t="shared" si="132"/>
        <v>28542.188344816037</v>
      </c>
      <c r="J310" s="328">
        <f t="shared" si="133"/>
        <v>1.5707612909389166</v>
      </c>
      <c r="K310" s="336">
        <f t="shared" si="153"/>
        <v>5.6186826702228201</v>
      </c>
      <c r="L310" s="337">
        <f t="shared" si="154"/>
        <v>1.3918654094586758</v>
      </c>
      <c r="M310" s="325">
        <f t="shared" si="134"/>
        <v>1.0107694881000133</v>
      </c>
      <c r="N310" s="337">
        <f t="shared" si="135"/>
        <v>0.14610760770069209</v>
      </c>
      <c r="O310" s="343">
        <f t="shared" si="136"/>
        <v>1.0077774293831463</v>
      </c>
      <c r="P310" s="691">
        <f t="shared" si="137"/>
        <v>0.12431697120912182</v>
      </c>
      <c r="Q310" s="336">
        <f t="shared" si="152"/>
        <v>15.149260374658464</v>
      </c>
      <c r="R310" s="692">
        <f t="shared" si="138"/>
        <v>5.8260972986449208E-2</v>
      </c>
      <c r="S310" s="329">
        <f t="shared" si="139"/>
        <v>0.99665219862405519</v>
      </c>
      <c r="T310" s="330">
        <f t="shared" si="140"/>
        <v>0.18608028297364496</v>
      </c>
      <c r="U310" s="331">
        <f t="shared" si="141"/>
        <v>5.3271139603177602</v>
      </c>
      <c r="V310" s="332">
        <f t="shared" si="142"/>
        <v>-111.75273083354058</v>
      </c>
      <c r="W310" s="334">
        <f t="shared" si="143"/>
        <v>68.247269166459418</v>
      </c>
      <c r="Y310" s="307">
        <f t="shared" si="144"/>
        <v>1000000000</v>
      </c>
      <c r="Z310" s="307">
        <f t="shared" si="145"/>
        <v>462443520.25</v>
      </c>
      <c r="AB310" s="333">
        <f t="shared" si="146"/>
        <v>23.49712667551071</v>
      </c>
      <c r="AC310" s="334">
        <f t="shared" si="147"/>
        <v>-18.621328278371145</v>
      </c>
      <c r="AE310" s="333">
        <f t="shared" si="148"/>
        <v>39.349923421815582</v>
      </c>
      <c r="AF310" s="334">
        <f t="shared" si="149"/>
        <v>-96.916132469176929</v>
      </c>
      <c r="AH310">
        <f t="shared" si="150"/>
        <v>0</v>
      </c>
      <c r="AI310">
        <f t="shared" si="155"/>
        <v>0</v>
      </c>
    </row>
    <row r="311" spans="1:35" x14ac:dyDescent="0.25">
      <c r="A311" s="335">
        <v>21629</v>
      </c>
      <c r="B311" s="352">
        <f t="shared" si="151"/>
        <v>21.629000000000001</v>
      </c>
      <c r="C311" s="325">
        <f t="shared" si="126"/>
        <v>26.229903583905099</v>
      </c>
      <c r="D311" s="326">
        <f t="shared" si="127"/>
        <v>1.5326626599790061</v>
      </c>
      <c r="E311" s="326">
        <f t="shared" si="128"/>
        <v>1.0003693026525395</v>
      </c>
      <c r="F311" s="327">
        <f t="shared" si="129"/>
        <v>2.7173112984603523E-2</v>
      </c>
      <c r="G311" s="326">
        <f t="shared" si="130"/>
        <v>1</v>
      </c>
      <c r="H311" s="327">
        <f t="shared" si="131"/>
        <v>0</v>
      </c>
      <c r="I311" s="325">
        <f t="shared" si="132"/>
        <v>28707.432942206357</v>
      </c>
      <c r="J311" s="328">
        <f t="shared" si="133"/>
        <v>1.5707614926109341</v>
      </c>
      <c r="K311" s="336">
        <f t="shared" si="153"/>
        <v>5.6501844274335227</v>
      </c>
      <c r="L311" s="337">
        <f t="shared" si="154"/>
        <v>1.3928737048664206</v>
      </c>
      <c r="M311" s="325">
        <f t="shared" si="134"/>
        <v>1.0108938747751111</v>
      </c>
      <c r="N311" s="337">
        <f t="shared" si="135"/>
        <v>0.14694140606259695</v>
      </c>
      <c r="O311" s="343">
        <f t="shared" si="136"/>
        <v>1.0078673921885049</v>
      </c>
      <c r="P311" s="691">
        <f t="shared" si="137"/>
        <v>0.12502924643478103</v>
      </c>
      <c r="Q311" s="336">
        <f t="shared" si="152"/>
        <v>15.149550057464902</v>
      </c>
      <c r="R311" s="692">
        <f t="shared" si="138"/>
        <v>5.8597537777330656E-2</v>
      </c>
      <c r="S311" s="329">
        <f t="shared" si="139"/>
        <v>0.99661574588898338</v>
      </c>
      <c r="T311" s="330">
        <f t="shared" si="140"/>
        <v>0.18717724025694052</v>
      </c>
      <c r="U311" s="331">
        <f t="shared" si="141"/>
        <v>5.2753609023758719</v>
      </c>
      <c r="V311" s="332">
        <f t="shared" si="142"/>
        <v>-111.78774849507637</v>
      </c>
      <c r="W311" s="334">
        <f t="shared" si="143"/>
        <v>68.212251504923628</v>
      </c>
      <c r="Y311" s="307">
        <f t="shared" si="144"/>
        <v>1000000000</v>
      </c>
      <c r="Z311" s="307">
        <f t="shared" si="145"/>
        <v>467813641</v>
      </c>
      <c r="AB311" s="333">
        <f t="shared" si="146"/>
        <v>23.49447839548537</v>
      </c>
      <c r="AC311" s="334">
        <f t="shared" si="147"/>
        <v>-18.61134188905104</v>
      </c>
      <c r="AE311" s="333">
        <f t="shared" si="148"/>
        <v>39.300209391162319</v>
      </c>
      <c r="AF311" s="334">
        <f t="shared" si="149"/>
        <v>-96.982663142289212</v>
      </c>
      <c r="AH311">
        <f t="shared" si="150"/>
        <v>0</v>
      </c>
      <c r="AI311">
        <f t="shared" si="155"/>
        <v>0</v>
      </c>
    </row>
    <row r="312" spans="1:35" x14ac:dyDescent="0.25">
      <c r="A312" s="335">
        <v>21753.5</v>
      </c>
      <c r="B312" s="352">
        <f t="shared" si="151"/>
        <v>21.753499999999999</v>
      </c>
      <c r="C312" s="325">
        <f t="shared" si="126"/>
        <v>26.380668301100293</v>
      </c>
      <c r="D312" s="326">
        <f t="shared" si="127"/>
        <v>1.5328806975192337</v>
      </c>
      <c r="E312" s="326">
        <f t="shared" si="128"/>
        <v>1.0003735656235215</v>
      </c>
      <c r="F312" s="327">
        <f t="shared" si="129"/>
        <v>2.7329448141214734E-2</v>
      </c>
      <c r="G312" s="326">
        <f t="shared" si="130"/>
        <v>1</v>
      </c>
      <c r="H312" s="327">
        <f t="shared" si="131"/>
        <v>0</v>
      </c>
      <c r="I312" s="325">
        <f t="shared" si="132"/>
        <v>28872.677539597829</v>
      </c>
      <c r="J312" s="328">
        <f t="shared" si="133"/>
        <v>1.5707616919745262</v>
      </c>
      <c r="K312" s="336">
        <f t="shared" si="153"/>
        <v>5.6816918652573181</v>
      </c>
      <c r="L312" s="337">
        <f t="shared" si="154"/>
        <v>1.3938708184106152</v>
      </c>
      <c r="M312" s="325">
        <f t="shared" si="134"/>
        <v>1.011018964070338</v>
      </c>
      <c r="N312" s="337">
        <f t="shared" si="135"/>
        <v>0.14777499867890162</v>
      </c>
      <c r="O312" s="343">
        <f t="shared" si="136"/>
        <v>1.0079578662298458</v>
      </c>
      <c r="P312" s="691">
        <f t="shared" si="137"/>
        <v>0.12574139415439881</v>
      </c>
      <c r="Q312" s="336">
        <f t="shared" si="152"/>
        <v>15.14984140696281</v>
      </c>
      <c r="R312" s="692">
        <f t="shared" si="138"/>
        <v>5.8934089851144338E-2</v>
      </c>
      <c r="S312" s="329">
        <f t="shared" si="139"/>
        <v>0.99657913903132078</v>
      </c>
      <c r="T312" s="330">
        <f t="shared" si="140"/>
        <v>0.18827453522840379</v>
      </c>
      <c r="U312" s="331">
        <f t="shared" si="141"/>
        <v>5.2239199154025524</v>
      </c>
      <c r="V312" s="332">
        <f t="shared" si="142"/>
        <v>-111.82327647038402</v>
      </c>
      <c r="W312" s="334">
        <f t="shared" si="143"/>
        <v>68.176723529615984</v>
      </c>
      <c r="Y312" s="307">
        <f t="shared" si="144"/>
        <v>1000000000</v>
      </c>
      <c r="Z312" s="307">
        <f t="shared" si="145"/>
        <v>473214762.25</v>
      </c>
      <c r="AB312" s="333">
        <f t="shared" si="146"/>
        <v>23.491850691548066</v>
      </c>
      <c r="AC312" s="334">
        <f t="shared" si="147"/>
        <v>-18.601984252702611</v>
      </c>
      <c r="AE312" s="333">
        <f t="shared" si="148"/>
        <v>39.250783471503603</v>
      </c>
      <c r="AF312" s="334">
        <f t="shared" si="149"/>
        <v>-97.04906879927799</v>
      </c>
      <c r="AH312">
        <f t="shared" si="150"/>
        <v>0</v>
      </c>
      <c r="AI312">
        <f t="shared" si="155"/>
        <v>0</v>
      </c>
    </row>
    <row r="313" spans="1:35" x14ac:dyDescent="0.25">
      <c r="A313" s="335">
        <v>21878</v>
      </c>
      <c r="B313" s="352">
        <f t="shared" si="151"/>
        <v>21.878</v>
      </c>
      <c r="C313" s="325">
        <f t="shared" si="126"/>
        <v>26.531434258188799</v>
      </c>
      <c r="D313" s="326">
        <f t="shared" si="127"/>
        <v>1.5330962570551852</v>
      </c>
      <c r="E313" s="326">
        <f t="shared" si="128"/>
        <v>1.0003778530441063</v>
      </c>
      <c r="F313" s="327">
        <f t="shared" si="129"/>
        <v>2.7485781961604023E-2</v>
      </c>
      <c r="G313" s="326">
        <f t="shared" si="130"/>
        <v>1</v>
      </c>
      <c r="H313" s="327">
        <f t="shared" si="131"/>
        <v>0</v>
      </c>
      <c r="I313" s="325">
        <f t="shared" si="132"/>
        <v>29037.922136990444</v>
      </c>
      <c r="J313" s="328">
        <f t="shared" si="133"/>
        <v>1.570761889069102</v>
      </c>
      <c r="K313" s="336">
        <f t="shared" si="153"/>
        <v>5.7132048897111094</v>
      </c>
      <c r="L313" s="337">
        <f t="shared" si="154"/>
        <v>1.3948569331234717</v>
      </c>
      <c r="M313" s="325">
        <f t="shared" si="134"/>
        <v>1.0111447557249293</v>
      </c>
      <c r="N313" s="337">
        <f t="shared" si="135"/>
        <v>0.14860838446769264</v>
      </c>
      <c r="O313" s="343">
        <f t="shared" si="136"/>
        <v>1.0080488513695165</v>
      </c>
      <c r="P313" s="691">
        <f t="shared" si="137"/>
        <v>0.12645341368006682</v>
      </c>
      <c r="Q313" s="336">
        <f t="shared" si="152"/>
        <v>15.150134423056121</v>
      </c>
      <c r="R313" s="692">
        <f t="shared" si="138"/>
        <v>5.9270629135672395E-2</v>
      </c>
      <c r="S313" s="329">
        <f t="shared" si="139"/>
        <v>0.9965423790297474</v>
      </c>
      <c r="T313" s="330">
        <f t="shared" si="140"/>
        <v>0.18937216975402607</v>
      </c>
      <c r="U313" s="331">
        <f t="shared" si="141"/>
        <v>5.1727871510561707</v>
      </c>
      <c r="V313" s="332">
        <f t="shared" si="142"/>
        <v>-111.85930681655255</v>
      </c>
      <c r="W313" s="334">
        <f t="shared" si="143"/>
        <v>68.140693183447453</v>
      </c>
      <c r="Y313" s="307">
        <f t="shared" si="144"/>
        <v>1000000000</v>
      </c>
      <c r="Z313" s="307">
        <f t="shared" si="145"/>
        <v>478646884</v>
      </c>
      <c r="AB313" s="333">
        <f t="shared" si="146"/>
        <v>23.489242982454709</v>
      </c>
      <c r="AC313" s="334">
        <f t="shared" si="147"/>
        <v>-18.593244822621454</v>
      </c>
      <c r="AE313" s="333">
        <f t="shared" si="148"/>
        <v>39.201642397991712</v>
      </c>
      <c r="AF313" s="334">
        <f t="shared" si="149"/>
        <v>-97.115352008660082</v>
      </c>
      <c r="AH313">
        <f t="shared" si="150"/>
        <v>0</v>
      </c>
      <c r="AI313">
        <f t="shared" si="155"/>
        <v>0</v>
      </c>
    </row>
    <row r="314" spans="1:35" x14ac:dyDescent="0.25">
      <c r="A314" s="335">
        <v>22005.25</v>
      </c>
      <c r="B314" s="352">
        <f t="shared" si="151"/>
        <v>22.00525</v>
      </c>
      <c r="C314" s="325">
        <f t="shared" si="126"/>
        <v>26.685531646420319</v>
      </c>
      <c r="D314" s="326">
        <f t="shared" si="127"/>
        <v>1.5333140609358622</v>
      </c>
      <c r="E314" s="326">
        <f t="shared" si="128"/>
        <v>1.0003822604320691</v>
      </c>
      <c r="F314" s="327">
        <f t="shared" si="129"/>
        <v>2.7645567549911342E-2</v>
      </c>
      <c r="G314" s="326">
        <f t="shared" si="130"/>
        <v>1</v>
      </c>
      <c r="H314" s="327">
        <f t="shared" si="131"/>
        <v>0</v>
      </c>
      <c r="I314" s="325">
        <f t="shared" si="132"/>
        <v>29206.81671545111</v>
      </c>
      <c r="J314" s="328">
        <f t="shared" si="133"/>
        <v>1.5707620882125157</v>
      </c>
      <c r="K314" s="336">
        <f t="shared" si="153"/>
        <v>5.7454196623842702</v>
      </c>
      <c r="L314" s="337">
        <f t="shared" si="154"/>
        <v>1.3958536499734235</v>
      </c>
      <c r="M314" s="325">
        <f t="shared" si="134"/>
        <v>1.0112740514388414</v>
      </c>
      <c r="N314" s="337">
        <f t="shared" si="135"/>
        <v>0.149459963521138</v>
      </c>
      <c r="O314" s="343">
        <f t="shared" si="136"/>
        <v>1.008142374234043</v>
      </c>
      <c r="P314" s="691">
        <f t="shared" si="137"/>
        <v>0.12718102735674416</v>
      </c>
      <c r="Q314" s="336">
        <f t="shared" si="152"/>
        <v>15.150435633512364</v>
      </c>
      <c r="R314" s="692">
        <f t="shared" si="138"/>
        <v>5.9614588727547685E-2</v>
      </c>
      <c r="S314" s="329">
        <f t="shared" si="139"/>
        <v>0.99650464982980314</v>
      </c>
      <c r="T314" s="330">
        <f t="shared" si="140"/>
        <v>0.19049440204717319</v>
      </c>
      <c r="U314" s="331">
        <f t="shared" si="141"/>
        <v>5.1208395265029658</v>
      </c>
      <c r="V314" s="332">
        <f t="shared" si="142"/>
        <v>-111.89664406095055</v>
      </c>
      <c r="W314" s="334">
        <f t="shared" si="143"/>
        <v>68.10335593904945</v>
      </c>
      <c r="Y314" s="307">
        <f t="shared" si="144"/>
        <v>1000000000</v>
      </c>
      <c r="Z314" s="307">
        <f t="shared" si="145"/>
        <v>484231027.5625</v>
      </c>
      <c r="AB314" s="333">
        <f t="shared" si="146"/>
        <v>23.486597747287949</v>
      </c>
      <c r="AC314" s="334">
        <f t="shared" si="147"/>
        <v>-18.584940449501442</v>
      </c>
      <c r="AE314" s="333">
        <f t="shared" si="148"/>
        <v>39.151706891368228</v>
      </c>
      <c r="AF314" s="334">
        <f t="shared" si="149"/>
        <v>-97.182975386055318</v>
      </c>
      <c r="AH314">
        <f t="shared" si="150"/>
        <v>0</v>
      </c>
      <c r="AI314">
        <f t="shared" si="155"/>
        <v>0</v>
      </c>
    </row>
    <row r="315" spans="1:35" x14ac:dyDescent="0.25">
      <c r="A315" s="335">
        <v>22132.5</v>
      </c>
      <c r="B315" s="352">
        <f t="shared" si="151"/>
        <v>22.1325</v>
      </c>
      <c r="C315" s="325">
        <f t="shared" si="126"/>
        <v>26.839630286037842</v>
      </c>
      <c r="D315" s="326">
        <f t="shared" si="127"/>
        <v>1.5335293638025087</v>
      </c>
      <c r="E315" s="326">
        <f t="shared" si="128"/>
        <v>1.0003866933610006</v>
      </c>
      <c r="F315" s="327">
        <f t="shared" si="129"/>
        <v>2.7805351726209428E-2</v>
      </c>
      <c r="G315" s="326">
        <f t="shared" si="130"/>
        <v>1</v>
      </c>
      <c r="H315" s="327">
        <f t="shared" si="131"/>
        <v>0</v>
      </c>
      <c r="I315" s="325">
        <f t="shared" si="132"/>
        <v>29375.711293912922</v>
      </c>
      <c r="J315" s="328">
        <f t="shared" si="133"/>
        <v>1.5707622850659939</v>
      </c>
      <c r="K315" s="336">
        <f t="shared" si="153"/>
        <v>5.7776400791593616</v>
      </c>
      <c r="L315" s="337">
        <f t="shared" si="154"/>
        <v>1.3968392509250005</v>
      </c>
      <c r="M315" s="325">
        <f t="shared" si="134"/>
        <v>1.011404080327619</v>
      </c>
      <c r="N315" s="337">
        <f t="shared" si="135"/>
        <v>0.15031132422915902</v>
      </c>
      <c r="O315" s="343">
        <f t="shared" si="136"/>
        <v>1.0082364307317997</v>
      </c>
      <c r="P315" s="691">
        <f t="shared" si="137"/>
        <v>0.12790850566305659</v>
      </c>
      <c r="Q315" s="336">
        <f t="shared" si="152"/>
        <v>15.150738584797153</v>
      </c>
      <c r="R315" s="692">
        <f t="shared" si="138"/>
        <v>5.99585348064096E-2</v>
      </c>
      <c r="S315" s="329">
        <f t="shared" si="139"/>
        <v>0.99646676273170576</v>
      </c>
      <c r="T315" s="330">
        <f t="shared" si="140"/>
        <v>0.19161699299752505</v>
      </c>
      <c r="U315" s="331">
        <f t="shared" si="141"/>
        <v>5.0692059872709505</v>
      </c>
      <c r="V315" s="332">
        <f t="shared" si="142"/>
        <v>-111.93448987274634</v>
      </c>
      <c r="W315" s="334">
        <f t="shared" si="143"/>
        <v>68.06551012725366</v>
      </c>
      <c r="Y315" s="307">
        <f t="shared" si="144"/>
        <v>1000000000</v>
      </c>
      <c r="Z315" s="307">
        <f t="shared" si="145"/>
        <v>489847556.25</v>
      </c>
      <c r="AB315" s="333">
        <f t="shared" si="146"/>
        <v>23.483972222909021</v>
      </c>
      <c r="AC315" s="334">
        <f t="shared" si="147"/>
        <v>-18.577260328969579</v>
      </c>
      <c r="AE315" s="333">
        <f t="shared" si="148"/>
        <v>39.102062231391834</v>
      </c>
      <c r="AF315" s="334">
        <f t="shared" si="149"/>
        <v>-97.250476096348251</v>
      </c>
      <c r="AH315">
        <f t="shared" si="150"/>
        <v>0</v>
      </c>
      <c r="AI315">
        <f t="shared" si="155"/>
        <v>0</v>
      </c>
    </row>
    <row r="316" spans="1:35" x14ac:dyDescent="0.25">
      <c r="A316" s="335">
        <v>22259.75</v>
      </c>
      <c r="B316" s="352">
        <f t="shared" si="151"/>
        <v>22.25975</v>
      </c>
      <c r="C316" s="325">
        <f t="shared" si="126"/>
        <v>26.993730155610077</v>
      </c>
      <c r="D316" s="326">
        <f t="shared" si="127"/>
        <v>1.5337422084678194</v>
      </c>
      <c r="E316" s="326">
        <f t="shared" si="128"/>
        <v>1.0003911518305608</v>
      </c>
      <c r="F316" s="327">
        <f t="shared" si="129"/>
        <v>2.7965134482358208E-2</v>
      </c>
      <c r="G316" s="326">
        <f t="shared" si="130"/>
        <v>1</v>
      </c>
      <c r="H316" s="327">
        <f t="shared" si="131"/>
        <v>0</v>
      </c>
      <c r="I316" s="325">
        <f t="shared" si="132"/>
        <v>29544.605872375865</v>
      </c>
      <c r="J316" s="328">
        <f t="shared" si="133"/>
        <v>1.5707624796688084</v>
      </c>
      <c r="K316" s="336">
        <f t="shared" si="153"/>
        <v>5.8098660461330258</v>
      </c>
      <c r="L316" s="337">
        <f t="shared" si="154"/>
        <v>1.3978139190191123</v>
      </c>
      <c r="M316" s="325">
        <f t="shared" si="134"/>
        <v>1.0115348421085213</v>
      </c>
      <c r="N316" s="337">
        <f t="shared" si="135"/>
        <v>0.15116246544203907</v>
      </c>
      <c r="O316" s="343">
        <f t="shared" si="136"/>
        <v>1.0083310207134557</v>
      </c>
      <c r="P316" s="691">
        <f t="shared" si="137"/>
        <v>0.12863584786699517</v>
      </c>
      <c r="Q316" s="336">
        <f t="shared" si="152"/>
        <v>15.151043276806156</v>
      </c>
      <c r="R316" s="692">
        <f t="shared" si="138"/>
        <v>6.0302467295203076E-2</v>
      </c>
      <c r="S316" s="329">
        <f t="shared" si="139"/>
        <v>0.99642871879918571</v>
      </c>
      <c r="T316" s="330">
        <f t="shared" si="140"/>
        <v>0.19273994459265051</v>
      </c>
      <c r="U316" s="331">
        <f t="shared" si="141"/>
        <v>5.0178826488741093</v>
      </c>
      <c r="V316" s="332">
        <f t="shared" si="142"/>
        <v>-111.97283630570304</v>
      </c>
      <c r="W316" s="334">
        <f t="shared" si="143"/>
        <v>68.027163694296959</v>
      </c>
      <c r="Y316" s="307">
        <f t="shared" si="144"/>
        <v>1000000000</v>
      </c>
      <c r="Z316" s="307">
        <f t="shared" si="145"/>
        <v>495496470.0625</v>
      </c>
      <c r="AB316" s="333">
        <f t="shared" si="146"/>
        <v>23.481365838966862</v>
      </c>
      <c r="AC316" s="334">
        <f t="shared" si="147"/>
        <v>-18.570193909930474</v>
      </c>
      <c r="AE316" s="333">
        <f t="shared" si="148"/>
        <v>39.052705106366986</v>
      </c>
      <c r="AF316" s="334">
        <f t="shared" si="149"/>
        <v>-97.317856706871297</v>
      </c>
      <c r="AH316">
        <f t="shared" si="150"/>
        <v>0</v>
      </c>
      <c r="AI316">
        <f t="shared" si="155"/>
        <v>0</v>
      </c>
    </row>
    <row r="317" spans="1:35" x14ac:dyDescent="0.25">
      <c r="A317" s="335">
        <v>22387</v>
      </c>
      <c r="B317" s="352">
        <f t="shared" si="151"/>
        <v>22.387</v>
      </c>
      <c r="C317" s="325">
        <f t="shared" si="126"/>
        <v>27.147831234192154</v>
      </c>
      <c r="D317" s="326">
        <f t="shared" si="127"/>
        <v>1.5339526367733085</v>
      </c>
      <c r="E317" s="326">
        <f t="shared" si="128"/>
        <v>1.0003956358404087</v>
      </c>
      <c r="F317" s="327">
        <f t="shared" si="129"/>
        <v>2.8124915810218056E-2</v>
      </c>
      <c r="G317" s="326">
        <f t="shared" si="130"/>
        <v>1</v>
      </c>
      <c r="H317" s="327">
        <f t="shared" si="131"/>
        <v>0</v>
      </c>
      <c r="I317" s="325">
        <f t="shared" si="132"/>
        <v>29713.500450839911</v>
      </c>
      <c r="J317" s="328">
        <f t="shared" si="133"/>
        <v>1.5707626720593382</v>
      </c>
      <c r="K317" s="336">
        <f t="shared" si="153"/>
        <v>5.8420974714578477</v>
      </c>
      <c r="L317" s="337">
        <f t="shared" si="154"/>
        <v>1.3987778333413849</v>
      </c>
      <c r="M317" s="325">
        <f t="shared" si="134"/>
        <v>1.0116663364973613</v>
      </c>
      <c r="N317" s="337">
        <f t="shared" si="135"/>
        <v>0.15201338601192624</v>
      </c>
      <c r="O317" s="343">
        <f t="shared" si="136"/>
        <v>1.0084261440288891</v>
      </c>
      <c r="P317" s="691">
        <f t="shared" si="137"/>
        <v>0.12936305323740085</v>
      </c>
      <c r="Q317" s="336">
        <f t="shared" si="152"/>
        <v>15.151349709434447</v>
      </c>
      <c r="R317" s="692">
        <f t="shared" si="138"/>
        <v>6.0646386116891722E-2</v>
      </c>
      <c r="S317" s="329">
        <f t="shared" si="139"/>
        <v>0.99639051910229914</v>
      </c>
      <c r="T317" s="330">
        <f t="shared" si="140"/>
        <v>0.1938632588184652</v>
      </c>
      <c r="U317" s="331">
        <f t="shared" si="141"/>
        <v>4.9668656987693769</v>
      </c>
      <c r="V317" s="332">
        <f t="shared" si="142"/>
        <v>-112.01167558447355</v>
      </c>
      <c r="W317" s="334">
        <f t="shared" si="143"/>
        <v>67.988324415526449</v>
      </c>
      <c r="Y317" s="307">
        <f t="shared" si="144"/>
        <v>1000000000</v>
      </c>
      <c r="Z317" s="307">
        <f t="shared" si="145"/>
        <v>501177769</v>
      </c>
      <c r="AB317" s="333">
        <f t="shared" si="146"/>
        <v>23.478778040955945</v>
      </c>
      <c r="AC317" s="334">
        <f t="shared" si="147"/>
        <v>-18.563730867965418</v>
      </c>
      <c r="AE317" s="333">
        <f t="shared" si="148"/>
        <v>39.003632260708066</v>
      </c>
      <c r="AF317" s="334">
        <f t="shared" si="149"/>
        <v>-97.385119729217593</v>
      </c>
      <c r="AH317">
        <f t="shared" si="150"/>
        <v>0</v>
      </c>
      <c r="AI317">
        <f t="shared" si="155"/>
        <v>0</v>
      </c>
    </row>
    <row r="318" spans="1:35" x14ac:dyDescent="0.25">
      <c r="A318" s="335">
        <v>22517.5</v>
      </c>
      <c r="B318" s="352">
        <f t="shared" si="151"/>
        <v>22.517499999999998</v>
      </c>
      <c r="C318" s="325">
        <f t="shared" si="126"/>
        <v>27.305869330987367</v>
      </c>
      <c r="D318" s="326">
        <f t="shared" si="127"/>
        <v>1.5341659725892476</v>
      </c>
      <c r="E318" s="326">
        <f t="shared" si="128"/>
        <v>1.0004002608998179</v>
      </c>
      <c r="F318" s="327">
        <f t="shared" si="129"/>
        <v>2.8288776505140403E-2</v>
      </c>
      <c r="G318" s="326">
        <f t="shared" si="130"/>
        <v>1</v>
      </c>
      <c r="H318" s="327">
        <f t="shared" si="131"/>
        <v>0</v>
      </c>
      <c r="I318" s="325">
        <f t="shared" si="132"/>
        <v>29886.708643293361</v>
      </c>
      <c r="J318" s="328">
        <f t="shared" si="133"/>
        <v>1.5707628671051019</v>
      </c>
      <c r="K318" s="336">
        <f t="shared" si="153"/>
        <v>5.8751576713940397</v>
      </c>
      <c r="L318" s="337">
        <f t="shared" si="154"/>
        <v>1.3997553805701795</v>
      </c>
      <c r="M318" s="325">
        <f t="shared" si="134"/>
        <v>1.0118019499032489</v>
      </c>
      <c r="N318" s="337">
        <f t="shared" si="135"/>
        <v>0.15288580895895693</v>
      </c>
      <c r="O318" s="343">
        <f t="shared" si="136"/>
        <v>1.0085242506018433</v>
      </c>
      <c r="P318" s="691">
        <f t="shared" si="137"/>
        <v>0.13010868874769979</v>
      </c>
      <c r="Q318" s="336">
        <f t="shared" si="152"/>
        <v>15.151665776196657</v>
      </c>
      <c r="R318" s="692">
        <f t="shared" si="138"/>
        <v>6.099907444405183E-2</v>
      </c>
      <c r="S318" s="329">
        <f t="shared" si="139"/>
        <v>0.99635118311961324</v>
      </c>
      <c r="T318" s="330">
        <f t="shared" si="140"/>
        <v>0.19501564151851492</v>
      </c>
      <c r="U318" s="331">
        <f t="shared" si="141"/>
        <v>4.914860068204093</v>
      </c>
      <c r="V318" s="332">
        <f t="shared" si="142"/>
        <v>-112.05201074770582</v>
      </c>
      <c r="W318" s="334">
        <f t="shared" si="143"/>
        <v>67.947989252294178</v>
      </c>
      <c r="Y318" s="307">
        <f t="shared" si="144"/>
        <v>1000000000</v>
      </c>
      <c r="Z318" s="307">
        <f t="shared" si="145"/>
        <v>507037806.25</v>
      </c>
      <c r="AB318" s="333">
        <f t="shared" si="146"/>
        <v>23.476142889223141</v>
      </c>
      <c r="AC318" s="334">
        <f t="shared" si="147"/>
        <v>-18.557718865588214</v>
      </c>
      <c r="AE318" s="333">
        <f t="shared" si="148"/>
        <v>38.953597991669824</v>
      </c>
      <c r="AF318" s="334">
        <f t="shared" si="149"/>
        <v>-97.453981110018162</v>
      </c>
      <c r="AH318">
        <f t="shared" si="150"/>
        <v>0</v>
      </c>
      <c r="AI318">
        <f t="shared" si="155"/>
        <v>0</v>
      </c>
    </row>
    <row r="319" spans="1:35" x14ac:dyDescent="0.25">
      <c r="A319" s="335">
        <v>22648</v>
      </c>
      <c r="B319" s="352">
        <f t="shared" si="151"/>
        <v>22.648</v>
      </c>
      <c r="C319" s="325">
        <f t="shared" si="126"/>
        <v>27.463908656229389</v>
      </c>
      <c r="D319" s="326">
        <f t="shared" si="127"/>
        <v>1.5343768531597741</v>
      </c>
      <c r="E319" s="326">
        <f t="shared" si="128"/>
        <v>1.0004049128200527</v>
      </c>
      <c r="F319" s="327">
        <f t="shared" si="129"/>
        <v>2.8452635680545683E-2</v>
      </c>
      <c r="G319" s="326">
        <f t="shared" si="130"/>
        <v>1</v>
      </c>
      <c r="H319" s="327">
        <f t="shared" si="131"/>
        <v>0</v>
      </c>
      <c r="I319" s="325">
        <f t="shared" si="132"/>
        <v>30059.916835747932</v>
      </c>
      <c r="J319" s="328">
        <f t="shared" si="133"/>
        <v>1.5707630599031202</v>
      </c>
      <c r="K319" s="336">
        <f t="shared" si="153"/>
        <v>5.9082234227885335</v>
      </c>
      <c r="L319" s="337">
        <f t="shared" si="154"/>
        <v>1.4007219869025156</v>
      </c>
      <c r="M319" s="325">
        <f t="shared" si="134"/>
        <v>1.0119383332069058</v>
      </c>
      <c r="N319" s="337">
        <f t="shared" si="135"/>
        <v>0.15375799740925666</v>
      </c>
      <c r="O319" s="343">
        <f t="shared" si="136"/>
        <v>1.0086229177770987</v>
      </c>
      <c r="P319" s="691">
        <f t="shared" si="137"/>
        <v>0.13085417879082886</v>
      </c>
      <c r="Q319" s="336">
        <f t="shared" si="152"/>
        <v>15.151983673399927</v>
      </c>
      <c r="R319" s="692">
        <f t="shared" si="138"/>
        <v>6.1351748233016735E-2</v>
      </c>
      <c r="S319" s="329">
        <f t="shared" si="139"/>
        <v>0.99631168561442163</v>
      </c>
      <c r="T319" s="330">
        <f t="shared" si="140"/>
        <v>0.19616840983442979</v>
      </c>
      <c r="U319" s="331">
        <f t="shared" si="141"/>
        <v>4.8631687788167763</v>
      </c>
      <c r="V319" s="332">
        <f t="shared" si="142"/>
        <v>-112.0928482213718</v>
      </c>
      <c r="W319" s="334">
        <f t="shared" si="143"/>
        <v>67.907151778628204</v>
      </c>
      <c r="Y319" s="307">
        <f t="shared" si="144"/>
        <v>1000000000</v>
      </c>
      <c r="Z319" s="307">
        <f t="shared" si="145"/>
        <v>512931904</v>
      </c>
      <c r="AB319" s="333">
        <f t="shared" si="146"/>
        <v>23.473526152562982</v>
      </c>
      <c r="AC319" s="334">
        <f t="shared" si="147"/>
        <v>-18.552320165943541</v>
      </c>
      <c r="AE319" s="333">
        <f t="shared" si="148"/>
        <v>38.903855948750845</v>
      </c>
      <c r="AF319" s="334">
        <f t="shared" si="149"/>
        <v>-97.522723996842316</v>
      </c>
      <c r="AH319">
        <f t="shared" si="150"/>
        <v>0</v>
      </c>
      <c r="AI319">
        <f t="shared" si="155"/>
        <v>0</v>
      </c>
    </row>
    <row r="320" spans="1:35" x14ac:dyDescent="0.25">
      <c r="A320" s="335">
        <v>22778.5</v>
      </c>
      <c r="B320" s="352">
        <f t="shared" si="151"/>
        <v>22.778500000000001</v>
      </c>
      <c r="C320" s="325">
        <f t="shared" si="126"/>
        <v>27.621949188832502</v>
      </c>
      <c r="D320" s="326">
        <f t="shared" si="127"/>
        <v>1.5345853206094426</v>
      </c>
      <c r="E320" s="326">
        <f t="shared" si="128"/>
        <v>1.0004095916007387</v>
      </c>
      <c r="F320" s="327">
        <f t="shared" si="129"/>
        <v>2.8616493327655961E-2</v>
      </c>
      <c r="G320" s="326">
        <f t="shared" si="130"/>
        <v>1</v>
      </c>
      <c r="H320" s="327">
        <f t="shared" si="131"/>
        <v>0</v>
      </c>
      <c r="I320" s="325">
        <f t="shared" si="132"/>
        <v>30233.125028203613</v>
      </c>
      <c r="J320" s="328">
        <f t="shared" si="133"/>
        <v>1.5707632504920253</v>
      </c>
      <c r="K320" s="336">
        <f t="shared" si="153"/>
        <v>5.9412946329528751</v>
      </c>
      <c r="L320" s="337">
        <f t="shared" si="154"/>
        <v>1.4016778332188329</v>
      </c>
      <c r="M320" s="325">
        <f t="shared" si="134"/>
        <v>1.0120754860970869</v>
      </c>
      <c r="N320" s="337">
        <f t="shared" si="135"/>
        <v>0.1546299501309247</v>
      </c>
      <c r="O320" s="343">
        <f t="shared" si="136"/>
        <v>1.0087221453901514</v>
      </c>
      <c r="P320" s="691">
        <f t="shared" si="137"/>
        <v>0.1315995225809761</v>
      </c>
      <c r="Q320" s="336">
        <f t="shared" si="152"/>
        <v>15.152303400929153</v>
      </c>
      <c r="R320" s="692">
        <f t="shared" si="138"/>
        <v>6.170440740075725E-2</v>
      </c>
      <c r="S320" s="329">
        <f t="shared" si="139"/>
        <v>0.99627202776163004</v>
      </c>
      <c r="T320" s="330">
        <f t="shared" si="140"/>
        <v>0.19732156590269703</v>
      </c>
      <c r="U320" s="331">
        <f t="shared" si="141"/>
        <v>4.8117879426280847</v>
      </c>
      <c r="V320" s="332">
        <f t="shared" si="142"/>
        <v>-112.13418015015685</v>
      </c>
      <c r="W320" s="334">
        <f t="shared" si="143"/>
        <v>67.865819849843149</v>
      </c>
      <c r="Y320" s="307">
        <f t="shared" si="144"/>
        <v>1000000000</v>
      </c>
      <c r="Z320" s="307">
        <f t="shared" si="145"/>
        <v>518860062.25</v>
      </c>
      <c r="AB320" s="333">
        <f t="shared" si="146"/>
        <v>23.470927281479035</v>
      </c>
      <c r="AC320" s="334">
        <f t="shared" si="147"/>
        <v>-18.547524336976366</v>
      </c>
      <c r="AE320" s="333">
        <f t="shared" si="148"/>
        <v>38.854402796153529</v>
      </c>
      <c r="AF320" s="334">
        <f t="shared" si="149"/>
        <v>-97.591350926163841</v>
      </c>
      <c r="AH320">
        <f t="shared" si="150"/>
        <v>0</v>
      </c>
      <c r="AI320">
        <f t="shared" si="155"/>
        <v>0</v>
      </c>
    </row>
    <row r="321" spans="1:35" x14ac:dyDescent="0.25">
      <c r="A321" s="335">
        <v>22909</v>
      </c>
      <c r="B321" s="352">
        <f t="shared" si="151"/>
        <v>22.908999999999999</v>
      </c>
      <c r="C321" s="325">
        <f t="shared" si="126"/>
        <v>27.779990908190651</v>
      </c>
      <c r="D321" s="326">
        <f t="shared" si="127"/>
        <v>1.5347914161050633</v>
      </c>
      <c r="E321" s="326">
        <f t="shared" si="128"/>
        <v>1.0004142972414987</v>
      </c>
      <c r="F321" s="327">
        <f t="shared" si="129"/>
        <v>2.8780349437693819E-2</v>
      </c>
      <c r="G321" s="326">
        <f t="shared" si="130"/>
        <v>1</v>
      </c>
      <c r="H321" s="327">
        <f t="shared" si="131"/>
        <v>0</v>
      </c>
      <c r="I321" s="325">
        <f t="shared" si="132"/>
        <v>30406.333220660377</v>
      </c>
      <c r="J321" s="328">
        <f t="shared" si="133"/>
        <v>1.5707634389095695</v>
      </c>
      <c r="K321" s="336">
        <f t="shared" si="153"/>
        <v>5.9743712112357867</v>
      </c>
      <c r="L321" s="337">
        <f t="shared" si="154"/>
        <v>1.4026230964734989</v>
      </c>
      <c r="M321" s="325">
        <f t="shared" si="134"/>
        <v>1.0122134082609593</v>
      </c>
      <c r="N321" s="337">
        <f t="shared" si="135"/>
        <v>0.15550166589416003</v>
      </c>
      <c r="O321" s="343">
        <f t="shared" si="136"/>
        <v>1.008821933275627</v>
      </c>
      <c r="P321" s="691">
        <f t="shared" si="137"/>
        <v>0.1323447193332879</v>
      </c>
      <c r="Q321" s="336">
        <f t="shared" si="152"/>
        <v>15.152624958668573</v>
      </c>
      <c r="R321" s="692">
        <f t="shared" si="138"/>
        <v>6.2057051864265314E-2</v>
      </c>
      <c r="S321" s="329">
        <f t="shared" si="139"/>
        <v>0.99623221074315393</v>
      </c>
      <c r="T321" s="330">
        <f t="shared" si="140"/>
        <v>0.198475111857912</v>
      </c>
      <c r="U321" s="331">
        <f t="shared" si="141"/>
        <v>4.760713743620145</v>
      </c>
      <c r="V321" s="332">
        <f t="shared" si="142"/>
        <v>-112.17599884872664</v>
      </c>
      <c r="W321" s="334">
        <f t="shared" si="143"/>
        <v>67.824001151273364</v>
      </c>
      <c r="Y321" s="307">
        <f t="shared" si="144"/>
        <v>1000000000</v>
      </c>
      <c r="Z321" s="307">
        <f t="shared" si="145"/>
        <v>524822281</v>
      </c>
      <c r="AB321" s="333">
        <f t="shared" si="146"/>
        <v>23.46834574181532</v>
      </c>
      <c r="AC321" s="334">
        <f t="shared" si="147"/>
        <v>-18.54332117164887</v>
      </c>
      <c r="AE321" s="333">
        <f t="shared" si="148"/>
        <v>38.805235254714965</v>
      </c>
      <c r="AF321" s="334">
        <f t="shared" si="149"/>
        <v>-97.659864379473447</v>
      </c>
      <c r="AH321">
        <f t="shared" si="150"/>
        <v>0</v>
      </c>
      <c r="AI321">
        <f t="shared" si="155"/>
        <v>0</v>
      </c>
    </row>
    <row r="322" spans="1:35" x14ac:dyDescent="0.25">
      <c r="A322" s="335">
        <v>23042.25</v>
      </c>
      <c r="B322" s="352">
        <f t="shared" si="151"/>
        <v>23.042249999999999</v>
      </c>
      <c r="C322" s="325">
        <f t="shared" si="126"/>
        <v>27.941364212214474</v>
      </c>
      <c r="D322" s="326">
        <f t="shared" si="127"/>
        <v>1.5349994489564875</v>
      </c>
      <c r="E322" s="326">
        <f t="shared" si="128"/>
        <v>1.0004191297579401</v>
      </c>
      <c r="F322" s="327">
        <f t="shared" si="129"/>
        <v>2.8947656859145781E-2</v>
      </c>
      <c r="G322" s="326">
        <f t="shared" si="130"/>
        <v>1</v>
      </c>
      <c r="H322" s="327">
        <f t="shared" si="131"/>
        <v>0</v>
      </c>
      <c r="I322" s="325">
        <f t="shared" si="132"/>
        <v>30583.191394185335</v>
      </c>
      <c r="J322" s="328">
        <f t="shared" si="133"/>
        <v>1.5707636290954547</v>
      </c>
      <c r="K322" s="336">
        <f t="shared" si="153"/>
        <v>6.0081502524046693</v>
      </c>
      <c r="L322" s="337">
        <f t="shared" si="154"/>
        <v>1.4035775390138692</v>
      </c>
      <c r="M322" s="325">
        <f t="shared" si="134"/>
        <v>1.0123550302644895</v>
      </c>
      <c r="N322" s="337">
        <f t="shared" si="135"/>
        <v>0.15639150536989088</v>
      </c>
      <c r="O322" s="343">
        <f t="shared" si="136"/>
        <v>1.0089244019047885</v>
      </c>
      <c r="P322" s="691">
        <f t="shared" si="137"/>
        <v>0.13310546693268829</v>
      </c>
      <c r="Q322" s="336">
        <f t="shared" si="152"/>
        <v>15.152955180876001</v>
      </c>
      <c r="R322" s="692">
        <f t="shared" si="138"/>
        <v>6.2417112274427151E-2</v>
      </c>
      <c r="S322" s="329">
        <f t="shared" si="139"/>
        <v>0.99619139167203896</v>
      </c>
      <c r="T322" s="330">
        <f t="shared" si="140"/>
        <v>0.19965337076634385</v>
      </c>
      <c r="U322" s="331">
        <f t="shared" si="141"/>
        <v>4.7088757743604246</v>
      </c>
      <c r="V322" s="332">
        <f t="shared" si="142"/>
        <v>-112.21919323571187</v>
      </c>
      <c r="W322" s="334">
        <f t="shared" si="143"/>
        <v>67.78080676428813</v>
      </c>
      <c r="Y322" s="307">
        <f t="shared" si="144"/>
        <v>1000000000</v>
      </c>
      <c r="Z322" s="307">
        <f t="shared" si="145"/>
        <v>530945285.0625</v>
      </c>
      <c r="AB322" s="333">
        <f t="shared" si="146"/>
        <v>23.465727145457894</v>
      </c>
      <c r="AC322" s="334">
        <f t="shared" si="147"/>
        <v>-18.539630585545765</v>
      </c>
      <c r="AE322" s="333">
        <f t="shared" si="148"/>
        <v>38.755322968678236</v>
      </c>
      <c r="AF322" s="334">
        <f t="shared" si="149"/>
        <v>-97.72970703743637</v>
      </c>
      <c r="AH322">
        <f t="shared" si="150"/>
        <v>0</v>
      </c>
      <c r="AI322">
        <f t="shared" si="155"/>
        <v>0</v>
      </c>
    </row>
    <row r="323" spans="1:35" x14ac:dyDescent="0.25">
      <c r="A323" s="335">
        <v>23175.5</v>
      </c>
      <c r="B323" s="352">
        <f t="shared" si="151"/>
        <v>23.1755</v>
      </c>
      <c r="C323" s="325">
        <f t="shared" si="126"/>
        <v>28.102738711587818</v>
      </c>
      <c r="D323" s="326">
        <f t="shared" si="127"/>
        <v>1.5352050926405261</v>
      </c>
      <c r="E323" s="326">
        <f t="shared" si="128"/>
        <v>1.0004239902776162</v>
      </c>
      <c r="F323" s="327">
        <f t="shared" si="129"/>
        <v>2.9114962659568155E-2</v>
      </c>
      <c r="G323" s="326">
        <f t="shared" si="130"/>
        <v>1</v>
      </c>
      <c r="H323" s="327">
        <f t="shared" si="131"/>
        <v>0</v>
      </c>
      <c r="I323" s="325">
        <f t="shared" si="132"/>
        <v>30760.049567711394</v>
      </c>
      <c r="J323" s="328">
        <f t="shared" si="133"/>
        <v>1.5707638170943523</v>
      </c>
      <c r="K323" s="336">
        <f t="shared" si="153"/>
        <v>6.0419347055599752</v>
      </c>
      <c r="L323" s="337">
        <f t="shared" si="154"/>
        <v>1.4045213085669339</v>
      </c>
      <c r="M323" s="325">
        <f t="shared" si="134"/>
        <v>1.0124974536405862</v>
      </c>
      <c r="N323" s="337">
        <f t="shared" si="135"/>
        <v>0.15728109521056582</v>
      </c>
      <c r="O323" s="343">
        <f t="shared" si="136"/>
        <v>1.0090274543169511</v>
      </c>
      <c r="P323" s="691">
        <f t="shared" si="137"/>
        <v>0.13386605958123152</v>
      </c>
      <c r="Q323" s="336">
        <f t="shared" si="152"/>
        <v>15.153287310995641</v>
      </c>
      <c r="R323" s="692">
        <f t="shared" si="138"/>
        <v>6.2777157179265741E-2</v>
      </c>
      <c r="S323" s="329">
        <f t="shared" si="139"/>
        <v>0.99615040916925301</v>
      </c>
      <c r="T323" s="330">
        <f t="shared" si="140"/>
        <v>0.20083204065868798</v>
      </c>
      <c r="U323" s="331">
        <f t="shared" si="141"/>
        <v>4.6573496826851892</v>
      </c>
      <c r="V323" s="332">
        <f t="shared" si="142"/>
        <v>-112.26287945243938</v>
      </c>
      <c r="W323" s="334">
        <f t="shared" si="143"/>
        <v>67.737120547560622</v>
      </c>
      <c r="Y323" s="307">
        <f t="shared" si="144"/>
        <v>1000000000</v>
      </c>
      <c r="Z323" s="307">
        <f t="shared" si="145"/>
        <v>537103800.25</v>
      </c>
      <c r="AB323" s="333">
        <f t="shared" si="146"/>
        <v>23.463125539870163</v>
      </c>
      <c r="AC323" s="334">
        <f t="shared" si="147"/>
        <v>-18.536537088230443</v>
      </c>
      <c r="AE323" s="333">
        <f t="shared" si="148"/>
        <v>38.705701723233325</v>
      </c>
      <c r="AF323" s="334">
        <f t="shared" si="149"/>
        <v>-97.799436446713173</v>
      </c>
      <c r="AH323">
        <f t="shared" si="150"/>
        <v>0</v>
      </c>
      <c r="AI323">
        <f t="shared" si="155"/>
        <v>0</v>
      </c>
    </row>
    <row r="324" spans="1:35" x14ac:dyDescent="0.25">
      <c r="A324" s="335">
        <v>23308.75</v>
      </c>
      <c r="B324" s="352">
        <f t="shared" si="151"/>
        <v>23.30875</v>
      </c>
      <c r="C324" s="325">
        <f t="shared" si="126"/>
        <v>28.264114385836066</v>
      </c>
      <c r="D324" s="326">
        <f t="shared" si="127"/>
        <v>1.5354083880629228</v>
      </c>
      <c r="E324" s="326">
        <f t="shared" si="128"/>
        <v>1.0004288788001185</v>
      </c>
      <c r="F324" s="327">
        <f t="shared" si="129"/>
        <v>2.9282266829618438E-2</v>
      </c>
      <c r="G324" s="326">
        <f t="shared" si="130"/>
        <v>1</v>
      </c>
      <c r="H324" s="327">
        <f t="shared" si="131"/>
        <v>0</v>
      </c>
      <c r="I324" s="325">
        <f t="shared" si="132"/>
        <v>30936.907741238523</v>
      </c>
      <c r="J324" s="328">
        <f t="shared" si="133"/>
        <v>1.5707640029437691</v>
      </c>
      <c r="K324" s="336">
        <f t="shared" si="153"/>
        <v>6.075724480420619</v>
      </c>
      <c r="L324" s="337">
        <f t="shared" si="154"/>
        <v>1.4054545815088046</v>
      </c>
      <c r="M324" s="325">
        <f t="shared" si="134"/>
        <v>1.0126406780511215</v>
      </c>
      <c r="N324" s="337">
        <f t="shared" si="135"/>
        <v>0.15817043411382389</v>
      </c>
      <c r="O324" s="343">
        <f t="shared" si="136"/>
        <v>1.0091310903332666</v>
      </c>
      <c r="P324" s="691">
        <f t="shared" si="137"/>
        <v>0.13462649644651623</v>
      </c>
      <c r="Q324" s="336">
        <f t="shared" si="152"/>
        <v>15.153621348902153</v>
      </c>
      <c r="R324" s="692">
        <f t="shared" si="138"/>
        <v>6.3137186490482944E-2</v>
      </c>
      <c r="S324" s="329">
        <f t="shared" si="139"/>
        <v>0.99610926451566117</v>
      </c>
      <c r="T324" s="330">
        <f t="shared" si="140"/>
        <v>0.20201112380113698</v>
      </c>
      <c r="U324" s="331">
        <f t="shared" si="141"/>
        <v>4.6061316270948378</v>
      </c>
      <c r="V324" s="332">
        <f t="shared" si="142"/>
        <v>-112.30704983757053</v>
      </c>
      <c r="W324" s="334">
        <f t="shared" si="143"/>
        <v>67.692950162429469</v>
      </c>
      <c r="Y324" s="307">
        <f t="shared" si="144"/>
        <v>1000000000</v>
      </c>
      <c r="Z324" s="307">
        <f t="shared" si="145"/>
        <v>543297826.5625</v>
      </c>
      <c r="AB324" s="333">
        <f t="shared" si="146"/>
        <v>23.460540402732569</v>
      </c>
      <c r="AC324" s="334">
        <f t="shared" si="147"/>
        <v>-18.534030501625313</v>
      </c>
      <c r="AE324" s="333">
        <f t="shared" si="148"/>
        <v>38.656368202117392</v>
      </c>
      <c r="AF324" s="334">
        <f t="shared" si="149"/>
        <v>-97.869055081408916</v>
      </c>
      <c r="AH324">
        <f t="shared" si="150"/>
        <v>0</v>
      </c>
      <c r="AI324">
        <f t="shared" si="155"/>
        <v>0</v>
      </c>
    </row>
    <row r="325" spans="1:35" x14ac:dyDescent="0.25">
      <c r="A325" s="335">
        <v>23442</v>
      </c>
      <c r="B325" s="352">
        <f t="shared" si="151"/>
        <v>23.442</v>
      </c>
      <c r="C325" s="325">
        <f t="shared" si="126"/>
        <v>28.425491214949414</v>
      </c>
      <c r="D325" s="326">
        <f t="shared" si="127"/>
        <v>1.5356093752012907</v>
      </c>
      <c r="E325" s="326">
        <f t="shared" si="128"/>
        <v>1.0004337953250366</v>
      </c>
      <c r="F325" s="327">
        <f t="shared" si="129"/>
        <v>2.9449569359954682E-2</v>
      </c>
      <c r="G325" s="326">
        <f t="shared" si="130"/>
        <v>1</v>
      </c>
      <c r="H325" s="327">
        <f t="shared" si="131"/>
        <v>0</v>
      </c>
      <c r="I325" s="325">
        <f t="shared" si="132"/>
        <v>31113.765914766711</v>
      </c>
      <c r="J325" s="328">
        <f t="shared" si="133"/>
        <v>1.5707641866803599</v>
      </c>
      <c r="K325" s="336">
        <f t="shared" si="153"/>
        <v>6.1095194886887114</v>
      </c>
      <c r="L325" s="337">
        <f t="shared" si="154"/>
        <v>1.4063775303871378</v>
      </c>
      <c r="M325" s="325">
        <f t="shared" si="134"/>
        <v>1.0127847031562569</v>
      </c>
      <c r="N325" s="337">
        <f t="shared" si="135"/>
        <v>0.15905952077962643</v>
      </c>
      <c r="O325" s="343">
        <f t="shared" si="136"/>
        <v>1.0092353097739493</v>
      </c>
      <c r="P325" s="691">
        <f t="shared" si="137"/>
        <v>0.13538677669720262</v>
      </c>
      <c r="Q325" s="336">
        <f t="shared" si="152"/>
        <v>15.153957294469489</v>
      </c>
      <c r="R325" s="692">
        <f t="shared" si="138"/>
        <v>6.3497200119804073E-2</v>
      </c>
      <c r="S325" s="329">
        <f t="shared" si="139"/>
        <v>0.99606795899976286</v>
      </c>
      <c r="T325" s="330">
        <f t="shared" si="140"/>
        <v>0.20319062245775507</v>
      </c>
      <c r="U325" s="331">
        <f t="shared" si="141"/>
        <v>4.5552178368394873</v>
      </c>
      <c r="V325" s="332">
        <f t="shared" si="142"/>
        <v>-112.35169689584593</v>
      </c>
      <c r="W325" s="334">
        <f t="shared" si="143"/>
        <v>67.648303104154067</v>
      </c>
      <c r="Y325" s="307">
        <f t="shared" si="144"/>
        <v>1000000000</v>
      </c>
      <c r="Z325" s="307">
        <f t="shared" si="145"/>
        <v>549527364</v>
      </c>
      <c r="AB325" s="333">
        <f t="shared" si="146"/>
        <v>23.457971226317269</v>
      </c>
      <c r="AC325" s="334">
        <f t="shared" si="147"/>
        <v>-18.532100867091323</v>
      </c>
      <c r="AE325" s="333">
        <f t="shared" si="148"/>
        <v>38.607319145240275</v>
      </c>
      <c r="AF325" s="334">
        <f t="shared" si="149"/>
        <v>-97.938565362328688</v>
      </c>
      <c r="AH325">
        <f t="shared" si="150"/>
        <v>0</v>
      </c>
      <c r="AI325">
        <f t="shared" si="155"/>
        <v>0</v>
      </c>
    </row>
    <row r="326" spans="1:35" x14ac:dyDescent="0.25">
      <c r="A326" s="335">
        <v>23578.5</v>
      </c>
      <c r="B326" s="352">
        <f t="shared" si="151"/>
        <v>23.578499999999998</v>
      </c>
      <c r="C326" s="325">
        <f t="shared" si="126"/>
        <v>28.590805241303265</v>
      </c>
      <c r="D326" s="326">
        <f t="shared" si="127"/>
        <v>1.5358129118856108</v>
      </c>
      <c r="E326" s="326">
        <f t="shared" si="128"/>
        <v>1.0004388607999888</v>
      </c>
      <c r="F326" s="327">
        <f t="shared" si="129"/>
        <v>2.9620950729855353E-2</v>
      </c>
      <c r="G326" s="326">
        <f t="shared" si="130"/>
        <v>1</v>
      </c>
      <c r="H326" s="327">
        <f t="shared" si="131"/>
        <v>0</v>
      </c>
      <c r="I326" s="325">
        <f t="shared" si="132"/>
        <v>31294.937702284467</v>
      </c>
      <c r="J326" s="328">
        <f t="shared" si="133"/>
        <v>1.5707643727450218</v>
      </c>
      <c r="K326" s="336">
        <f t="shared" si="153"/>
        <v>6.1441441016113236</v>
      </c>
      <c r="L326" s="337">
        <f t="shared" si="154"/>
        <v>1.4073124618177733</v>
      </c>
      <c r="M326" s="325">
        <f t="shared" si="134"/>
        <v>1.0129330709382682</v>
      </c>
      <c r="N326" s="337">
        <f t="shared" si="135"/>
        <v>0.15997002958888315</v>
      </c>
      <c r="O326" s="343">
        <f t="shared" si="136"/>
        <v>1.0093426759059849</v>
      </c>
      <c r="P326" s="691">
        <f t="shared" si="137"/>
        <v>0.13616543710976478</v>
      </c>
      <c r="Q326" s="336">
        <f t="shared" si="152"/>
        <v>15.154303411719351</v>
      </c>
      <c r="R326" s="692">
        <f t="shared" si="138"/>
        <v>6.3865978216814279E-2</v>
      </c>
      <c r="S326" s="329">
        <f t="shared" si="139"/>
        <v>0.99602548059181506</v>
      </c>
      <c r="T326" s="330">
        <f t="shared" si="140"/>
        <v>0.20439932257818619</v>
      </c>
      <c r="U326" s="331">
        <f t="shared" si="141"/>
        <v>4.5033738652668678</v>
      </c>
      <c r="V326" s="332">
        <f t="shared" si="142"/>
        <v>-112.39791949611357</v>
      </c>
      <c r="W326" s="334">
        <f t="shared" si="143"/>
        <v>67.602080503886427</v>
      </c>
      <c r="Y326" s="307">
        <f t="shared" si="144"/>
        <v>1000000000</v>
      </c>
      <c r="Z326" s="307">
        <f t="shared" si="145"/>
        <v>555945662.25</v>
      </c>
      <c r="AB326" s="333">
        <f t="shared" si="146"/>
        <v>23.455355420568335</v>
      </c>
      <c r="AC326" s="334">
        <f t="shared" si="147"/>
        <v>-18.530712214679927</v>
      </c>
      <c r="AE326" s="333">
        <f t="shared" si="148"/>
        <v>38.557365375904638</v>
      </c>
      <c r="AF326" s="334">
        <f t="shared" si="149"/>
        <v>-98.009661141812728</v>
      </c>
      <c r="AH326">
        <f t="shared" si="150"/>
        <v>0</v>
      </c>
      <c r="AI326">
        <f t="shared" si="155"/>
        <v>0</v>
      </c>
    </row>
    <row r="327" spans="1:35" x14ac:dyDescent="0.25">
      <c r="A327" s="335">
        <v>23715</v>
      </c>
      <c r="B327" s="352">
        <f t="shared" si="151"/>
        <v>23.715</v>
      </c>
      <c r="C327" s="325">
        <f t="shared" si="126"/>
        <v>28.756120438475328</v>
      </c>
      <c r="D327" s="326">
        <f t="shared" si="127"/>
        <v>1.5360141083663226</v>
      </c>
      <c r="E327" s="326">
        <f t="shared" si="128"/>
        <v>1.0004439556591065</v>
      </c>
      <c r="F327" s="327">
        <f t="shared" si="129"/>
        <v>2.979233035923675E-2</v>
      </c>
      <c r="G327" s="326">
        <f t="shared" si="130"/>
        <v>1</v>
      </c>
      <c r="H327" s="327">
        <f t="shared" si="131"/>
        <v>0</v>
      </c>
      <c r="I327" s="325">
        <f t="shared" si="132"/>
        <v>31476.109489803293</v>
      </c>
      <c r="J327" s="328">
        <f t="shared" si="133"/>
        <v>1.5707645566677628</v>
      </c>
      <c r="K327" s="336">
        <f t="shared" si="153"/>
        <v>6.1787740249165157</v>
      </c>
      <c r="L327" s="337">
        <f t="shared" si="154"/>
        <v>1.4082369141046627</v>
      </c>
      <c r="M327" s="325">
        <f t="shared" si="134"/>
        <v>1.0130822782220559</v>
      </c>
      <c r="N327" s="337">
        <f t="shared" si="135"/>
        <v>0.1608802709521491</v>
      </c>
      <c r="O327" s="343">
        <f t="shared" si="136"/>
        <v>1.0094506538842385</v>
      </c>
      <c r="P327" s="691">
        <f t="shared" si="137"/>
        <v>0.13694393141220856</v>
      </c>
      <c r="Q327" s="336">
        <f t="shared" si="152"/>
        <v>15.154651530551451</v>
      </c>
      <c r="R327" s="692">
        <f t="shared" si="138"/>
        <v>6.4234739670179106E-2</v>
      </c>
      <c r="S327" s="329">
        <f t="shared" si="139"/>
        <v>0.99598283614071614</v>
      </c>
      <c r="T327" s="330">
        <f t="shared" si="140"/>
        <v>0.20560846353168025</v>
      </c>
      <c r="U327" s="331">
        <f t="shared" si="141"/>
        <v>4.451841391971378</v>
      </c>
      <c r="V327" s="332">
        <f t="shared" si="142"/>
        <v>-112.44462689844832</v>
      </c>
      <c r="W327" s="334">
        <f t="shared" si="143"/>
        <v>67.55537310155168</v>
      </c>
      <c r="Y327" s="307">
        <f t="shared" si="144"/>
        <v>1000000000</v>
      </c>
      <c r="Z327" s="307">
        <f t="shared" si="145"/>
        <v>562401225</v>
      </c>
      <c r="AB327" s="333">
        <f t="shared" si="146"/>
        <v>23.452755329913927</v>
      </c>
      <c r="AC327" s="334">
        <f t="shared" si="147"/>
        <v>-18.529908526729223</v>
      </c>
      <c r="AE327" s="333">
        <f t="shared" si="148"/>
        <v>38.507703366033496</v>
      </c>
      <c r="AF327" s="334">
        <f t="shared" si="149"/>
        <v>-98.08064819510507</v>
      </c>
      <c r="AH327">
        <f t="shared" si="150"/>
        <v>0</v>
      </c>
      <c r="AI327">
        <f t="shared" si="155"/>
        <v>0</v>
      </c>
    </row>
    <row r="328" spans="1:35" x14ac:dyDescent="0.25">
      <c r="A328" s="335">
        <v>23851.5</v>
      </c>
      <c r="B328" s="352">
        <f t="shared" si="151"/>
        <v>23.851500000000001</v>
      </c>
      <c r="C328" s="325">
        <f t="shared" si="126"/>
        <v>28.921436786388384</v>
      </c>
      <c r="D328" s="326">
        <f t="shared" si="127"/>
        <v>1.5362130047571512</v>
      </c>
      <c r="E328" s="326">
        <f t="shared" si="128"/>
        <v>1.0004490799019414</v>
      </c>
      <c r="F328" s="327">
        <f t="shared" si="129"/>
        <v>2.9963708238058363E-2</v>
      </c>
      <c r="G328" s="326">
        <f t="shared" si="130"/>
        <v>1</v>
      </c>
      <c r="H328" s="327">
        <f t="shared" si="131"/>
        <v>0</v>
      </c>
      <c r="I328" s="325">
        <f t="shared" si="132"/>
        <v>31657.281277323171</v>
      </c>
      <c r="J328" s="328">
        <f t="shared" si="133"/>
        <v>1.5707647384853571</v>
      </c>
      <c r="K328" s="336">
        <f t="shared" si="153"/>
        <v>6.213409169813354</v>
      </c>
      <c r="L328" s="337">
        <f t="shared" si="154"/>
        <v>1.4091510608947002</v>
      </c>
      <c r="M328" s="325">
        <f t="shared" si="134"/>
        <v>1.0132323246367478</v>
      </c>
      <c r="N328" s="337">
        <f t="shared" si="135"/>
        <v>0.16179024347956858</v>
      </c>
      <c r="O328" s="343">
        <f t="shared" si="136"/>
        <v>1.0095592435123883</v>
      </c>
      <c r="P328" s="691">
        <f t="shared" si="137"/>
        <v>0.137722258714367</v>
      </c>
      <c r="Q328" s="336">
        <f t="shared" si="152"/>
        <v>15.155001650827973</v>
      </c>
      <c r="R328" s="692">
        <f t="shared" si="138"/>
        <v>6.4603484385083343E-2</v>
      </c>
      <c r="S328" s="329">
        <f t="shared" si="139"/>
        <v>0.99594002705650864</v>
      </c>
      <c r="T328" s="330">
        <f t="shared" si="140"/>
        <v>0.20681804774496793</v>
      </c>
      <c r="U328" s="331">
        <f t="shared" si="141"/>
        <v>4.4006165831876194</v>
      </c>
      <c r="V328" s="332">
        <f t="shared" si="142"/>
        <v>-112.4918115596242</v>
      </c>
      <c r="W328" s="334">
        <f t="shared" si="143"/>
        <v>67.508188440375804</v>
      </c>
      <c r="Y328" s="307">
        <f t="shared" si="144"/>
        <v>1000000000</v>
      </c>
      <c r="Z328" s="307">
        <f t="shared" si="145"/>
        <v>568894052.25</v>
      </c>
      <c r="AB328" s="333">
        <f t="shared" si="146"/>
        <v>23.450170453125203</v>
      </c>
      <c r="AC328" s="334">
        <f t="shared" si="147"/>
        <v>-18.529679776479167</v>
      </c>
      <c r="AE328" s="333">
        <f t="shared" si="148"/>
        <v>38.458329786289916</v>
      </c>
      <c r="AF328" s="334">
        <f t="shared" si="149"/>
        <v>-98.151528960169571</v>
      </c>
      <c r="AH328">
        <f t="shared" si="150"/>
        <v>0</v>
      </c>
      <c r="AI328">
        <f t="shared" si="155"/>
        <v>0</v>
      </c>
    </row>
    <row r="329" spans="1:35" x14ac:dyDescent="0.25">
      <c r="A329" s="335">
        <v>23988</v>
      </c>
      <c r="B329" s="352">
        <f t="shared" si="151"/>
        <v>23.988</v>
      </c>
      <c r="C329" s="325">
        <f t="shared" si="126"/>
        <v>29.086754265421508</v>
      </c>
      <c r="D329" s="326">
        <f t="shared" si="127"/>
        <v>1.5364096402605971</v>
      </c>
      <c r="E329" s="326">
        <f t="shared" si="128"/>
        <v>1.000454233528042</v>
      </c>
      <c r="F329" s="327">
        <f t="shared" si="129"/>
        <v>3.0135084356280307E-2</v>
      </c>
      <c r="G329" s="326">
        <f t="shared" si="130"/>
        <v>1</v>
      </c>
      <c r="H329" s="327">
        <f t="shared" si="131"/>
        <v>0</v>
      </c>
      <c r="I329" s="325">
        <f t="shared" si="132"/>
        <v>31838.453064844089</v>
      </c>
      <c r="J329" s="328">
        <f t="shared" si="133"/>
        <v>1.5707649182337418</v>
      </c>
      <c r="K329" s="336">
        <f t="shared" si="153"/>
        <v>6.2480494494664578</v>
      </c>
      <c r="L329" s="337">
        <f t="shared" si="154"/>
        <v>1.4100550720536353</v>
      </c>
      <c r="M329" s="325">
        <f t="shared" si="134"/>
        <v>1.0133832098096065</v>
      </c>
      <c r="N329" s="337">
        <f t="shared" si="135"/>
        <v>0.16269994578388763</v>
      </c>
      <c r="O329" s="343">
        <f t="shared" si="136"/>
        <v>1.0096684445930866</v>
      </c>
      <c r="P329" s="691">
        <f t="shared" si="137"/>
        <v>0.13850041812726438</v>
      </c>
      <c r="Q329" s="336">
        <f t="shared" si="152"/>
        <v>15.155353772410326</v>
      </c>
      <c r="R329" s="692">
        <f t="shared" si="138"/>
        <v>6.4972212266738258E-2</v>
      </c>
      <c r="S329" s="329">
        <f t="shared" si="139"/>
        <v>0.99589705475765833</v>
      </c>
      <c r="T329" s="330">
        <f t="shared" si="140"/>
        <v>0.20802807764235298</v>
      </c>
      <c r="U329" s="331">
        <f t="shared" si="141"/>
        <v>4.3496956756362515</v>
      </c>
      <c r="V329" s="332">
        <f t="shared" si="142"/>
        <v>-112.53946610074505</v>
      </c>
      <c r="W329" s="334">
        <f t="shared" si="143"/>
        <v>67.460533899254955</v>
      </c>
      <c r="Y329" s="307">
        <f t="shared" si="144"/>
        <v>1000000000</v>
      </c>
      <c r="Z329" s="307">
        <f t="shared" si="145"/>
        <v>575424144</v>
      </c>
      <c r="AB329" s="333">
        <f t="shared" si="146"/>
        <v>23.447600303032807</v>
      </c>
      <c r="AC329" s="334">
        <f t="shared" si="147"/>
        <v>-18.530016153914453</v>
      </c>
      <c r="AE329" s="333">
        <f t="shared" si="148"/>
        <v>38.409241363779557</v>
      </c>
      <c r="AF329" s="334">
        <f t="shared" si="149"/>
        <v>-98.222305822621692</v>
      </c>
      <c r="AH329">
        <f t="shared" si="150"/>
        <v>0</v>
      </c>
      <c r="AI329">
        <f t="shared" si="155"/>
        <v>0</v>
      </c>
    </row>
    <row r="330" spans="1:35" x14ac:dyDescent="0.25">
      <c r="A330" s="335">
        <v>24127.75</v>
      </c>
      <c r="B330" s="352">
        <f t="shared" si="151"/>
        <v>24.127749999999999</v>
      </c>
      <c r="C330" s="325">
        <f t="shared" si="126"/>
        <v>29.256009026722793</v>
      </c>
      <c r="D330" s="326">
        <f t="shared" si="127"/>
        <v>1.5366086552935336</v>
      </c>
      <c r="E330" s="326">
        <f t="shared" si="128"/>
        <v>1.000459540300048</v>
      </c>
      <c r="F330" s="327">
        <f t="shared" si="129"/>
        <v>3.0310539023808973E-2</v>
      </c>
      <c r="G330" s="326">
        <f t="shared" si="130"/>
        <v>1</v>
      </c>
      <c r="H330" s="327">
        <f t="shared" si="131"/>
        <v>0</v>
      </c>
      <c r="I330" s="325">
        <f t="shared" si="132"/>
        <v>32023.938466354648</v>
      </c>
      <c r="J330" s="328">
        <f t="shared" si="133"/>
        <v>1.5707651001548251</v>
      </c>
      <c r="K330" s="336">
        <f t="shared" si="153"/>
        <v>6.2835197286014015</v>
      </c>
      <c r="L330" s="337">
        <f t="shared" si="154"/>
        <v>1.4109702803093187</v>
      </c>
      <c r="M330" s="325">
        <f t="shared" si="134"/>
        <v>1.0135385560469659</v>
      </c>
      <c r="N330" s="337">
        <f t="shared" si="135"/>
        <v>0.1636310262705081</v>
      </c>
      <c r="O330" s="343">
        <f t="shared" si="136"/>
        <v>1.0097808789558167</v>
      </c>
      <c r="P330" s="691">
        <f t="shared" si="137"/>
        <v>0.13929693028530801</v>
      </c>
      <c r="Q330" s="336">
        <f t="shared" si="152"/>
        <v>15.155716351042644</v>
      </c>
      <c r="R330" s="692">
        <f t="shared" si="138"/>
        <v>6.5349701845510089E-2</v>
      </c>
      <c r="S330" s="329">
        <f t="shared" si="139"/>
        <v>0.9958528917088787</v>
      </c>
      <c r="T330" s="330">
        <f t="shared" si="140"/>
        <v>0.20926738203203882</v>
      </c>
      <c r="U330" s="331">
        <f t="shared" si="141"/>
        <v>4.297873349029361</v>
      </c>
      <c r="V330" s="332">
        <f t="shared" si="142"/>
        <v>-112.5887345312055</v>
      </c>
      <c r="W330" s="334">
        <f t="shared" si="143"/>
        <v>67.411265468794497</v>
      </c>
      <c r="Y330" s="307">
        <f t="shared" si="144"/>
        <v>1000000000</v>
      </c>
      <c r="Z330" s="307">
        <f t="shared" si="145"/>
        <v>582148320.0625</v>
      </c>
      <c r="AB330" s="333">
        <f t="shared" si="146"/>
        <v>23.4449837212848</v>
      </c>
      <c r="AC330" s="334">
        <f t="shared" si="147"/>
        <v>-18.530935989069935</v>
      </c>
      <c r="AE330" s="333">
        <f t="shared" si="148"/>
        <v>38.359276231873785</v>
      </c>
      <c r="AF330" s="334">
        <f t="shared" si="149"/>
        <v>-98.29466264326706</v>
      </c>
      <c r="AH330">
        <f t="shared" si="150"/>
        <v>0</v>
      </c>
      <c r="AI330">
        <f t="shared" si="155"/>
        <v>0</v>
      </c>
    </row>
    <row r="331" spans="1:35" x14ac:dyDescent="0.25">
      <c r="A331" s="335">
        <v>24267.5</v>
      </c>
      <c r="B331" s="352">
        <f t="shared" si="151"/>
        <v>24.267499999999998</v>
      </c>
      <c r="C331" s="325">
        <f t="shared" si="126"/>
        <v>29.425264933436086</v>
      </c>
      <c r="D331" s="326">
        <f t="shared" si="127"/>
        <v>1.5368053808411326</v>
      </c>
      <c r="E331" s="326">
        <f t="shared" si="128"/>
        <v>1.0004648778702137</v>
      </c>
      <c r="F331" s="327">
        <f t="shared" si="129"/>
        <v>3.0485991824605901E-2</v>
      </c>
      <c r="G331" s="326">
        <f t="shared" si="130"/>
        <v>1</v>
      </c>
      <c r="H331" s="327">
        <f t="shared" si="131"/>
        <v>0</v>
      </c>
      <c r="I331" s="325">
        <f t="shared" si="132"/>
        <v>32209.423867866255</v>
      </c>
      <c r="J331" s="328">
        <f t="shared" si="133"/>
        <v>1.5707652799806393</v>
      </c>
      <c r="K331" s="336">
        <f t="shared" si="153"/>
        <v>6.3189952117619113</v>
      </c>
      <c r="L331" s="337">
        <f t="shared" si="154"/>
        <v>1.4118752131710497</v>
      </c>
      <c r="M331" s="325">
        <f t="shared" si="134"/>
        <v>1.0136947806621734</v>
      </c>
      <c r="N331" s="337">
        <f t="shared" si="135"/>
        <v>0.16456182057865515</v>
      </c>
      <c r="O331" s="343">
        <f t="shared" si="136"/>
        <v>1.0098939538125786</v>
      </c>
      <c r="P331" s="691">
        <f t="shared" si="137"/>
        <v>0.14009326458222832</v>
      </c>
      <c r="Q331" s="336">
        <f t="shared" si="152"/>
        <v>15.156081027119098</v>
      </c>
      <c r="R331" s="692">
        <f t="shared" si="138"/>
        <v>6.5727173578913958E-2</v>
      </c>
      <c r="S331" s="329">
        <f t="shared" si="139"/>
        <v>0.99580856061690615</v>
      </c>
      <c r="T331" s="330">
        <f t="shared" si="140"/>
        <v>0.21050715871638873</v>
      </c>
      <c r="U331" s="331">
        <f t="shared" si="141"/>
        <v>4.2463618032009141</v>
      </c>
      <c r="V331" s="332">
        <f t="shared" si="142"/>
        <v>-112.63848033933112</v>
      </c>
      <c r="W331" s="334">
        <f t="shared" si="143"/>
        <v>67.361519660668876</v>
      </c>
      <c r="Y331" s="307">
        <f t="shared" si="144"/>
        <v>1000000000</v>
      </c>
      <c r="Z331" s="307">
        <f t="shared" si="145"/>
        <v>588911556.25</v>
      </c>
      <c r="AB331" s="333">
        <f t="shared" si="146"/>
        <v>23.442381585588656</v>
      </c>
      <c r="AC331" s="334">
        <f t="shared" si="147"/>
        <v>-18.532428044063593</v>
      </c>
      <c r="AE331" s="333">
        <f t="shared" si="148"/>
        <v>38.309603230687188</v>
      </c>
      <c r="AF331" s="334">
        <f t="shared" si="149"/>
        <v>-98.366915453512007</v>
      </c>
      <c r="AH331">
        <f t="shared" si="150"/>
        <v>0</v>
      </c>
      <c r="AI331">
        <f t="shared" si="155"/>
        <v>0</v>
      </c>
    </row>
    <row r="332" spans="1:35" x14ac:dyDescent="0.25">
      <c r="A332" s="335">
        <v>24407.25</v>
      </c>
      <c r="B332" s="352">
        <f t="shared" si="151"/>
        <v>24.407250000000001</v>
      </c>
      <c r="C332" s="325">
        <f t="shared" si="126"/>
        <v>29.594521965909006</v>
      </c>
      <c r="D332" s="326">
        <f t="shared" si="127"/>
        <v>1.5369998561701186</v>
      </c>
      <c r="E332" s="326">
        <f t="shared" si="128"/>
        <v>1.0004702462380461</v>
      </c>
      <c r="F332" s="327">
        <f t="shared" si="129"/>
        <v>3.0661442747898896E-2</v>
      </c>
      <c r="G332" s="326">
        <f t="shared" si="130"/>
        <v>1</v>
      </c>
      <c r="H332" s="327">
        <f t="shared" si="131"/>
        <v>0</v>
      </c>
      <c r="I332" s="325">
        <f t="shared" si="132"/>
        <v>32394.909269378895</v>
      </c>
      <c r="J332" s="328">
        <f t="shared" si="133"/>
        <v>1.5707654577471755</v>
      </c>
      <c r="K332" s="336">
        <f t="shared" si="153"/>
        <v>6.354475811789583</v>
      </c>
      <c r="L332" s="337">
        <f t="shared" si="154"/>
        <v>1.4127700412640234</v>
      </c>
      <c r="M332" s="325">
        <f t="shared" si="134"/>
        <v>1.0138518832491814</v>
      </c>
      <c r="N332" s="337">
        <f t="shared" si="135"/>
        <v>0.16549232722815563</v>
      </c>
      <c r="O332" s="343">
        <f t="shared" si="136"/>
        <v>1.010007668948254</v>
      </c>
      <c r="P332" s="691">
        <f t="shared" si="137"/>
        <v>0.14088942006794461</v>
      </c>
      <c r="Q332" s="336">
        <f t="shared" si="152"/>
        <v>15.156447800488426</v>
      </c>
      <c r="R332" s="692">
        <f t="shared" si="138"/>
        <v>6.6104627365314986E-2</v>
      </c>
      <c r="S332" s="329">
        <f t="shared" si="139"/>
        <v>0.99576406303142562</v>
      </c>
      <c r="T332" s="330">
        <f t="shared" si="140"/>
        <v>0.21174741028897959</v>
      </c>
      <c r="U332" s="331">
        <f t="shared" si="141"/>
        <v>4.1951572180535202</v>
      </c>
      <c r="V332" s="332">
        <f t="shared" si="142"/>
        <v>-112.68869611392103</v>
      </c>
      <c r="W332" s="334">
        <f t="shared" si="143"/>
        <v>67.311303886078974</v>
      </c>
      <c r="Y332" s="307">
        <f t="shared" si="144"/>
        <v>1000000000</v>
      </c>
      <c r="Z332" s="307">
        <f t="shared" si="145"/>
        <v>595713852.5625</v>
      </c>
      <c r="AB332" s="333">
        <f t="shared" si="146"/>
        <v>23.439793415988866</v>
      </c>
      <c r="AC332" s="334">
        <f t="shared" si="147"/>
        <v>-18.534482460046302</v>
      </c>
      <c r="AE332" s="333">
        <f t="shared" si="148"/>
        <v>38.260219023580881</v>
      </c>
      <c r="AF332" s="334">
        <f t="shared" si="149"/>
        <v>-98.439066652392327</v>
      </c>
      <c r="AH332">
        <f t="shared" si="150"/>
        <v>0</v>
      </c>
      <c r="AI332">
        <f t="shared" si="155"/>
        <v>0</v>
      </c>
    </row>
    <row r="333" spans="1:35" x14ac:dyDescent="0.25">
      <c r="A333" s="335">
        <v>24547</v>
      </c>
      <c r="B333" s="352">
        <f t="shared" si="151"/>
        <v>24.547000000000001</v>
      </c>
      <c r="C333" s="325">
        <f t="shared" ref="C333:C396" si="156">SQRT(1+(A333/pole1)^2)</f>
        <v>29.763780104936043</v>
      </c>
      <c r="D333" s="326">
        <f t="shared" ref="D333:D396" si="157">ATAN(A333/pole1)</f>
        <v>1.5371921196547107</v>
      </c>
      <c r="E333" s="326">
        <f t="shared" ref="E333:E396" si="158">SQRT(1+(A333/Zero1)^2)</f>
        <v>1.0004756454030497</v>
      </c>
      <c r="F333" s="327">
        <f t="shared" ref="F333:F396" si="159">ATAN(A333/Zero1)</f>
        <v>3.0836891782916442E-2</v>
      </c>
      <c r="G333" s="326">
        <f t="shared" ref="G333:G396" si="160">IF(VIN_nom&gt;Vout, 1, SQRT(1+(A333/z_RHP)^2))</f>
        <v>1</v>
      </c>
      <c r="H333" s="327">
        <f t="shared" ref="H333:H396" si="161">IF(VIN_nom&gt;Vout, 0, -ATAN(A333/z_RHP))</f>
        <v>0</v>
      </c>
      <c r="I333" s="325">
        <f t="shared" ref="I333:I396" si="162">SQRT(1+(A333/Pole2)^2)</f>
        <v>32580.394670892543</v>
      </c>
      <c r="J333" s="328">
        <f t="shared" ref="J333:J396" si="163">ATAN(A333/Pole2)</f>
        <v>1.570765633489605</v>
      </c>
      <c r="K333" s="336">
        <f t="shared" si="153"/>
        <v>6.3899614434493888</v>
      </c>
      <c r="L333" s="337">
        <f t="shared" si="154"/>
        <v>1.4136549314888274</v>
      </c>
      <c r="M333" s="325">
        <f t="shared" ref="M333:M396" si="164">SQRT(1+(A333/pole4)^2)</f>
        <v>1.0140098633999119</v>
      </c>
      <c r="N333" s="337">
        <f t="shared" ref="N333:N396" si="165">ATAN(A333/pole4)</f>
        <v>0.16642254474174356</v>
      </c>
      <c r="O333" s="343">
        <f t="shared" ref="O333:O396" si="166">IF(VOUT_setting=1,1,SQRT(1+(A333*zterm1)^2))</f>
        <v>1.0101220241466031</v>
      </c>
      <c r="P333" s="691">
        <f t="shared" ref="P333:P396" si="167">IF(VOUT_setting=1,0,ATAN(((A333*zterm1))))</f>
        <v>0.14168539579370953</v>
      </c>
      <c r="Q333" s="336">
        <f t="shared" si="152"/>
        <v>15.156816670998504</v>
      </c>
      <c r="R333" s="692">
        <f t="shared" ref="R333:R396" si="168">IF(VOUT_setting=1,0,ATAN(A333*$Q$4/(1+Afbr-$Q$5*(A333)^2)))</f>
        <v>6.6482063103108002E-2</v>
      </c>
      <c r="S333" s="329">
        <f t="shared" ref="S333:S396" si="169">SQRT((1-(Z333/pterm2))^2+(A333/pterm1)^2)</f>
        <v>0.9957194005113944</v>
      </c>
      <c r="T333" s="330">
        <f t="shared" ref="T333:T396" si="170">IF((ATAN((A333/pterm1)/(1-A333^2/pterm2))&gt;0),ATAN((A333/pterm1)/(1-A333^2/pterm2)),PI()+ATAN((A333/pterm1)/(1-A333^2/pterm2)))</f>
        <v>0.21298813934062624</v>
      </c>
      <c r="U333" s="331">
        <f t="shared" ref="U333:U396" si="171">20*LOG10(((E333*K333*G333*O333)/(C333*I333*S333*M333*Q333))*Adc)</f>
        <v>4.1442558435638803</v>
      </c>
      <c r="V333" s="332">
        <f t="shared" ref="V333:V396" si="172">((F333+L333+H333+P333)-(D333+J333+T333+N333+R333))*radconv</f>
        <v>-112.73937460592835</v>
      </c>
      <c r="W333" s="334">
        <f t="shared" ref="W333:W396" si="173">IF(V333&gt;0,V333,V333+180)</f>
        <v>67.260625394071653</v>
      </c>
      <c r="Y333" s="307">
        <f t="shared" ref="Y333:Y396" si="174">IF(U333&lt;0,A333,1000000000)</f>
        <v>1000000000</v>
      </c>
      <c r="Z333" s="307">
        <f t="shared" ref="Z333:Z396" si="175">A333^2</f>
        <v>602555209</v>
      </c>
      <c r="AB333" s="333">
        <f t="shared" ref="AB333:AB396" si="176">20*LOG10((K333/(I333*M333))*AEA)</f>
        <v>23.437218746042362</v>
      </c>
      <c r="AC333" s="334">
        <f t="shared" ref="AC333:AC396" si="177">(L333-(J333+N333))*radconv</f>
        <v>-18.537089591692862</v>
      </c>
      <c r="AE333" s="333">
        <f t="shared" ref="AE333:AE396" si="178">20*LOG10((E333*G333/(C333*S333))*Acs*Am)</f>
        <v>38.211120330495085</v>
      </c>
      <c r="AF333" s="334">
        <f t="shared" ref="AF333:AF396" si="179">(F333+H333-(D333+T333))*radconv</f>
        <v>-98.511118587648738</v>
      </c>
      <c r="AH333">
        <f t="shared" ref="AH333:AH396" si="180">SUM((U334&lt;0)*(U333&gt;0))*A333</f>
        <v>0</v>
      </c>
      <c r="AI333">
        <f t="shared" si="155"/>
        <v>0</v>
      </c>
    </row>
    <row r="334" spans="1:35" x14ac:dyDescent="0.25">
      <c r="A334" s="335">
        <v>24690</v>
      </c>
      <c r="B334" s="352">
        <f t="shared" ref="B334:B397" si="181">A334/1000</f>
        <v>24.69</v>
      </c>
      <c r="C334" s="325">
        <f t="shared" si="156"/>
        <v>29.936975605629318</v>
      </c>
      <c r="D334" s="326">
        <f t="shared" si="157"/>
        <v>1.5373866039045296</v>
      </c>
      <c r="E334" s="326">
        <f t="shared" si="158"/>
        <v>1.0004812020093288</v>
      </c>
      <c r="F334" s="327">
        <f t="shared" si="159"/>
        <v>3.1016419062158657E-2</v>
      </c>
      <c r="G334" s="326">
        <f t="shared" si="160"/>
        <v>1</v>
      </c>
      <c r="H334" s="327">
        <f t="shared" si="161"/>
        <v>0</v>
      </c>
      <c r="I334" s="325">
        <f t="shared" si="162"/>
        <v>32770.193686395913</v>
      </c>
      <c r="J334" s="328">
        <f t="shared" si="163"/>
        <v>1.5707658112596599</v>
      </c>
      <c r="K334" s="336">
        <f t="shared" si="153"/>
        <v>6.4262774439193864</v>
      </c>
      <c r="L334" s="337">
        <f t="shared" si="154"/>
        <v>1.4145502836354131</v>
      </c>
      <c r="M334" s="325">
        <f t="shared" si="164"/>
        <v>1.0141724254935323</v>
      </c>
      <c r="N334" s="337">
        <f t="shared" si="165"/>
        <v>0.16737409438253864</v>
      </c>
      <c r="O334" s="343">
        <f t="shared" si="166"/>
        <v>1.0102397011049447</v>
      </c>
      <c r="P334" s="691">
        <f t="shared" si="167"/>
        <v>0.14249969551529956</v>
      </c>
      <c r="Q334" s="336">
        <f t="shared" si="152"/>
        <v>15.157196290596872</v>
      </c>
      <c r="R334" s="692">
        <f t="shared" si="168"/>
        <v>6.6868257627146183E-2</v>
      </c>
      <c r="S334" s="329">
        <f t="shared" si="169"/>
        <v>0.99567353023142979</v>
      </c>
      <c r="T334" s="330">
        <f t="shared" si="170"/>
        <v>0.21425821952044347</v>
      </c>
      <c r="U334" s="331">
        <f t="shared" si="171"/>
        <v>4.0924807457105787</v>
      </c>
      <c r="V334" s="332">
        <f t="shared" si="172"/>
        <v>-112.79170325492721</v>
      </c>
      <c r="W334" s="334">
        <f t="shared" si="173"/>
        <v>67.208296745072786</v>
      </c>
      <c r="Y334" s="307">
        <f t="shared" si="174"/>
        <v>1000000000</v>
      </c>
      <c r="Z334" s="307">
        <f t="shared" si="175"/>
        <v>609596100</v>
      </c>
      <c r="AB334" s="333">
        <f t="shared" si="176"/>
        <v>23.434597701399269</v>
      </c>
      <c r="AC334" s="334">
        <f t="shared" si="177"/>
        <v>-18.540319656407824</v>
      </c>
      <c r="AE334" s="333">
        <f t="shared" si="178"/>
        <v>38.161171994685766</v>
      </c>
      <c r="AF334" s="334">
        <f t="shared" si="179"/>
        <v>-98.584745792967951</v>
      </c>
      <c r="AH334">
        <f t="shared" si="180"/>
        <v>0</v>
      </c>
      <c r="AI334">
        <f t="shared" si="155"/>
        <v>0</v>
      </c>
    </row>
    <row r="335" spans="1:35" x14ac:dyDescent="0.25">
      <c r="A335" s="335">
        <v>24833</v>
      </c>
      <c r="B335" s="352">
        <f t="shared" si="181"/>
        <v>24.832999999999998</v>
      </c>
      <c r="C335" s="325">
        <f t="shared" si="156"/>
        <v>30.110172225635853</v>
      </c>
      <c r="D335" s="326">
        <f t="shared" si="157"/>
        <v>1.5375788507771571</v>
      </c>
      <c r="E335" s="326">
        <f t="shared" si="158"/>
        <v>1.0004867908608024</v>
      </c>
      <c r="F335" s="327">
        <f t="shared" si="159"/>
        <v>3.1195944341460696E-2</v>
      </c>
      <c r="G335" s="326">
        <f t="shared" si="160"/>
        <v>1</v>
      </c>
      <c r="H335" s="327">
        <f t="shared" si="161"/>
        <v>0</v>
      </c>
      <c r="I335" s="325">
        <f t="shared" si="162"/>
        <v>32959.992701900301</v>
      </c>
      <c r="J335" s="328">
        <f t="shared" si="163"/>
        <v>1.5707659869823487</v>
      </c>
      <c r="K335" s="336">
        <f t="shared" si="153"/>
        <v>6.4625985381488329</v>
      </c>
      <c r="L335" s="337">
        <f t="shared" si="154"/>
        <v>1.4154355723693697</v>
      </c>
      <c r="M335" s="325">
        <f t="shared" si="164"/>
        <v>1.0143359055714278</v>
      </c>
      <c r="N335" s="337">
        <f t="shared" si="165"/>
        <v>0.16832533816271789</v>
      </c>
      <c r="O335" s="343">
        <f t="shared" si="166"/>
        <v>1.0103580477808047</v>
      </c>
      <c r="P335" s="691">
        <f t="shared" si="167"/>
        <v>0.14331380501321347</v>
      </c>
      <c r="Q335" s="336">
        <f t="shared" ref="Q335:Q398" si="182">IF(VOUT_setting=1,1,SQRT((1+Afbr-$Q$5*(A335)^2)^2+(A335*$Q$4)^2))</f>
        <v>15.157578105686627</v>
      </c>
      <c r="R335" s="692">
        <f t="shared" si="168"/>
        <v>6.7254433038194714E-2</v>
      </c>
      <c r="S335" s="329">
        <f t="shared" si="169"/>
        <v>0.99562749058867239</v>
      </c>
      <c r="T335" s="330">
        <f t="shared" si="170"/>
        <v>0.21552880512544337</v>
      </c>
      <c r="U335" s="331">
        <f t="shared" si="171"/>
        <v>4.0410153983911794</v>
      </c>
      <c r="V335" s="332">
        <f t="shared" si="172"/>
        <v>-112.84450153813775</v>
      </c>
      <c r="W335" s="334">
        <f t="shared" si="173"/>
        <v>67.155498461862251</v>
      </c>
      <c r="Y335" s="307">
        <f t="shared" si="174"/>
        <v>1000000000</v>
      </c>
      <c r="Z335" s="307">
        <f t="shared" si="175"/>
        <v>616677889</v>
      </c>
      <c r="AB335" s="333">
        <f t="shared" si="176"/>
        <v>23.431989844896897</v>
      </c>
      <c r="AC335" s="334">
        <f t="shared" si="177"/>
        <v>-18.544108670366743</v>
      </c>
      <c r="AE335" s="333">
        <f t="shared" si="178"/>
        <v>38.111515834321075</v>
      </c>
      <c r="AF335" s="334">
        <f t="shared" si="179"/>
        <v>-98.658273879334772</v>
      </c>
      <c r="AH335">
        <f t="shared" si="180"/>
        <v>0</v>
      </c>
      <c r="AI335">
        <f t="shared" si="155"/>
        <v>0</v>
      </c>
    </row>
    <row r="336" spans="1:35" x14ac:dyDescent="0.25">
      <c r="A336" s="335">
        <v>24976</v>
      </c>
      <c r="B336" s="352">
        <f t="shared" si="181"/>
        <v>24.975999999999999</v>
      </c>
      <c r="C336" s="325">
        <f t="shared" si="156"/>
        <v>30.283369945750927</v>
      </c>
      <c r="D336" s="326">
        <f t="shared" si="157"/>
        <v>1.5377688986465194</v>
      </c>
      <c r="E336" s="326">
        <f t="shared" si="158"/>
        <v>1.0004924119569301</v>
      </c>
      <c r="F336" s="327">
        <f t="shared" si="159"/>
        <v>3.1375467609284211E-2</v>
      </c>
      <c r="G336" s="326">
        <f t="shared" si="160"/>
        <v>1</v>
      </c>
      <c r="H336" s="327">
        <f t="shared" si="161"/>
        <v>0</v>
      </c>
      <c r="I336" s="325">
        <f t="shared" si="162"/>
        <v>33149.791717405707</v>
      </c>
      <c r="J336" s="328">
        <f t="shared" si="163"/>
        <v>1.5707661606928385</v>
      </c>
      <c r="K336" s="336">
        <f t="shared" si="153"/>
        <v>6.4989246407339456</v>
      </c>
      <c r="L336" s="337">
        <f t="shared" si="154"/>
        <v>1.4163109650412897</v>
      </c>
      <c r="M336" s="325">
        <f t="shared" si="164"/>
        <v>1.0145003031898165</v>
      </c>
      <c r="N336" s="337">
        <f t="shared" si="165"/>
        <v>0.16927627450906757</v>
      </c>
      <c r="O336" s="343">
        <f t="shared" si="166"/>
        <v>1.0104770639388725</v>
      </c>
      <c r="P336" s="691">
        <f t="shared" si="167"/>
        <v>0.14412772327533677</v>
      </c>
      <c r="Q336" s="336">
        <f t="shared" si="182"/>
        <v>15.157962116101999</v>
      </c>
      <c r="R336" s="692">
        <f t="shared" si="168"/>
        <v>6.7640589227491082E-2</v>
      </c>
      <c r="S336" s="329">
        <f t="shared" si="169"/>
        <v>0.99558128328357576</v>
      </c>
      <c r="T336" s="330">
        <f t="shared" si="170"/>
        <v>0.21679989892228857</v>
      </c>
      <c r="U336" s="331">
        <f t="shared" si="171"/>
        <v>3.9898560005920252</v>
      </c>
      <c r="V336" s="332">
        <f t="shared" si="172"/>
        <v>-112.89776218855522</v>
      </c>
      <c r="W336" s="334">
        <f t="shared" si="173"/>
        <v>67.10223781144478</v>
      </c>
      <c r="Y336" s="307">
        <f t="shared" si="174"/>
        <v>1000000000</v>
      </c>
      <c r="Z336" s="307">
        <f t="shared" si="175"/>
        <v>623800576</v>
      </c>
      <c r="AB336" s="333">
        <f t="shared" si="176"/>
        <v>23.429394717884758</v>
      </c>
      <c r="AC336" s="334">
        <f t="shared" si="177"/>
        <v>-18.548446956963346</v>
      </c>
      <c r="AE336" s="333">
        <f t="shared" si="178"/>
        <v>38.062148510866244</v>
      </c>
      <c r="AF336" s="334">
        <f t="shared" si="179"/>
        <v>-98.731705204592416</v>
      </c>
      <c r="AH336">
        <f t="shared" si="180"/>
        <v>0</v>
      </c>
      <c r="AI336">
        <f t="shared" si="155"/>
        <v>0</v>
      </c>
    </row>
    <row r="337" spans="1:35" x14ac:dyDescent="0.25">
      <c r="A337" s="335">
        <v>25119</v>
      </c>
      <c r="B337" s="352">
        <f t="shared" si="181"/>
        <v>25.119</v>
      </c>
      <c r="C337" s="325">
        <f t="shared" si="156"/>
        <v>30.456568747206539</v>
      </c>
      <c r="D337" s="326">
        <f t="shared" si="157"/>
        <v>1.5379567850142957</v>
      </c>
      <c r="E337" s="326">
        <f t="shared" si="158"/>
        <v>1.0004980652971682</v>
      </c>
      <c r="F337" s="327">
        <f t="shared" si="159"/>
        <v>3.1554988854091644E-2</v>
      </c>
      <c r="G337" s="326">
        <f t="shared" si="160"/>
        <v>1</v>
      </c>
      <c r="H337" s="327">
        <f t="shared" si="161"/>
        <v>0</v>
      </c>
      <c r="I337" s="325">
        <f t="shared" si="162"/>
        <v>33339.590732912089</v>
      </c>
      <c r="J337" s="328">
        <f t="shared" si="163"/>
        <v>1.5707663324254948</v>
      </c>
      <c r="K337" s="336">
        <f t="shared" si="153"/>
        <v>6.5352556681581557</v>
      </c>
      <c r="L337" s="337">
        <f t="shared" si="154"/>
        <v>1.4171766253418414</v>
      </c>
      <c r="M337" s="325">
        <f t="shared" si="164"/>
        <v>1.0146656179027149</v>
      </c>
      <c r="N337" s="337">
        <f t="shared" si="165"/>
        <v>0.17022690185161488</v>
      </c>
      <c r="O337" s="343">
        <f t="shared" si="166"/>
        <v>1.0105967493426165</v>
      </c>
      <c r="P337" s="691">
        <f t="shared" si="167"/>
        <v>0.14494144929104386</v>
      </c>
      <c r="Q337" s="336">
        <f t="shared" si="182"/>
        <v>15.158348321676291</v>
      </c>
      <c r="R337" s="692">
        <f t="shared" si="168"/>
        <v>6.8026726086306041E-2</v>
      </c>
      <c r="S337" s="329">
        <f t="shared" si="169"/>
        <v>0.99553491002678041</v>
      </c>
      <c r="T337" s="330">
        <f t="shared" si="170"/>
        <v>0.21807150367450381</v>
      </c>
      <c r="U337" s="331">
        <f t="shared" si="171"/>
        <v>3.9389988208268067</v>
      </c>
      <c r="V337" s="332">
        <f t="shared" si="172"/>
        <v>-112.95147809877352</v>
      </c>
      <c r="W337" s="334">
        <f t="shared" si="173"/>
        <v>67.048521901226479</v>
      </c>
      <c r="Y337" s="307">
        <f t="shared" si="174"/>
        <v>1000000000</v>
      </c>
      <c r="Z337" s="307">
        <f t="shared" si="175"/>
        <v>630964161</v>
      </c>
      <c r="AB337" s="333">
        <f t="shared" si="176"/>
        <v>23.426811874668658</v>
      </c>
      <c r="AC337" s="334">
        <f t="shared" si="177"/>
        <v>-18.5533250494294</v>
      </c>
      <c r="AE337" s="333">
        <f t="shared" si="178"/>
        <v>38.013066742376516</v>
      </c>
      <c r="AF337" s="334">
        <f t="shared" si="179"/>
        <v>-98.805042076428137</v>
      </c>
      <c r="AH337">
        <f t="shared" si="180"/>
        <v>0</v>
      </c>
      <c r="AI337">
        <f t="shared" si="155"/>
        <v>0</v>
      </c>
    </row>
    <row r="338" spans="1:35" x14ac:dyDescent="0.25">
      <c r="A338" s="335">
        <v>25265.25</v>
      </c>
      <c r="B338" s="352">
        <f t="shared" si="181"/>
        <v>25.265250000000002</v>
      </c>
      <c r="C338" s="325">
        <f t="shared" si="156"/>
        <v>30.633704984427574</v>
      </c>
      <c r="D338" s="326">
        <f t="shared" si="157"/>
        <v>1.5381467439748322</v>
      </c>
      <c r="E338" s="326">
        <f t="shared" si="158"/>
        <v>1.0005038804735111</v>
      </c>
      <c r="F338" s="327">
        <f t="shared" si="159"/>
        <v>3.1738588022661676E-2</v>
      </c>
      <c r="G338" s="326">
        <f t="shared" si="160"/>
        <v>1</v>
      </c>
      <c r="H338" s="327">
        <f t="shared" si="161"/>
        <v>0</v>
      </c>
      <c r="I338" s="325">
        <f t="shared" si="162"/>
        <v>33533.703362408269</v>
      </c>
      <c r="J338" s="328">
        <f t="shared" si="163"/>
        <v>1.5707665060503955</v>
      </c>
      <c r="K338" s="336">
        <f t="shared" si="153"/>
        <v>6.5724174096383789</v>
      </c>
      <c r="L338" s="337">
        <f t="shared" si="154"/>
        <v>1.4180520599337203</v>
      </c>
      <c r="M338" s="325">
        <f t="shared" si="164"/>
        <v>1.0148356378970278</v>
      </c>
      <c r="N338" s="337">
        <f t="shared" si="165"/>
        <v>0.17119881311041882</v>
      </c>
      <c r="O338" s="343">
        <f t="shared" si="166"/>
        <v>1.0107198468550997</v>
      </c>
      <c r="P338" s="691">
        <f t="shared" si="167"/>
        <v>0.14577346917822231</v>
      </c>
      <c r="Q338" s="336">
        <f t="shared" si="182"/>
        <v>15.158745575036107</v>
      </c>
      <c r="R338" s="692">
        <f t="shared" si="168"/>
        <v>6.8421618675072862E-2</v>
      </c>
      <c r="S338" s="329">
        <f t="shared" si="169"/>
        <v>0.99548731297381443</v>
      </c>
      <c r="T338" s="330">
        <f t="shared" si="170"/>
        <v>0.21937253991777433</v>
      </c>
      <c r="U338" s="331">
        <f t="shared" si="171"/>
        <v>3.8872945772170513</v>
      </c>
      <c r="V338" s="332">
        <f t="shared" si="172"/>
        <v>-113.00687847830942</v>
      </c>
      <c r="W338" s="334">
        <f t="shared" si="173"/>
        <v>66.993121521690583</v>
      </c>
      <c r="Y338" s="307">
        <f t="shared" si="174"/>
        <v>1000000000</v>
      </c>
      <c r="Z338" s="307">
        <f t="shared" si="175"/>
        <v>638332857.5625</v>
      </c>
      <c r="AB338" s="333">
        <f t="shared" si="176"/>
        <v>23.424182584840068</v>
      </c>
      <c r="AC338" s="334">
        <f t="shared" si="177"/>
        <v>-18.558862703246042</v>
      </c>
      <c r="AE338" s="333">
        <f t="shared" si="178"/>
        <v>37.963161480261107</v>
      </c>
      <c r="AF338" s="334">
        <f t="shared" si="179"/>
        <v>-98.87995035148495</v>
      </c>
      <c r="AH338">
        <f t="shared" si="180"/>
        <v>0</v>
      </c>
      <c r="AI338">
        <f t="shared" si="155"/>
        <v>0</v>
      </c>
    </row>
    <row r="339" spans="1:35" x14ac:dyDescent="0.25">
      <c r="A339" s="335">
        <v>25411.5</v>
      </c>
      <c r="B339" s="352">
        <f t="shared" si="181"/>
        <v>25.4115</v>
      </c>
      <c r="C339" s="325">
        <f t="shared" si="156"/>
        <v>30.810842314337442</v>
      </c>
      <c r="D339" s="326">
        <f t="shared" si="157"/>
        <v>1.5383345187224655</v>
      </c>
      <c r="E339" s="326">
        <f t="shared" si="158"/>
        <v>1.0005097293751011</v>
      </c>
      <c r="F339" s="327">
        <f t="shared" si="159"/>
        <v>3.1922185050807704E-2</v>
      </c>
      <c r="G339" s="326">
        <f t="shared" si="160"/>
        <v>1</v>
      </c>
      <c r="H339" s="327">
        <f t="shared" si="161"/>
        <v>0</v>
      </c>
      <c r="I339" s="325">
        <f t="shared" si="162"/>
        <v>33727.815991905438</v>
      </c>
      <c r="J339" s="328">
        <f t="shared" si="163"/>
        <v>1.5707666776767804</v>
      </c>
      <c r="K339" s="336">
        <f t="shared" si="153"/>
        <v>6.6095841314830865</v>
      </c>
      <c r="L339" s="337">
        <f t="shared" si="154"/>
        <v>1.4189176497724341</v>
      </c>
      <c r="M339" s="325">
        <f t="shared" si="164"/>
        <v>1.0150066161950699</v>
      </c>
      <c r="N339" s="337">
        <f t="shared" si="165"/>
        <v>0.17217039784900251</v>
      </c>
      <c r="O339" s="343">
        <f t="shared" si="166"/>
        <v>1.0108436438748736</v>
      </c>
      <c r="P339" s="691">
        <f t="shared" si="167"/>
        <v>0.14660528584781171</v>
      </c>
      <c r="Q339" s="336">
        <f t="shared" si="182"/>
        <v>15.159145124112978</v>
      </c>
      <c r="R339" s="692">
        <f t="shared" si="168"/>
        <v>6.8816490814782499E-2</v>
      </c>
      <c r="S339" s="329">
        <f t="shared" si="169"/>
        <v>0.99543954599203488</v>
      </c>
      <c r="T339" s="330">
        <f t="shared" si="170"/>
        <v>0.22067411644224239</v>
      </c>
      <c r="U339" s="331">
        <f t="shared" si="171"/>
        <v>3.8358987654928844</v>
      </c>
      <c r="V339" s="332">
        <f t="shared" si="172"/>
        <v>-113.06274050206973</v>
      </c>
      <c r="W339" s="334">
        <f t="shared" si="173"/>
        <v>66.93725949793027</v>
      </c>
      <c r="Y339" s="307">
        <f t="shared" si="174"/>
        <v>1000000000</v>
      </c>
      <c r="Z339" s="307">
        <f t="shared" si="175"/>
        <v>645744332.25</v>
      </c>
      <c r="AB339" s="333">
        <f t="shared" si="176"/>
        <v>23.421565240213308</v>
      </c>
      <c r="AC339" s="334">
        <f t="shared" si="177"/>
        <v>-18.564945597132965</v>
      </c>
      <c r="AE339" s="333">
        <f t="shared" si="178"/>
        <v>37.913548132437228</v>
      </c>
      <c r="AF339" s="334">
        <f t="shared" si="179"/>
        <v>-98.954764558830362</v>
      </c>
      <c r="AH339">
        <f t="shared" si="180"/>
        <v>0</v>
      </c>
      <c r="AI339">
        <f t="shared" si="155"/>
        <v>0</v>
      </c>
    </row>
    <row r="340" spans="1:35" x14ac:dyDescent="0.25">
      <c r="A340" s="335">
        <v>25557.75</v>
      </c>
      <c r="B340" s="352">
        <f t="shared" si="181"/>
        <v>25.557749999999999</v>
      </c>
      <c r="C340" s="325">
        <f t="shared" si="156"/>
        <v>30.987980718197644</v>
      </c>
      <c r="D340" s="326">
        <f t="shared" si="157"/>
        <v>1.5385201467010698</v>
      </c>
      <c r="E340" s="326">
        <f t="shared" si="158"/>
        <v>1.0005156120013468</v>
      </c>
      <c r="F340" s="327">
        <f t="shared" si="159"/>
        <v>3.2105779926190056E-2</v>
      </c>
      <c r="G340" s="326">
        <f t="shared" si="160"/>
        <v>1</v>
      </c>
      <c r="H340" s="327">
        <f t="shared" si="161"/>
        <v>0</v>
      </c>
      <c r="I340" s="325">
        <f t="shared" si="162"/>
        <v>33921.928621403596</v>
      </c>
      <c r="J340" s="328">
        <f t="shared" si="163"/>
        <v>1.570766847338958</v>
      </c>
      <c r="K340" s="336">
        <f t="shared" si="153"/>
        <v>6.6467557501460348</v>
      </c>
      <c r="L340" s="337">
        <f t="shared" si="154"/>
        <v>1.4197735587186358</v>
      </c>
      <c r="M340" s="325">
        <f t="shared" si="164"/>
        <v>1.0151785523126433</v>
      </c>
      <c r="N340" s="337">
        <f t="shared" si="165"/>
        <v>0.17314165439850376</v>
      </c>
      <c r="O340" s="343">
        <f t="shared" si="166"/>
        <v>1.0109681401449662</v>
      </c>
      <c r="P340" s="691">
        <f t="shared" si="167"/>
        <v>0.14743689822357928</v>
      </c>
      <c r="Q340" s="336">
        <f t="shared" si="182"/>
        <v>15.159546968725545</v>
      </c>
      <c r="R340" s="692">
        <f t="shared" si="168"/>
        <v>6.9211342389231642E-2</v>
      </c>
      <c r="S340" s="329">
        <f t="shared" si="169"/>
        <v>0.99539161094448492</v>
      </c>
      <c r="T340" s="330">
        <f t="shared" si="170"/>
        <v>0.22197623619379903</v>
      </c>
      <c r="U340" s="331">
        <f t="shared" si="171"/>
        <v>3.7848076086382783</v>
      </c>
      <c r="V340" s="332">
        <f t="shared" si="172"/>
        <v>-113.11905705775325</v>
      </c>
      <c r="W340" s="334">
        <f t="shared" si="173"/>
        <v>66.880942942246747</v>
      </c>
      <c r="Y340" s="307">
        <f t="shared" si="174"/>
        <v>1000000000</v>
      </c>
      <c r="Z340" s="307">
        <f t="shared" si="175"/>
        <v>653198585.0625</v>
      </c>
      <c r="AB340" s="333">
        <f t="shared" si="176"/>
        <v>23.418959403343148</v>
      </c>
      <c r="AC340" s="334">
        <f t="shared" si="177"/>
        <v>-18.571564248913266</v>
      </c>
      <c r="AE340" s="333">
        <f t="shared" si="178"/>
        <v>37.864223363511002</v>
      </c>
      <c r="AF340" s="334">
        <f t="shared" si="179"/>
        <v>-99.029487013334517</v>
      </c>
      <c r="AH340">
        <f t="shared" si="180"/>
        <v>0</v>
      </c>
      <c r="AI340">
        <f t="shared" si="155"/>
        <v>0</v>
      </c>
    </row>
    <row r="341" spans="1:35" x14ac:dyDescent="0.25">
      <c r="A341" s="335">
        <v>25704</v>
      </c>
      <c r="B341" s="352">
        <f t="shared" si="181"/>
        <v>25.704000000000001</v>
      </c>
      <c r="C341" s="325">
        <f t="shared" si="156"/>
        <v>31.165120177695616</v>
      </c>
      <c r="D341" s="326">
        <f t="shared" si="157"/>
        <v>1.5387036645038106</v>
      </c>
      <c r="E341" s="326">
        <f t="shared" si="158"/>
        <v>1.0005215283516533</v>
      </c>
      <c r="F341" s="327">
        <f t="shared" si="159"/>
        <v>3.2289372636469922E-2</v>
      </c>
      <c r="G341" s="326">
        <f t="shared" si="160"/>
        <v>1</v>
      </c>
      <c r="H341" s="327">
        <f t="shared" si="161"/>
        <v>0</v>
      </c>
      <c r="I341" s="325">
        <f t="shared" si="162"/>
        <v>34116.041250902723</v>
      </c>
      <c r="J341" s="328">
        <f t="shared" si="163"/>
        <v>1.5707670150704562</v>
      </c>
      <c r="K341" s="336">
        <f t="shared" si="153"/>
        <v>6.6839321839286132</v>
      </c>
      <c r="L341" s="337">
        <f t="shared" si="154"/>
        <v>1.4206199470448262</v>
      </c>
      <c r="M341" s="325">
        <f t="shared" si="164"/>
        <v>1.0153514457631667</v>
      </c>
      <c r="N341" s="337">
        <f t="shared" si="165"/>
        <v>0.17411258109366426</v>
      </c>
      <c r="O341" s="343">
        <f t="shared" si="166"/>
        <v>1.0110933354070806</v>
      </c>
      <c r="P341" s="691">
        <f t="shared" si="167"/>
        <v>0.14826830523095119</v>
      </c>
      <c r="Q341" s="336">
        <f t="shared" si="182"/>
        <v>15.15995110869142</v>
      </c>
      <c r="R341" s="692">
        <f t="shared" si="168"/>
        <v>6.9606173282254255E-2</v>
      </c>
      <c r="S341" s="329">
        <f t="shared" si="169"/>
        <v>0.99534350970537666</v>
      </c>
      <c r="T341" s="330">
        <f t="shared" si="170"/>
        <v>0.22327890211477605</v>
      </c>
      <c r="U341" s="331">
        <f t="shared" si="171"/>
        <v>3.7340173984963854</v>
      </c>
      <c r="V341" s="332">
        <f t="shared" si="172"/>
        <v>-113.1758211897677</v>
      </c>
      <c r="W341" s="334">
        <f t="shared" si="173"/>
        <v>66.824178810232297</v>
      </c>
      <c r="Y341" s="307">
        <f t="shared" si="174"/>
        <v>1000000000</v>
      </c>
      <c r="Z341" s="307">
        <f t="shared" si="175"/>
        <v>660695616</v>
      </c>
      <c r="AB341" s="333">
        <f t="shared" si="176"/>
        <v>23.41636464918065</v>
      </c>
      <c r="AC341" s="334">
        <f t="shared" si="177"/>
        <v>-18.5787093821578</v>
      </c>
      <c r="AE341" s="333">
        <f t="shared" si="178"/>
        <v>37.815183894571959</v>
      </c>
      <c r="AF341" s="334">
        <f t="shared" si="179"/>
        <v>-99.104119980921453</v>
      </c>
      <c r="AH341">
        <f t="shared" si="180"/>
        <v>0</v>
      </c>
      <c r="AI341">
        <f t="shared" si="155"/>
        <v>0</v>
      </c>
    </row>
    <row r="342" spans="1:35" x14ac:dyDescent="0.25">
      <c r="A342" s="335">
        <v>25853.75</v>
      </c>
      <c r="B342" s="352">
        <f t="shared" si="181"/>
        <v>25.853750000000002</v>
      </c>
      <c r="C342" s="325">
        <f t="shared" si="156"/>
        <v>31.346499947264746</v>
      </c>
      <c r="D342" s="326">
        <f t="shared" si="157"/>
        <v>1.5388894250067817</v>
      </c>
      <c r="E342" s="326">
        <f t="shared" si="158"/>
        <v>1.000527621233531</v>
      </c>
      <c r="F342" s="327">
        <f t="shared" si="159"/>
        <v>3.2477356762118319E-2</v>
      </c>
      <c r="G342" s="326">
        <f t="shared" si="160"/>
        <v>1</v>
      </c>
      <c r="H342" s="327">
        <f t="shared" si="161"/>
        <v>0</v>
      </c>
      <c r="I342" s="325">
        <f t="shared" si="162"/>
        <v>34314.799310852373</v>
      </c>
      <c r="J342" s="328">
        <f t="shared" si="163"/>
        <v>1.5707671848497236</v>
      </c>
      <c r="K342" s="336">
        <f t="shared" si="153"/>
        <v>6.722003216050445</v>
      </c>
      <c r="L342" s="337">
        <f t="shared" si="154"/>
        <v>1.4214768894347232</v>
      </c>
      <c r="M342" s="325">
        <f t="shared" si="164"/>
        <v>1.015529468296912</v>
      </c>
      <c r="N342" s="337">
        <f t="shared" si="165"/>
        <v>0.17510640011615891</v>
      </c>
      <c r="O342" s="343">
        <f t="shared" si="166"/>
        <v>1.0112222508081661</v>
      </c>
      <c r="P342" s="691">
        <f t="shared" si="167"/>
        <v>0.14911939523816617</v>
      </c>
      <c r="Q342" s="336">
        <f t="shared" si="182"/>
        <v>15.160367298599324</v>
      </c>
      <c r="R342" s="692">
        <f t="shared" si="168"/>
        <v>7.0010431568675896E-2</v>
      </c>
      <c r="S342" s="329">
        <f t="shared" si="169"/>
        <v>0.99529408708976341</v>
      </c>
      <c r="T342" s="330">
        <f t="shared" si="170"/>
        <v>0.22461331194793019</v>
      </c>
      <c r="U342" s="331">
        <f t="shared" si="171"/>
        <v>3.6823197298418338</v>
      </c>
      <c r="V342" s="332">
        <f t="shared" si="172"/>
        <v>-113.23440044646372</v>
      </c>
      <c r="W342" s="334">
        <f t="shared" si="173"/>
        <v>66.765599553536276</v>
      </c>
      <c r="Y342" s="307">
        <f t="shared" si="174"/>
        <v>1000000000</v>
      </c>
      <c r="Z342" s="307">
        <f t="shared" si="175"/>
        <v>668416389.0625</v>
      </c>
      <c r="AB342" s="333">
        <f t="shared" si="176"/>
        <v>23.413718850711724</v>
      </c>
      <c r="AC342" s="334">
        <f t="shared" si="177"/>
        <v>-18.58656156316404</v>
      </c>
      <c r="AE342" s="333">
        <f t="shared" si="178"/>
        <v>37.765263088070107</v>
      </c>
      <c r="AF342" s="334">
        <f t="shared" si="179"/>
        <v>-99.180448628394515</v>
      </c>
      <c r="AH342">
        <f t="shared" si="180"/>
        <v>0</v>
      </c>
      <c r="AI342">
        <f t="shared" si="155"/>
        <v>0</v>
      </c>
    </row>
    <row r="343" spans="1:35" x14ac:dyDescent="0.25">
      <c r="A343" s="335">
        <v>26003.5</v>
      </c>
      <c r="B343" s="352">
        <f t="shared" si="181"/>
        <v>26.003499999999999</v>
      </c>
      <c r="C343" s="325">
        <f t="shared" si="156"/>
        <v>31.527880786060699</v>
      </c>
      <c r="D343" s="326">
        <f t="shared" si="157"/>
        <v>1.5390730481445971</v>
      </c>
      <c r="E343" s="326">
        <f t="shared" si="158"/>
        <v>1.0005337494716537</v>
      </c>
      <c r="F343" s="327">
        <f t="shared" si="159"/>
        <v>3.2665338591615703E-2</v>
      </c>
      <c r="G343" s="326">
        <f t="shared" si="160"/>
        <v>1</v>
      </c>
      <c r="H343" s="327">
        <f t="shared" si="161"/>
        <v>0</v>
      </c>
      <c r="I343" s="325">
        <f t="shared" si="162"/>
        <v>34513.557370803013</v>
      </c>
      <c r="J343" s="328">
        <f t="shared" si="163"/>
        <v>1.5707673526735275</v>
      </c>
      <c r="K343" s="336">
        <f t="shared" ref="K343:K406" si="183">SQRT(1+(A343/Zero2)^2)</f>
        <v>6.7600791288749775</v>
      </c>
      <c r="L343" s="337">
        <f t="shared" ref="L343:L406" si="184">ATAN(A343/Zero2)</f>
        <v>1.4223241790440171</v>
      </c>
      <c r="M343" s="325">
        <f t="shared" si="164"/>
        <v>1.0157084934928204</v>
      </c>
      <c r="N343" s="337">
        <f t="shared" si="165"/>
        <v>0.1760998697855225</v>
      </c>
      <c r="O343" s="343">
        <f t="shared" si="166"/>
        <v>1.0113518985052903</v>
      </c>
      <c r="P343" s="691">
        <f t="shared" si="167"/>
        <v>0.14997026765492369</v>
      </c>
      <c r="Q343" s="336">
        <f t="shared" si="182"/>
        <v>15.160785894647912</v>
      </c>
      <c r="R343" s="692">
        <f t="shared" si="168"/>
        <v>7.0414667925566304E-2</v>
      </c>
      <c r="S343" s="329">
        <f t="shared" si="169"/>
        <v>0.99524449424585271</v>
      </c>
      <c r="T343" s="330">
        <f t="shared" si="170"/>
        <v>0.22594830063669541</v>
      </c>
      <c r="U343" s="331">
        <f t="shared" si="171"/>
        <v>3.630929929974184</v>
      </c>
      <c r="V343" s="332">
        <f t="shared" si="172"/>
        <v>-113.29343468433547</v>
      </c>
      <c r="W343" s="334">
        <f t="shared" si="173"/>
        <v>66.706565315664534</v>
      </c>
      <c r="Y343" s="307">
        <f t="shared" si="174"/>
        <v>1000000000</v>
      </c>
      <c r="Z343" s="307">
        <f t="shared" si="175"/>
        <v>676182012.25</v>
      </c>
      <c r="AB343" s="333">
        <f t="shared" si="176"/>
        <v>23.411083807895992</v>
      </c>
      <c r="AC343" s="334">
        <f t="shared" si="177"/>
        <v>-18.594946679260254</v>
      </c>
      <c r="AE343" s="333">
        <f t="shared" si="178"/>
        <v>37.715634618593995</v>
      </c>
      <c r="AF343" s="334">
        <f t="shared" si="179"/>
        <v>-99.256688111407996</v>
      </c>
      <c r="AH343">
        <f t="shared" si="180"/>
        <v>0</v>
      </c>
      <c r="AI343">
        <f t="shared" si="155"/>
        <v>0</v>
      </c>
    </row>
    <row r="344" spans="1:35" x14ac:dyDescent="0.25">
      <c r="A344" s="335">
        <v>26153.25</v>
      </c>
      <c r="B344" s="352">
        <f t="shared" si="181"/>
        <v>26.15325</v>
      </c>
      <c r="C344" s="325">
        <f t="shared" si="156"/>
        <v>31.70926267573515</v>
      </c>
      <c r="D344" s="326">
        <f t="shared" si="157"/>
        <v>1.539254570582945</v>
      </c>
      <c r="E344" s="326">
        <f t="shared" si="158"/>
        <v>1.0005399130653723</v>
      </c>
      <c r="F344" s="327">
        <f t="shared" si="159"/>
        <v>3.2853318111718884E-2</v>
      </c>
      <c r="G344" s="326">
        <f t="shared" si="160"/>
        <v>1</v>
      </c>
      <c r="H344" s="327">
        <f t="shared" si="161"/>
        <v>0</v>
      </c>
      <c r="I344" s="325">
        <f t="shared" si="162"/>
        <v>34712.315430754606</v>
      </c>
      <c r="J344" s="328">
        <f t="shared" si="163"/>
        <v>1.5707675185754584</v>
      </c>
      <c r="K344" s="336">
        <f t="shared" si="183"/>
        <v>6.7981598403930139</v>
      </c>
      <c r="L344" s="337">
        <f t="shared" si="184"/>
        <v>1.4231619768594752</v>
      </c>
      <c r="M344" s="325">
        <f t="shared" si="164"/>
        <v>1.0158885208208095</v>
      </c>
      <c r="N344" s="337">
        <f t="shared" si="165"/>
        <v>0.1770929883258969</v>
      </c>
      <c r="O344" s="343">
        <f t="shared" si="166"/>
        <v>1.0114822782168649</v>
      </c>
      <c r="P344" s="691">
        <f t="shared" si="167"/>
        <v>0.15082092133309549</v>
      </c>
      <c r="Q344" s="336">
        <f t="shared" si="182"/>
        <v>15.16120689663806</v>
      </c>
      <c r="R344" s="692">
        <f t="shared" si="168"/>
        <v>7.0818882228340707E-2</v>
      </c>
      <c r="S344" s="329">
        <f t="shared" si="169"/>
        <v>0.99519473322209762</v>
      </c>
      <c r="T344" s="330">
        <f t="shared" si="170"/>
        <v>0.22728387132793026</v>
      </c>
      <c r="U344" s="331">
        <f t="shared" si="171"/>
        <v>3.5798442316424479</v>
      </c>
      <c r="V344" s="332">
        <f t="shared" si="172"/>
        <v>-113.35291692019031</v>
      </c>
      <c r="W344" s="334">
        <f t="shared" si="173"/>
        <v>66.64708307980969</v>
      </c>
      <c r="Y344" s="307">
        <f t="shared" si="174"/>
        <v>1000000000</v>
      </c>
      <c r="Z344" s="307">
        <f t="shared" si="175"/>
        <v>683992485.5625</v>
      </c>
      <c r="AB344" s="333">
        <f t="shared" si="176"/>
        <v>23.40845910221838</v>
      </c>
      <c r="AC344" s="334">
        <f t="shared" si="177"/>
        <v>-18.6038554067595</v>
      </c>
      <c r="AE344" s="333">
        <f t="shared" si="178"/>
        <v>37.666295141980285</v>
      </c>
      <c r="AF344" s="334">
        <f t="shared" si="179"/>
        <v>-99.332840711811599</v>
      </c>
      <c r="AH344">
        <f t="shared" si="180"/>
        <v>0</v>
      </c>
      <c r="AI344">
        <f t="shared" si="155"/>
        <v>0</v>
      </c>
    </row>
    <row r="345" spans="1:35" x14ac:dyDescent="0.25">
      <c r="A345" s="335">
        <v>26303</v>
      </c>
      <c r="B345" s="352">
        <f t="shared" si="181"/>
        <v>26.303000000000001</v>
      </c>
      <c r="C345" s="325">
        <f t="shared" si="156"/>
        <v>31.890645598357111</v>
      </c>
      <c r="D345" s="326">
        <f t="shared" si="157"/>
        <v>1.5394340281539076</v>
      </c>
      <c r="E345" s="326">
        <f t="shared" si="158"/>
        <v>1.0005461120140329</v>
      </c>
      <c r="F345" s="327">
        <f t="shared" si="159"/>
        <v>3.3041295309185689E-2</v>
      </c>
      <c r="G345" s="326">
        <f t="shared" si="160"/>
        <v>1</v>
      </c>
      <c r="H345" s="327">
        <f t="shared" si="161"/>
        <v>0</v>
      </c>
      <c r="I345" s="325">
        <f t="shared" si="162"/>
        <v>34911.073490707146</v>
      </c>
      <c r="J345" s="328">
        <f t="shared" si="163"/>
        <v>1.5707676825883412</v>
      </c>
      <c r="K345" s="336">
        <f t="shared" si="183"/>
        <v>6.8362452704124346</v>
      </c>
      <c r="L345" s="337">
        <f t="shared" si="184"/>
        <v>1.4239904403343489</v>
      </c>
      <c r="M345" s="325">
        <f t="shared" si="164"/>
        <v>1.0160695497482051</v>
      </c>
      <c r="N345" s="337">
        <f t="shared" si="165"/>
        <v>0.1780857539654494</v>
      </c>
      <c r="O345" s="343">
        <f t="shared" si="166"/>
        <v>1.0116133896598571</v>
      </c>
      <c r="P345" s="691">
        <f t="shared" si="167"/>
        <v>0.15167135512640972</v>
      </c>
      <c r="Q345" s="336">
        <f t="shared" si="182"/>
        <v>15.161630304369522</v>
      </c>
      <c r="R345" s="692">
        <f t="shared" si="168"/>
        <v>7.1223074352456006E-2</v>
      </c>
      <c r="S345" s="329">
        <f t="shared" si="169"/>
        <v>0.99514480607925304</v>
      </c>
      <c r="T345" s="330">
        <f t="shared" si="170"/>
        <v>0.22862002716443561</v>
      </c>
      <c r="U345" s="331">
        <f t="shared" si="171"/>
        <v>3.5290589361289237</v>
      </c>
      <c r="V345" s="332">
        <f t="shared" si="172"/>
        <v>-113.41284032537961</v>
      </c>
      <c r="W345" s="334">
        <f t="shared" si="173"/>
        <v>66.587159674620395</v>
      </c>
      <c r="Y345" s="307">
        <f t="shared" si="174"/>
        <v>1000000000</v>
      </c>
      <c r="Z345" s="307">
        <f t="shared" si="175"/>
        <v>691847809</v>
      </c>
      <c r="AB345" s="333">
        <f t="shared" si="176"/>
        <v>23.405844327078714</v>
      </c>
      <c r="AC345" s="334">
        <f t="shared" si="177"/>
        <v>-18.613278624617205</v>
      </c>
      <c r="AE345" s="333">
        <f t="shared" si="178"/>
        <v>37.617241370706338</v>
      </c>
      <c r="AF345" s="334">
        <f t="shared" si="179"/>
        <v>-99.408908663460338</v>
      </c>
      <c r="AH345">
        <f t="shared" si="180"/>
        <v>0</v>
      </c>
      <c r="AI345">
        <f t="shared" si="155"/>
        <v>0</v>
      </c>
    </row>
    <row r="346" spans="1:35" x14ac:dyDescent="0.25">
      <c r="A346" s="335">
        <v>26456</v>
      </c>
      <c r="B346" s="352">
        <f t="shared" si="181"/>
        <v>26.456</v>
      </c>
      <c r="C346" s="325">
        <f t="shared" si="156"/>
        <v>32.07596609376499</v>
      </c>
      <c r="D346" s="326">
        <f t="shared" si="157"/>
        <v>1.5396152843171613</v>
      </c>
      <c r="E346" s="326">
        <f t="shared" si="158"/>
        <v>1.0005524820110112</v>
      </c>
      <c r="F346" s="327">
        <f t="shared" si="159"/>
        <v>3.3233349732759314E-2</v>
      </c>
      <c r="G346" s="326">
        <f t="shared" si="160"/>
        <v>1</v>
      </c>
      <c r="H346" s="327">
        <f t="shared" si="161"/>
        <v>0</v>
      </c>
      <c r="I346" s="325">
        <f t="shared" si="162"/>
        <v>35114.145164649592</v>
      </c>
      <c r="J346" s="328">
        <f t="shared" si="163"/>
        <v>1.5707678482431493</v>
      </c>
      <c r="K346" s="336">
        <f t="shared" si="183"/>
        <v>6.8751620539995377</v>
      </c>
      <c r="L346" s="337">
        <f t="shared" si="184"/>
        <v>1.4248274036037443</v>
      </c>
      <c r="M346" s="325">
        <f t="shared" si="164"/>
        <v>1.0162555414018899</v>
      </c>
      <c r="N346" s="337">
        <f t="shared" si="165"/>
        <v>0.17909969912561394</v>
      </c>
      <c r="O346" s="343">
        <f t="shared" si="166"/>
        <v>1.0117481020220478</v>
      </c>
      <c r="P346" s="691">
        <f t="shared" si="167"/>
        <v>0.15254001746132212</v>
      </c>
      <c r="Q346" s="336">
        <f t="shared" si="182"/>
        <v>15.162065385665937</v>
      </c>
      <c r="R346" s="692">
        <f t="shared" si="168"/>
        <v>7.1636015557382096E-2</v>
      </c>
      <c r="S346" s="329">
        <f t="shared" si="169"/>
        <v>0.99509362596621465</v>
      </c>
      <c r="T346" s="330">
        <f t="shared" si="170"/>
        <v>0.22998578897178501</v>
      </c>
      <c r="U346" s="331">
        <f t="shared" si="171"/>
        <v>3.4774779308141239</v>
      </c>
      <c r="V346" s="332">
        <f t="shared" si="172"/>
        <v>-113.47451292741847</v>
      </c>
      <c r="W346" s="334">
        <f t="shared" si="173"/>
        <v>66.525487072581527</v>
      </c>
      <c r="Y346" s="307">
        <f t="shared" si="174"/>
        <v>1000000000</v>
      </c>
      <c r="Z346" s="307">
        <f t="shared" si="175"/>
        <v>699919936</v>
      </c>
      <c r="AB346" s="333">
        <f t="shared" si="176"/>
        <v>23.403182649134923</v>
      </c>
      <c r="AC346" s="334">
        <f t="shared" si="177"/>
        <v>-18.623428431341477</v>
      </c>
      <c r="AE346" s="333">
        <f t="shared" si="178"/>
        <v>37.567414704939779</v>
      </c>
      <c r="AF346" s="334">
        <f t="shared" si="179"/>
        <v>-99.486542356187911</v>
      </c>
      <c r="AH346">
        <f t="shared" si="180"/>
        <v>0</v>
      </c>
      <c r="AI346">
        <f t="shared" ref="AI346:AI409" si="185">IF(AH346&gt;0,W346,0)</f>
        <v>0</v>
      </c>
    </row>
    <row r="347" spans="1:35" x14ac:dyDescent="0.25">
      <c r="A347" s="335">
        <v>26609</v>
      </c>
      <c r="B347" s="352">
        <f t="shared" si="181"/>
        <v>26.609000000000002</v>
      </c>
      <c r="C347" s="325">
        <f t="shared" si="156"/>
        <v>32.26128763088311</v>
      </c>
      <c r="D347" s="326">
        <f t="shared" si="157"/>
        <v>1.5397944580727243</v>
      </c>
      <c r="E347" s="326">
        <f t="shared" si="158"/>
        <v>1.0005588889127988</v>
      </c>
      <c r="F347" s="327">
        <f t="shared" si="159"/>
        <v>3.3425401703843657E-2</v>
      </c>
      <c r="G347" s="326">
        <f t="shared" si="160"/>
        <v>1</v>
      </c>
      <c r="H347" s="327">
        <f t="shared" si="161"/>
        <v>0</v>
      </c>
      <c r="I347" s="325">
        <f t="shared" si="162"/>
        <v>35317.216838592998</v>
      </c>
      <c r="J347" s="328">
        <f t="shared" si="163"/>
        <v>1.5707680119929488</v>
      </c>
      <c r="K347" s="336">
        <f t="shared" si="183"/>
        <v>6.9140835994712946</v>
      </c>
      <c r="L347" s="337">
        <f t="shared" si="184"/>
        <v>1.4256549443898283</v>
      </c>
      <c r="M347" s="325">
        <f t="shared" si="164"/>
        <v>1.016442577469451</v>
      </c>
      <c r="N347" s="337">
        <f t="shared" si="165"/>
        <v>0.18011327217446549</v>
      </c>
      <c r="O347" s="343">
        <f t="shared" si="166"/>
        <v>1.0118835776196962</v>
      </c>
      <c r="P347" s="691">
        <f t="shared" si="167"/>
        <v>0.1534084478504176</v>
      </c>
      <c r="Q347" s="336">
        <f t="shared" si="182"/>
        <v>15.162502977833453</v>
      </c>
      <c r="R347" s="692">
        <f t="shared" si="168"/>
        <v>7.2048933347820629E-2</v>
      </c>
      <c r="S347" s="329">
        <f t="shared" si="169"/>
        <v>0.99504227683366619</v>
      </c>
      <c r="T347" s="330">
        <f t="shared" si="170"/>
        <v>0.23135216821812274</v>
      </c>
      <c r="U347" s="331">
        <f t="shared" si="171"/>
        <v>3.4262029148528033</v>
      </c>
      <c r="V347" s="332">
        <f t="shared" si="172"/>
        <v>-113.53663212038602</v>
      </c>
      <c r="W347" s="334">
        <f t="shared" si="173"/>
        <v>66.463367879613983</v>
      </c>
      <c r="Y347" s="307">
        <f t="shared" si="174"/>
        <v>1000000000</v>
      </c>
      <c r="Z347" s="307">
        <f t="shared" si="175"/>
        <v>708038881</v>
      </c>
      <c r="AB347" s="333">
        <f t="shared" si="176"/>
        <v>23.400530515726956</v>
      </c>
      <c r="AC347" s="334">
        <f t="shared" si="177"/>
        <v>-18.634096677035913</v>
      </c>
      <c r="AE347" s="333">
        <f t="shared" si="178"/>
        <v>37.517879517660809</v>
      </c>
      <c r="AF347" s="334">
        <f t="shared" si="179"/>
        <v>-99.564092252908921</v>
      </c>
      <c r="AH347">
        <f t="shared" si="180"/>
        <v>0</v>
      </c>
      <c r="AI347">
        <f t="shared" si="185"/>
        <v>0</v>
      </c>
    </row>
    <row r="348" spans="1:35" x14ac:dyDescent="0.25">
      <c r="A348" s="335">
        <v>26762</v>
      </c>
      <c r="B348" s="352">
        <f t="shared" si="181"/>
        <v>26.762</v>
      </c>
      <c r="C348" s="325">
        <f t="shared" si="156"/>
        <v>32.446610191862021</v>
      </c>
      <c r="D348" s="326">
        <f t="shared" si="157"/>
        <v>1.5399715850907285</v>
      </c>
      <c r="E348" s="326">
        <f t="shared" si="158"/>
        <v>1.0005653327186865</v>
      </c>
      <c r="F348" s="327">
        <f t="shared" si="159"/>
        <v>3.3617451208318681E-2</v>
      </c>
      <c r="G348" s="326">
        <f t="shared" si="160"/>
        <v>1</v>
      </c>
      <c r="H348" s="327">
        <f t="shared" si="161"/>
        <v>0</v>
      </c>
      <c r="I348" s="325">
        <f t="shared" si="162"/>
        <v>35520.288512537336</v>
      </c>
      <c r="J348" s="328">
        <f t="shared" si="163"/>
        <v>1.5707681738704129</v>
      </c>
      <c r="K348" s="336">
        <f t="shared" si="183"/>
        <v>6.9530098268594989</v>
      </c>
      <c r="L348" s="337">
        <f t="shared" si="184"/>
        <v>1.42647321980405</v>
      </c>
      <c r="M348" s="325">
        <f t="shared" si="164"/>
        <v>1.0166306573744457</v>
      </c>
      <c r="N348" s="337">
        <f t="shared" si="165"/>
        <v>0.18112647123541162</v>
      </c>
      <c r="O348" s="343">
        <f t="shared" si="166"/>
        <v>1.012019816146287</v>
      </c>
      <c r="P348" s="691">
        <f t="shared" si="167"/>
        <v>0.15427664507721903</v>
      </c>
      <c r="Q348" s="336">
        <f t="shared" si="182"/>
        <v>15.162943080654872</v>
      </c>
      <c r="R348" s="692">
        <f t="shared" si="168"/>
        <v>7.2461827591079164E-2</v>
      </c>
      <c r="S348" s="329">
        <f t="shared" si="169"/>
        <v>0.99499076091930005</v>
      </c>
      <c r="T348" s="330">
        <f t="shared" si="170"/>
        <v>0.23271916824197797</v>
      </c>
      <c r="U348" s="331">
        <f t="shared" si="171"/>
        <v>3.3752301543959713</v>
      </c>
      <c r="V348" s="332">
        <f t="shared" si="172"/>
        <v>-113.59919109474745</v>
      </c>
      <c r="W348" s="334">
        <f t="shared" si="173"/>
        <v>66.400808905252546</v>
      </c>
      <c r="Y348" s="307">
        <f t="shared" si="174"/>
        <v>1000000000</v>
      </c>
      <c r="Z348" s="307">
        <f t="shared" si="175"/>
        <v>716204644</v>
      </c>
      <c r="AB348" s="333">
        <f t="shared" si="176"/>
        <v>23.397887529244098</v>
      </c>
      <c r="AC348" s="334">
        <f t="shared" si="177"/>
        <v>-18.645274254228799</v>
      </c>
      <c r="AE348" s="333">
        <f t="shared" si="178"/>
        <v>37.468632477603457</v>
      </c>
      <c r="AF348" s="334">
        <f t="shared" si="179"/>
        <v>-99.641560589464007</v>
      </c>
      <c r="AH348">
        <f t="shared" si="180"/>
        <v>0</v>
      </c>
      <c r="AI348">
        <f t="shared" si="185"/>
        <v>0</v>
      </c>
    </row>
    <row r="349" spans="1:35" x14ac:dyDescent="0.25">
      <c r="A349" s="335">
        <v>26915</v>
      </c>
      <c r="B349" s="352">
        <f t="shared" si="181"/>
        <v>26.914999999999999</v>
      </c>
      <c r="C349" s="325">
        <f t="shared" si="156"/>
        <v>32.631933759257656</v>
      </c>
      <c r="D349" s="326">
        <f t="shared" si="157"/>
        <v>1.5401467002315141</v>
      </c>
      <c r="E349" s="326">
        <f t="shared" si="158"/>
        <v>1.0005718134279613</v>
      </c>
      <c r="F349" s="327">
        <f t="shared" si="159"/>
        <v>3.3809498232065464E-2</v>
      </c>
      <c r="G349" s="326">
        <f t="shared" si="160"/>
        <v>1</v>
      </c>
      <c r="H349" s="327">
        <f t="shared" si="161"/>
        <v>0</v>
      </c>
      <c r="I349" s="325">
        <f t="shared" si="162"/>
        <v>35723.360186482598</v>
      </c>
      <c r="J349" s="328">
        <f t="shared" si="163"/>
        <v>1.5707683339074721</v>
      </c>
      <c r="K349" s="336">
        <f t="shared" si="183"/>
        <v>6.9919406579672572</v>
      </c>
      <c r="L349" s="337">
        <f t="shared" si="184"/>
        <v>1.4272823835089639</v>
      </c>
      <c r="M349" s="325">
        <f t="shared" si="164"/>
        <v>1.016819780537642</v>
      </c>
      <c r="N349" s="337">
        <f t="shared" si="165"/>
        <v>0.18213929443631602</v>
      </c>
      <c r="O349" s="343">
        <f t="shared" si="166"/>
        <v>1.0121568172937447</v>
      </c>
      <c r="P349" s="691">
        <f t="shared" si="167"/>
        <v>0.15514460792730847</v>
      </c>
      <c r="Q349" s="336">
        <f t="shared" si="182"/>
        <v>15.163385693911776</v>
      </c>
      <c r="R349" s="692">
        <f t="shared" si="168"/>
        <v>7.2874698154511752E-2</v>
      </c>
      <c r="S349" s="329">
        <f t="shared" si="169"/>
        <v>0.99493908047424251</v>
      </c>
      <c r="T349" s="330">
        <f t="shared" si="170"/>
        <v>0.23408679237729235</v>
      </c>
      <c r="U349" s="331">
        <f t="shared" si="171"/>
        <v>3.3245559832286125</v>
      </c>
      <c r="V349" s="332">
        <f t="shared" si="172"/>
        <v>-113.66218319201195</v>
      </c>
      <c r="W349" s="334">
        <f t="shared" si="173"/>
        <v>66.337816807988048</v>
      </c>
      <c r="Y349" s="307">
        <f t="shared" si="174"/>
        <v>1000000000</v>
      </c>
      <c r="Z349" s="307">
        <f t="shared" si="175"/>
        <v>724417225</v>
      </c>
      <c r="AB349" s="333">
        <f t="shared" si="176"/>
        <v>23.395253303427911</v>
      </c>
      <c r="AC349" s="334">
        <f t="shared" si="177"/>
        <v>-18.656952253268212</v>
      </c>
      <c r="AE349" s="333">
        <f t="shared" si="178"/>
        <v>37.419670309807429</v>
      </c>
      <c r="AF349" s="334">
        <f t="shared" si="179"/>
        <v>-99.718949555033291</v>
      </c>
      <c r="AH349">
        <f t="shared" si="180"/>
        <v>0</v>
      </c>
      <c r="AI349">
        <f t="shared" si="185"/>
        <v>0</v>
      </c>
    </row>
    <row r="350" spans="1:35" x14ac:dyDescent="0.25">
      <c r="A350" s="335">
        <v>27071.75</v>
      </c>
      <c r="B350" s="352">
        <f t="shared" si="181"/>
        <v>27.071750000000002</v>
      </c>
      <c r="C350" s="325">
        <f t="shared" si="156"/>
        <v>32.821800596847751</v>
      </c>
      <c r="D350" s="326">
        <f t="shared" si="157"/>
        <v>1.5403240565825655</v>
      </c>
      <c r="E350" s="326">
        <f t="shared" si="158"/>
        <v>1.0005784912486142</v>
      </c>
      <c r="F350" s="327">
        <f t="shared" si="159"/>
        <v>3.4006249703270652E-2</v>
      </c>
      <c r="G350" s="326">
        <f t="shared" si="160"/>
        <v>1</v>
      </c>
      <c r="H350" s="327">
        <f t="shared" si="161"/>
        <v>0</v>
      </c>
      <c r="I350" s="325">
        <f t="shared" si="162"/>
        <v>35931.409107339219</v>
      </c>
      <c r="J350" s="328">
        <f t="shared" si="163"/>
        <v>1.5707684959910131</v>
      </c>
      <c r="K350" s="336">
        <f t="shared" si="183"/>
        <v>7.0318303705229548</v>
      </c>
      <c r="L350" s="337">
        <f t="shared" si="184"/>
        <v>1.4281020873528918</v>
      </c>
      <c r="M350" s="325">
        <f t="shared" si="164"/>
        <v>1.0170146203905921</v>
      </c>
      <c r="N350" s="337">
        <f t="shared" si="165"/>
        <v>0.18317654999127708</v>
      </c>
      <c r="O350" s="343">
        <f t="shared" si="166"/>
        <v>1.0122979668761842</v>
      </c>
      <c r="P350" s="691">
        <f t="shared" si="167"/>
        <v>0.15603360004521907</v>
      </c>
      <c r="Q350" s="336">
        <f t="shared" si="182"/>
        <v>15.163841758788134</v>
      </c>
      <c r="R350" s="692">
        <f t="shared" si="168"/>
        <v>7.3297663398341623E-2</v>
      </c>
      <c r="S350" s="329">
        <f t="shared" si="169"/>
        <v>0.99488596509035421</v>
      </c>
      <c r="T350" s="330">
        <f t="shared" si="170"/>
        <v>0.23548858743708784</v>
      </c>
      <c r="U350" s="331">
        <f t="shared" si="171"/>
        <v>3.2729456908247068</v>
      </c>
      <c r="V350" s="332">
        <f t="shared" si="172"/>
        <v>-113.72716158277319</v>
      </c>
      <c r="W350" s="334">
        <f t="shared" si="173"/>
        <v>66.272838417226808</v>
      </c>
      <c r="Y350" s="307">
        <f t="shared" si="174"/>
        <v>1000000000</v>
      </c>
      <c r="Z350" s="307">
        <f t="shared" si="175"/>
        <v>732879648.0625</v>
      </c>
      <c r="AB350" s="333">
        <f t="shared" si="176"/>
        <v>23.392563206334245</v>
      </c>
      <c r="AC350" s="334">
        <f t="shared" si="177"/>
        <v>-18.669426334853348</v>
      </c>
      <c r="AE350" s="333">
        <f t="shared" si="178"/>
        <v>37.369800153740684</v>
      </c>
      <c r="AF350" s="334">
        <f t="shared" si="179"/>
        <v>-99.798155237264396</v>
      </c>
      <c r="AH350">
        <f t="shared" si="180"/>
        <v>0</v>
      </c>
      <c r="AI350">
        <f t="shared" si="185"/>
        <v>0</v>
      </c>
    </row>
    <row r="351" spans="1:35" x14ac:dyDescent="0.25">
      <c r="A351" s="335">
        <v>27228.5</v>
      </c>
      <c r="B351" s="352">
        <f t="shared" si="181"/>
        <v>27.2285</v>
      </c>
      <c r="C351" s="325">
        <f t="shared" si="156"/>
        <v>33.011668454980686</v>
      </c>
      <c r="D351" s="326">
        <f t="shared" si="157"/>
        <v>1.5404993727955738</v>
      </c>
      <c r="E351" s="326">
        <f t="shared" si="158"/>
        <v>1.0005852078022843</v>
      </c>
      <c r="F351" s="327">
        <f t="shared" si="159"/>
        <v>3.4202998540654284E-2</v>
      </c>
      <c r="G351" s="326">
        <f t="shared" si="160"/>
        <v>1</v>
      </c>
      <c r="H351" s="327">
        <f t="shared" si="161"/>
        <v>0</v>
      </c>
      <c r="I351" s="325">
        <f t="shared" si="162"/>
        <v>36139.458028196772</v>
      </c>
      <c r="J351" s="328">
        <f t="shared" si="163"/>
        <v>1.5707686562083774</v>
      </c>
      <c r="K351" s="336">
        <f t="shared" si="183"/>
        <v>7.0717247545623021</v>
      </c>
      <c r="L351" s="337">
        <f t="shared" si="184"/>
        <v>1.4289125431919365</v>
      </c>
      <c r="M351" s="325">
        <f t="shared" si="164"/>
        <v>1.017210554028781</v>
      </c>
      <c r="N351" s="337">
        <f t="shared" si="165"/>
        <v>0.18421340707207948</v>
      </c>
      <c r="O351" s="343">
        <f t="shared" si="166"/>
        <v>1.0124399162613382</v>
      </c>
      <c r="P351" s="691">
        <f t="shared" si="167"/>
        <v>0.15692234358263318</v>
      </c>
      <c r="Q351" s="336">
        <f t="shared" si="182"/>
        <v>15.164300458200586</v>
      </c>
      <c r="R351" s="692">
        <f t="shared" si="168"/>
        <v>7.372060350562723E-2</v>
      </c>
      <c r="S351" s="329">
        <f t="shared" si="169"/>
        <v>0.99483268183853402</v>
      </c>
      <c r="T351" s="330">
        <f t="shared" si="170"/>
        <v>0.2368910446465331</v>
      </c>
      <c r="U351" s="331">
        <f t="shared" si="171"/>
        <v>3.2216412237961785</v>
      </c>
      <c r="V351" s="332">
        <f t="shared" si="172"/>
        <v>-113.79258090775517</v>
      </c>
      <c r="W351" s="334">
        <f t="shared" si="173"/>
        <v>66.207419092244834</v>
      </c>
      <c r="Y351" s="307">
        <f t="shared" si="174"/>
        <v>1000000000</v>
      </c>
      <c r="Z351" s="307">
        <f t="shared" si="175"/>
        <v>741391212.25</v>
      </c>
      <c r="AB351" s="333">
        <f t="shared" si="176"/>
        <v>23.389881518758635</v>
      </c>
      <c r="AC351" s="334">
        <f t="shared" si="177"/>
        <v>-18.682407350276193</v>
      </c>
      <c r="AE351" s="333">
        <f t="shared" si="178"/>
        <v>37.320222221927352</v>
      </c>
      <c r="AF351" s="334">
        <f t="shared" si="179"/>
        <v>-99.877282117483134</v>
      </c>
      <c r="AH351">
        <f t="shared" si="180"/>
        <v>0</v>
      </c>
      <c r="AI351">
        <f t="shared" si="185"/>
        <v>0</v>
      </c>
    </row>
    <row r="352" spans="1:35" x14ac:dyDescent="0.25">
      <c r="A352" s="335">
        <v>27385.25</v>
      </c>
      <c r="B352" s="352">
        <f t="shared" si="181"/>
        <v>27.385249999999999</v>
      </c>
      <c r="C352" s="325">
        <f t="shared" si="156"/>
        <v>33.201537316148062</v>
      </c>
      <c r="D352" s="326">
        <f t="shared" si="157"/>
        <v>1.540672683860338</v>
      </c>
      <c r="E352" s="326">
        <f t="shared" si="158"/>
        <v>1.0005919630881923</v>
      </c>
      <c r="F352" s="327">
        <f t="shared" si="159"/>
        <v>3.4399744729037222E-2</v>
      </c>
      <c r="G352" s="326">
        <f t="shared" si="160"/>
        <v>1</v>
      </c>
      <c r="H352" s="327">
        <f t="shared" si="161"/>
        <v>0</v>
      </c>
      <c r="I352" s="325">
        <f t="shared" si="162"/>
        <v>36347.506949055241</v>
      </c>
      <c r="J352" s="328">
        <f t="shared" si="163"/>
        <v>1.5707688145916106</v>
      </c>
      <c r="K352" s="336">
        <f t="shared" si="183"/>
        <v>7.1116237314678239</v>
      </c>
      <c r="L352" s="337">
        <f t="shared" si="184"/>
        <v>1.4297139056070798</v>
      </c>
      <c r="M352" s="325">
        <f t="shared" si="164"/>
        <v>1.0174075808202816</v>
      </c>
      <c r="N352" s="337">
        <f t="shared" si="165"/>
        <v>0.18524986368019267</v>
      </c>
      <c r="O352" s="343">
        <f t="shared" si="166"/>
        <v>1.0125826651128442</v>
      </c>
      <c r="P352" s="691">
        <f t="shared" si="167"/>
        <v>0.1578108372404145</v>
      </c>
      <c r="Q352" s="336">
        <f t="shared" si="182"/>
        <v>15.164761791910275</v>
      </c>
      <c r="R352" s="692">
        <f t="shared" si="168"/>
        <v>7.4143518333881955E-2</v>
      </c>
      <c r="S352" s="329">
        <f t="shared" si="169"/>
        <v>0.99477923318344008</v>
      </c>
      <c r="T352" s="330">
        <f t="shared" si="170"/>
        <v>0.23829416757550695</v>
      </c>
      <c r="U352" s="331">
        <f t="shared" si="171"/>
        <v>3.1706388499119487</v>
      </c>
      <c r="V352" s="332">
        <f t="shared" si="172"/>
        <v>-113.85843447389642</v>
      </c>
      <c r="W352" s="334">
        <f t="shared" si="173"/>
        <v>66.141565526103577</v>
      </c>
      <c r="Y352" s="307">
        <f t="shared" si="174"/>
        <v>1000000000</v>
      </c>
      <c r="Z352" s="307">
        <f t="shared" si="175"/>
        <v>749951917.5625</v>
      </c>
      <c r="AB352" s="333">
        <f t="shared" si="176"/>
        <v>23.387207860009973</v>
      </c>
      <c r="AC352" s="334">
        <f t="shared" si="177"/>
        <v>-18.695886330027612</v>
      </c>
      <c r="AE352" s="333">
        <f t="shared" si="178"/>
        <v>37.270933168278148</v>
      </c>
      <c r="AF352" s="334">
        <f t="shared" si="179"/>
        <v>-99.956332405865979</v>
      </c>
      <c r="AH352">
        <f t="shared" si="180"/>
        <v>0</v>
      </c>
      <c r="AI352">
        <f t="shared" si="185"/>
        <v>0</v>
      </c>
    </row>
    <row r="353" spans="1:35" x14ac:dyDescent="0.25">
      <c r="A353" s="335">
        <v>27542</v>
      </c>
      <c r="B353" s="352">
        <f t="shared" si="181"/>
        <v>27.542000000000002</v>
      </c>
      <c r="C353" s="325">
        <f t="shared" si="156"/>
        <v>33.391407163239656</v>
      </c>
      <c r="D353" s="326">
        <f t="shared" si="157"/>
        <v>1.5408440239713121</v>
      </c>
      <c r="E353" s="326">
        <f t="shared" si="158"/>
        <v>1.0005987571055532</v>
      </c>
      <c r="F353" s="327">
        <f t="shared" si="159"/>
        <v>3.459648825324154E-2</v>
      </c>
      <c r="G353" s="326">
        <f t="shared" si="160"/>
        <v>1</v>
      </c>
      <c r="H353" s="327">
        <f t="shared" si="161"/>
        <v>0</v>
      </c>
      <c r="I353" s="325">
        <f t="shared" si="162"/>
        <v>36555.55586991462</v>
      </c>
      <c r="J353" s="328">
        <f t="shared" si="163"/>
        <v>1.5707689711720281</v>
      </c>
      <c r="K353" s="336">
        <f t="shared" si="183"/>
        <v>7.1515272243675536</v>
      </c>
      <c r="L353" s="337">
        <f t="shared" si="184"/>
        <v>1.4305063257765471</v>
      </c>
      <c r="M353" s="325">
        <f t="shared" si="164"/>
        <v>1.0176057001301309</v>
      </c>
      <c r="N353" s="337">
        <f t="shared" si="165"/>
        <v>0.18628591782207121</v>
      </c>
      <c r="O353" s="343">
        <f t="shared" si="166"/>
        <v>1.012726213092636</v>
      </c>
      <c r="P353" s="691">
        <f t="shared" si="167"/>
        <v>0.15869907972173522</v>
      </c>
      <c r="Q353" s="336">
        <f t="shared" si="182"/>
        <v>15.165225759677002</v>
      </c>
      <c r="R353" s="692">
        <f t="shared" si="168"/>
        <v>7.4566407740671567E-2</v>
      </c>
      <c r="S353" s="329">
        <f t="shared" si="169"/>
        <v>0.99472562160456302</v>
      </c>
      <c r="T353" s="330">
        <f t="shared" si="170"/>
        <v>0.23969795978864245</v>
      </c>
      <c r="U353" s="331">
        <f t="shared" si="171"/>
        <v>3.119934904438467</v>
      </c>
      <c r="V353" s="332">
        <f t="shared" si="172"/>
        <v>-113.92471573734302</v>
      </c>
      <c r="W353" s="334">
        <f t="shared" si="173"/>
        <v>66.075284262656979</v>
      </c>
      <c r="Y353" s="307">
        <f t="shared" si="174"/>
        <v>1000000000</v>
      </c>
      <c r="Z353" s="307">
        <f t="shared" si="175"/>
        <v>758561764</v>
      </c>
      <c r="AB353" s="333">
        <f t="shared" si="176"/>
        <v>23.3845418603319</v>
      </c>
      <c r="AC353" s="334">
        <f t="shared" si="177"/>
        <v>-18.709854499805822</v>
      </c>
      <c r="AE353" s="333">
        <f t="shared" si="178"/>
        <v>37.221929703292609</v>
      </c>
      <c r="AF353" s="334">
        <f t="shared" si="179"/>
        <v>-100.0353082667189</v>
      </c>
      <c r="AH353">
        <f t="shared" si="180"/>
        <v>0</v>
      </c>
      <c r="AI353">
        <f t="shared" si="185"/>
        <v>0</v>
      </c>
    </row>
    <row r="354" spans="1:35" x14ac:dyDescent="0.25">
      <c r="A354" s="335">
        <v>27702.5</v>
      </c>
      <c r="B354" s="352">
        <f t="shared" si="181"/>
        <v>27.702500000000001</v>
      </c>
      <c r="C354" s="325">
        <f t="shared" si="156"/>
        <v>33.58582035529308</v>
      </c>
      <c r="D354" s="326">
        <f t="shared" si="157"/>
        <v>1.5410174557841034</v>
      </c>
      <c r="E354" s="326">
        <f t="shared" si="158"/>
        <v>1.0006057537908122</v>
      </c>
      <c r="F354" s="327">
        <f t="shared" si="159"/>
        <v>3.4797935783925031E-2</v>
      </c>
      <c r="G354" s="326">
        <f t="shared" si="160"/>
        <v>1</v>
      </c>
      <c r="H354" s="327">
        <f t="shared" si="161"/>
        <v>0</v>
      </c>
      <c r="I354" s="325">
        <f t="shared" si="162"/>
        <v>36768.582037685424</v>
      </c>
      <c r="J354" s="328">
        <f t="shared" si="163"/>
        <v>1.5707691296623256</v>
      </c>
      <c r="K354" s="336">
        <f t="shared" si="183"/>
        <v>7.1923899471234112</v>
      </c>
      <c r="L354" s="337">
        <f t="shared" si="184"/>
        <v>1.4313085920858339</v>
      </c>
      <c r="M354" s="325">
        <f t="shared" si="164"/>
        <v>1.017809690506227</v>
      </c>
      <c r="N354" s="337">
        <f t="shared" si="165"/>
        <v>0.18734633884736093</v>
      </c>
      <c r="O354" s="343">
        <f t="shared" si="166"/>
        <v>1.0128740229135704</v>
      </c>
      <c r="P354" s="691">
        <f t="shared" si="167"/>
        <v>0.15960831040931989</v>
      </c>
      <c r="Q354" s="336">
        <f t="shared" si="182"/>
        <v>15.165703556233176</v>
      </c>
      <c r="R354" s="692">
        <f t="shared" si="168"/>
        <v>7.4999387629214209E-2</v>
      </c>
      <c r="S354" s="329">
        <f t="shared" si="169"/>
        <v>0.99467056124033226</v>
      </c>
      <c r="T354" s="330">
        <f t="shared" si="170"/>
        <v>0.24113603275806961</v>
      </c>
      <c r="U354" s="331">
        <f t="shared" si="171"/>
        <v>3.0683234104910113</v>
      </c>
      <c r="V354" s="332">
        <f t="shared" si="172"/>
        <v>-113.99301916254453</v>
      </c>
      <c r="W354" s="334">
        <f t="shared" si="173"/>
        <v>66.006980837455473</v>
      </c>
      <c r="Y354" s="307">
        <f t="shared" si="174"/>
        <v>1000000000</v>
      </c>
      <c r="Z354" s="307">
        <f t="shared" si="175"/>
        <v>767428506.25</v>
      </c>
      <c r="AB354" s="333">
        <f t="shared" si="176"/>
        <v>23.381819641788859</v>
      </c>
      <c r="AC354" s="334">
        <f t="shared" si="177"/>
        <v>-18.724654756336232</v>
      </c>
      <c r="AE354" s="333">
        <f t="shared" si="178"/>
        <v>37.172046447831903</v>
      </c>
      <c r="AF354" s="334">
        <f t="shared" si="179"/>
        <v>-100.11609859619598</v>
      </c>
      <c r="AH354">
        <f t="shared" si="180"/>
        <v>0</v>
      </c>
      <c r="AI354">
        <f t="shared" si="185"/>
        <v>0</v>
      </c>
    </row>
    <row r="355" spans="1:35" x14ac:dyDescent="0.25">
      <c r="A355" s="335">
        <v>27863</v>
      </c>
      <c r="B355" s="352">
        <f t="shared" si="181"/>
        <v>27.863</v>
      </c>
      <c r="C355" s="325">
        <f t="shared" si="156"/>
        <v>33.780234545932693</v>
      </c>
      <c r="D355" s="326">
        <f t="shared" si="157"/>
        <v>1.54118889131003</v>
      </c>
      <c r="E355" s="326">
        <f t="shared" si="158"/>
        <v>1.0006127910811922</v>
      </c>
      <c r="F355" s="327">
        <f t="shared" si="159"/>
        <v>3.4999380489230104E-2</v>
      </c>
      <c r="G355" s="326">
        <f t="shared" si="160"/>
        <v>1</v>
      </c>
      <c r="H355" s="327">
        <f t="shared" si="161"/>
        <v>0</v>
      </c>
      <c r="I355" s="325">
        <f t="shared" si="162"/>
        <v>36981.608205457138</v>
      </c>
      <c r="J355" s="328">
        <f t="shared" si="163"/>
        <v>1.5707692863267113</v>
      </c>
      <c r="K355" s="336">
        <f t="shared" si="183"/>
        <v>7.2332572468204814</v>
      </c>
      <c r="L355" s="337">
        <f t="shared" si="184"/>
        <v>1.432101793425486</v>
      </c>
      <c r="M355" s="325">
        <f t="shared" si="164"/>
        <v>1.0180148249425123</v>
      </c>
      <c r="N355" s="337">
        <f t="shared" si="165"/>
        <v>0.18840633370526591</v>
      </c>
      <c r="O355" s="343">
        <f t="shared" si="166"/>
        <v>1.0130226698331515</v>
      </c>
      <c r="P355" s="691">
        <f t="shared" si="167"/>
        <v>0.16051727501436927</v>
      </c>
      <c r="Q355" s="336">
        <f t="shared" si="182"/>
        <v>15.16618411387139</v>
      </c>
      <c r="R355" s="692">
        <f t="shared" si="168"/>
        <v>7.5432340563339639E-2</v>
      </c>
      <c r="S355" s="329">
        <f t="shared" si="169"/>
        <v>0.99461533537264069</v>
      </c>
      <c r="T355" s="330">
        <f t="shared" si="170"/>
        <v>0.24257481496467714</v>
      </c>
      <c r="U355" s="331">
        <f t="shared" si="171"/>
        <v>3.0170172281554493</v>
      </c>
      <c r="V355" s="332">
        <f t="shared" si="172"/>
        <v>-114.06175757043768</v>
      </c>
      <c r="W355" s="334">
        <f t="shared" si="173"/>
        <v>65.938242429562322</v>
      </c>
      <c r="Y355" s="307">
        <f t="shared" si="174"/>
        <v>1000000000</v>
      </c>
      <c r="Z355" s="307">
        <f t="shared" si="175"/>
        <v>776346769</v>
      </c>
      <c r="AB355" s="333">
        <f t="shared" si="176"/>
        <v>23.379104702156486</v>
      </c>
      <c r="AC355" s="334">
        <f t="shared" si="177"/>
        <v>-18.739949875159152</v>
      </c>
      <c r="AE355" s="333">
        <f t="shared" si="178"/>
        <v>37.122455805256394</v>
      </c>
      <c r="AF355" s="334">
        <f t="shared" si="179"/>
        <v>-100.19681534504031</v>
      </c>
      <c r="AH355">
        <f t="shared" si="180"/>
        <v>0</v>
      </c>
      <c r="AI355">
        <f t="shared" si="185"/>
        <v>0</v>
      </c>
    </row>
    <row r="356" spans="1:35" x14ac:dyDescent="0.25">
      <c r="A356" s="335">
        <v>28023.5</v>
      </c>
      <c r="B356" s="352">
        <f t="shared" si="181"/>
        <v>28.023499999999999</v>
      </c>
      <c r="C356" s="325">
        <f t="shared" si="156"/>
        <v>33.974649718015762</v>
      </c>
      <c r="D356" s="326">
        <f t="shared" si="157"/>
        <v>1.5413583648093427</v>
      </c>
      <c r="E356" s="326">
        <f t="shared" si="158"/>
        <v>1.0006198689758361</v>
      </c>
      <c r="F356" s="327">
        <f t="shared" si="159"/>
        <v>3.5200822352867318E-2</v>
      </c>
      <c r="G356" s="326">
        <f t="shared" si="160"/>
        <v>1</v>
      </c>
      <c r="H356" s="327">
        <f t="shared" si="161"/>
        <v>0</v>
      </c>
      <c r="I356" s="325">
        <f t="shared" si="162"/>
        <v>37194.634373229746</v>
      </c>
      <c r="J356" s="328">
        <f t="shared" si="163"/>
        <v>1.5707694411965578</v>
      </c>
      <c r="K356" s="336">
        <f t="shared" si="183"/>
        <v>7.2741290463166486</v>
      </c>
      <c r="L356" s="337">
        <f t="shared" si="184"/>
        <v>1.4328860815913493</v>
      </c>
      <c r="M356" s="325">
        <f t="shared" si="164"/>
        <v>1.0182211027475274</v>
      </c>
      <c r="N356" s="337">
        <f t="shared" si="165"/>
        <v>0.18946590027208332</v>
      </c>
      <c r="O356" s="343">
        <f t="shared" si="166"/>
        <v>1.0131721534829365</v>
      </c>
      <c r="P356" s="691">
        <f t="shared" si="167"/>
        <v>0.16142597215232643</v>
      </c>
      <c r="Q356" s="336">
        <f t="shared" si="182"/>
        <v>15.166667432329415</v>
      </c>
      <c r="R356" s="692">
        <f t="shared" si="168"/>
        <v>7.5865266390317224E-2</v>
      </c>
      <c r="S356" s="329">
        <f t="shared" si="169"/>
        <v>0.99455994671161652</v>
      </c>
      <c r="T356" s="330">
        <f t="shared" si="170"/>
        <v>0.24401431021767905</v>
      </c>
      <c r="U356" s="331">
        <f t="shared" si="171"/>
        <v>2.9660126327220473</v>
      </c>
      <c r="V356" s="332">
        <f t="shared" si="172"/>
        <v>-114.13092439661094</v>
      </c>
      <c r="W356" s="334">
        <f t="shared" si="173"/>
        <v>65.869075603389064</v>
      </c>
      <c r="Y356" s="307">
        <f t="shared" si="174"/>
        <v>1000000000</v>
      </c>
      <c r="Z356" s="307">
        <f t="shared" si="175"/>
        <v>785316552.25</v>
      </c>
      <c r="AB356" s="333">
        <f t="shared" si="176"/>
        <v>23.376396677825714</v>
      </c>
      <c r="AC356" s="334">
        <f t="shared" si="177"/>
        <v>-18.755731039131543</v>
      </c>
      <c r="AE356" s="333">
        <f t="shared" si="178"/>
        <v>37.073154420429319</v>
      </c>
      <c r="AF356" s="334">
        <f t="shared" si="179"/>
        <v>-100.27746069540486</v>
      </c>
      <c r="AH356">
        <f t="shared" si="180"/>
        <v>0</v>
      </c>
      <c r="AI356">
        <f t="shared" si="185"/>
        <v>0</v>
      </c>
    </row>
    <row r="357" spans="1:35" x14ac:dyDescent="0.25">
      <c r="A357" s="335">
        <v>28184</v>
      </c>
      <c r="B357" s="352">
        <f t="shared" si="181"/>
        <v>28.184000000000001</v>
      </c>
      <c r="C357" s="325">
        <f t="shared" si="156"/>
        <v>34.169065854789643</v>
      </c>
      <c r="D357" s="326">
        <f t="shared" si="157"/>
        <v>1.5415259097630098</v>
      </c>
      <c r="E357" s="326">
        <f t="shared" si="158"/>
        <v>1.0006269874738829</v>
      </c>
      <c r="F357" s="327">
        <f t="shared" si="159"/>
        <v>3.5402261358548591E-2</v>
      </c>
      <c r="G357" s="326">
        <f t="shared" si="160"/>
        <v>1</v>
      </c>
      <c r="H357" s="327">
        <f t="shared" si="161"/>
        <v>0</v>
      </c>
      <c r="I357" s="325">
        <f t="shared" si="162"/>
        <v>37407.660541003243</v>
      </c>
      <c r="J357" s="328">
        <f t="shared" si="163"/>
        <v>1.5707695943025233</v>
      </c>
      <c r="K357" s="336">
        <f t="shared" si="183"/>
        <v>7.3150052701854973</v>
      </c>
      <c r="L357" s="337">
        <f t="shared" si="184"/>
        <v>1.4336616050307545</v>
      </c>
      <c r="M357" s="325">
        <f t="shared" si="164"/>
        <v>1.0184285232265211</v>
      </c>
      <c r="N357" s="337">
        <f t="shared" si="165"/>
        <v>0.19052503642967278</v>
      </c>
      <c r="O357" s="343">
        <f t="shared" si="166"/>
        <v>1.0133224734926261</v>
      </c>
      <c r="P357" s="691">
        <f t="shared" si="167"/>
        <v>0.16233440044121586</v>
      </c>
      <c r="Q357" s="336">
        <f t="shared" si="182"/>
        <v>15.167153511343555</v>
      </c>
      <c r="R357" s="692">
        <f t="shared" si="168"/>
        <v>7.6298164957475198E-2</v>
      </c>
      <c r="S357" s="329">
        <f t="shared" si="169"/>
        <v>0.99450439798372692</v>
      </c>
      <c r="T357" s="330">
        <f t="shared" si="170"/>
        <v>0.24545452232030138</v>
      </c>
      <c r="U357" s="331">
        <f t="shared" si="171"/>
        <v>2.9153059666954064</v>
      </c>
      <c r="V357" s="332">
        <f t="shared" si="172"/>
        <v>-114.20051322364894</v>
      </c>
      <c r="W357" s="334">
        <f t="shared" si="173"/>
        <v>65.79948677635106</v>
      </c>
      <c r="Y357" s="307">
        <f t="shared" si="174"/>
        <v>1000000000</v>
      </c>
      <c r="Z357" s="307">
        <f t="shared" si="175"/>
        <v>794337856</v>
      </c>
      <c r="AB357" s="333">
        <f t="shared" si="176"/>
        <v>23.373695215693733</v>
      </c>
      <c r="AC357" s="334">
        <f t="shared" si="177"/>
        <v>-18.771989623243961</v>
      </c>
      <c r="AE357" s="333">
        <f t="shared" si="178"/>
        <v>37.024138994950221</v>
      </c>
      <c r="AF357" s="334">
        <f t="shared" si="179"/>
        <v>-100.35803678444984</v>
      </c>
      <c r="AH357">
        <f t="shared" si="180"/>
        <v>0</v>
      </c>
      <c r="AI357">
        <f t="shared" si="185"/>
        <v>0</v>
      </c>
    </row>
    <row r="358" spans="1:35" x14ac:dyDescent="0.25">
      <c r="A358" s="335">
        <v>28348</v>
      </c>
      <c r="B358" s="352">
        <f t="shared" si="181"/>
        <v>28.347999999999999</v>
      </c>
      <c r="C358" s="325">
        <f t="shared" si="156"/>
        <v>34.367722575233813</v>
      </c>
      <c r="D358" s="326">
        <f t="shared" si="157"/>
        <v>1.5416951503008856</v>
      </c>
      <c r="E358" s="326">
        <f t="shared" si="158"/>
        <v>1.0006343031442781</v>
      </c>
      <c r="F358" s="327">
        <f t="shared" si="159"/>
        <v>3.560809014606698E-2</v>
      </c>
      <c r="G358" s="326">
        <f t="shared" si="160"/>
        <v>1</v>
      </c>
      <c r="H358" s="327">
        <f t="shared" si="161"/>
        <v>0</v>
      </c>
      <c r="I358" s="325">
        <f t="shared" si="162"/>
        <v>37625.332139227517</v>
      </c>
      <c r="J358" s="328">
        <f t="shared" si="163"/>
        <v>1.570769748956423</v>
      </c>
      <c r="K358" s="336">
        <f t="shared" si="183"/>
        <v>7.3567773692977232</v>
      </c>
      <c r="L358" s="337">
        <f t="shared" si="184"/>
        <v>1.434445137734996</v>
      </c>
      <c r="M358" s="325">
        <f t="shared" si="164"/>
        <v>1.0186416464900965</v>
      </c>
      <c r="N358" s="337">
        <f t="shared" si="165"/>
        <v>0.19160682222600983</v>
      </c>
      <c r="O358" s="343">
        <f t="shared" si="166"/>
        <v>1.0134769350378727</v>
      </c>
      <c r="P358" s="691">
        <f t="shared" si="167"/>
        <v>0.16326235955049812</v>
      </c>
      <c r="Q358" s="336">
        <f t="shared" si="182"/>
        <v>15.167653041446734</v>
      </c>
      <c r="R358" s="692">
        <f t="shared" si="168"/>
        <v>7.674047536353934E-2</v>
      </c>
      <c r="S358" s="329">
        <f t="shared" si="169"/>
        <v>0.99444747542597878</v>
      </c>
      <c r="T358" s="330">
        <f t="shared" si="170"/>
        <v>0.24692688533655777</v>
      </c>
      <c r="U358" s="331">
        <f t="shared" si="171"/>
        <v>2.8637975565607947</v>
      </c>
      <c r="V358" s="332">
        <f t="shared" si="172"/>
        <v>-114.27204894158818</v>
      </c>
      <c r="W358" s="334">
        <f t="shared" si="173"/>
        <v>65.727951058411819</v>
      </c>
      <c r="Y358" s="307">
        <f t="shared" si="174"/>
        <v>1000000000</v>
      </c>
      <c r="Z358" s="307">
        <f t="shared" si="175"/>
        <v>803609104</v>
      </c>
      <c r="AB358" s="333">
        <f t="shared" si="176"/>
        <v>23.370941264821564</v>
      </c>
      <c r="AC358" s="334">
        <f t="shared" si="177"/>
        <v>-18.789087127683029</v>
      </c>
      <c r="AE358" s="333">
        <f t="shared" si="178"/>
        <v>36.97434670457487</v>
      </c>
      <c r="AF358" s="334">
        <f t="shared" si="179"/>
        <v>-100.44030061900219</v>
      </c>
      <c r="AH358">
        <f t="shared" si="180"/>
        <v>0</v>
      </c>
      <c r="AI358">
        <f t="shared" si="185"/>
        <v>0</v>
      </c>
    </row>
    <row r="359" spans="1:35" x14ac:dyDescent="0.25">
      <c r="A359" s="335">
        <v>28512</v>
      </c>
      <c r="B359" s="352">
        <f t="shared" si="181"/>
        <v>28.512</v>
      </c>
      <c r="C359" s="325">
        <f t="shared" si="156"/>
        <v>34.566380268736026</v>
      </c>
      <c r="D359" s="326">
        <f t="shared" si="157"/>
        <v>1.5418624455466818</v>
      </c>
      <c r="E359" s="326">
        <f t="shared" si="158"/>
        <v>1.0006416612064146</v>
      </c>
      <c r="F359" s="327">
        <f t="shared" si="159"/>
        <v>3.5813915915245513E-2</v>
      </c>
      <c r="G359" s="326">
        <f t="shared" si="160"/>
        <v>1</v>
      </c>
      <c r="H359" s="327">
        <f t="shared" si="161"/>
        <v>0</v>
      </c>
      <c r="I359" s="325">
        <f t="shared" si="162"/>
        <v>37843.003737452695</v>
      </c>
      <c r="J359" s="328">
        <f t="shared" si="163"/>
        <v>1.5707699018311951</v>
      </c>
      <c r="K359" s="336">
        <f t="shared" si="183"/>
        <v>7.3985539339067099</v>
      </c>
      <c r="L359" s="337">
        <f t="shared" si="184"/>
        <v>1.4352198223421395</v>
      </c>
      <c r="M359" s="325">
        <f t="shared" si="164"/>
        <v>1.0188559613302355</v>
      </c>
      <c r="N359" s="337">
        <f t="shared" si="165"/>
        <v>0.19268815418326934</v>
      </c>
      <c r="O359" s="343">
        <f t="shared" si="166"/>
        <v>1.0136322690299122</v>
      </c>
      <c r="P359" s="691">
        <f t="shared" si="167"/>
        <v>0.16419003504837398</v>
      </c>
      <c r="Q359" s="336">
        <f t="shared" si="182"/>
        <v>15.168155453255512</v>
      </c>
      <c r="R359" s="692">
        <f t="shared" si="168"/>
        <v>7.718275698582637E-2</v>
      </c>
      <c r="S359" s="329">
        <f t="shared" si="169"/>
        <v>0.99439039155178033</v>
      </c>
      <c r="T359" s="330">
        <f t="shared" si="170"/>
        <v>0.24840000481683502</v>
      </c>
      <c r="U359" s="331">
        <f t="shared" si="171"/>
        <v>2.812592698223221</v>
      </c>
      <c r="V359" s="332">
        <f t="shared" si="172"/>
        <v>-114.34401217180361</v>
      </c>
      <c r="W359" s="334">
        <f t="shared" si="173"/>
        <v>65.655987828196388</v>
      </c>
      <c r="Y359" s="307">
        <f t="shared" si="174"/>
        <v>1000000000</v>
      </c>
      <c r="Z359" s="307">
        <f t="shared" si="175"/>
        <v>812934144</v>
      </c>
      <c r="AB359" s="333">
        <f t="shared" si="176"/>
        <v>23.368193452166768</v>
      </c>
      <c r="AC359" s="334">
        <f t="shared" si="177"/>
        <v>-18.806665485742879</v>
      </c>
      <c r="AE359" s="333">
        <f t="shared" si="178"/>
        <v>36.9248461942299</v>
      </c>
      <c r="AF359" s="334">
        <f t="shared" si="179"/>
        <v>-100.52249651166227</v>
      </c>
      <c r="AH359">
        <f t="shared" si="180"/>
        <v>0</v>
      </c>
      <c r="AI359">
        <f t="shared" si="185"/>
        <v>0</v>
      </c>
    </row>
    <row r="360" spans="1:35" x14ac:dyDescent="0.25">
      <c r="A360" s="335">
        <v>28676</v>
      </c>
      <c r="B360" s="352">
        <f t="shared" si="181"/>
        <v>28.675999999999998</v>
      </c>
      <c r="C360" s="325">
        <f t="shared" si="156"/>
        <v>34.765038918615289</v>
      </c>
      <c r="D360" s="326">
        <f t="shared" si="157"/>
        <v>1.5420278288390328</v>
      </c>
      <c r="E360" s="326">
        <f t="shared" si="158"/>
        <v>1.0006490616593575</v>
      </c>
      <c r="F360" s="327">
        <f t="shared" si="159"/>
        <v>3.6019738648711642E-2</v>
      </c>
      <c r="G360" s="326">
        <f t="shared" si="160"/>
        <v>1</v>
      </c>
      <c r="H360" s="327">
        <f t="shared" si="161"/>
        <v>0</v>
      </c>
      <c r="I360" s="325">
        <f t="shared" si="162"/>
        <v>38060.67533567873</v>
      </c>
      <c r="J360" s="328">
        <f t="shared" si="163"/>
        <v>1.5707700529573649</v>
      </c>
      <c r="K360" s="336">
        <f t="shared" si="183"/>
        <v>7.4403348887928127</v>
      </c>
      <c r="L360" s="337">
        <f t="shared" si="184"/>
        <v>1.4359858069730236</v>
      </c>
      <c r="M360" s="325">
        <f t="shared" si="164"/>
        <v>1.0190714669951584</v>
      </c>
      <c r="N360" s="337">
        <f t="shared" si="165"/>
        <v>0.19376903005982782</v>
      </c>
      <c r="O360" s="343">
        <f t="shared" si="166"/>
        <v>1.0137884750677122</v>
      </c>
      <c r="P360" s="691">
        <f t="shared" si="167"/>
        <v>0.16511742546889671</v>
      </c>
      <c r="Q360" s="336">
        <f t="shared" si="182"/>
        <v>15.168660746483798</v>
      </c>
      <c r="R360" s="692">
        <f t="shared" si="168"/>
        <v>7.7625009661649813E-2</v>
      </c>
      <c r="S360" s="329">
        <f t="shared" si="169"/>
        <v>0.99433314932280814</v>
      </c>
      <c r="T360" s="330">
        <f t="shared" si="170"/>
        <v>0.24987388479888531</v>
      </c>
      <c r="U360" s="331">
        <f t="shared" si="171"/>
        <v>2.7616876966781341</v>
      </c>
      <c r="V360" s="332">
        <f t="shared" si="172"/>
        <v>-114.41639651808556</v>
      </c>
      <c r="W360" s="334">
        <f t="shared" si="173"/>
        <v>65.583603481914437</v>
      </c>
      <c r="Y360" s="307">
        <f t="shared" si="174"/>
        <v>1000000000</v>
      </c>
      <c r="Z360" s="307">
        <f t="shared" si="175"/>
        <v>822312976</v>
      </c>
      <c r="AB360" s="333">
        <f t="shared" si="176"/>
        <v>23.365451432805777</v>
      </c>
      <c r="AC360" s="334">
        <f t="shared" si="177"/>
        <v>-18.824716084037963</v>
      </c>
      <c r="AE360" s="333">
        <f t="shared" si="178"/>
        <v>36.875634120318104</v>
      </c>
      <c r="AF360" s="334">
        <f t="shared" si="179"/>
        <v>-100.60462660493465</v>
      </c>
      <c r="AH360">
        <f t="shared" si="180"/>
        <v>0</v>
      </c>
      <c r="AI360">
        <f t="shared" si="185"/>
        <v>0</v>
      </c>
    </row>
    <row r="361" spans="1:35" x14ac:dyDescent="0.25">
      <c r="A361" s="335">
        <v>28840</v>
      </c>
      <c r="B361" s="352">
        <f t="shared" si="181"/>
        <v>28.84</v>
      </c>
      <c r="C361" s="325">
        <f t="shared" si="156"/>
        <v>34.9636985085696</v>
      </c>
      <c r="D361" s="326">
        <f t="shared" si="157"/>
        <v>1.542191332759292</v>
      </c>
      <c r="E361" s="326">
        <f t="shared" si="158"/>
        <v>1.0006565045021663</v>
      </c>
      <c r="F361" s="327">
        <f t="shared" si="159"/>
        <v>3.6225558329094389E-2</v>
      </c>
      <c r="G361" s="326">
        <f t="shared" si="160"/>
        <v>1</v>
      </c>
      <c r="H361" s="327">
        <f t="shared" si="161"/>
        <v>0</v>
      </c>
      <c r="I361" s="325">
        <f t="shared" si="162"/>
        <v>38278.346933905632</v>
      </c>
      <c r="J361" s="328">
        <f t="shared" si="163"/>
        <v>1.5707702023647627</v>
      </c>
      <c r="K361" s="336">
        <f t="shared" si="183"/>
        <v>7.4821201604087086</v>
      </c>
      <c r="L361" s="337">
        <f t="shared" si="184"/>
        <v>1.4367432364810149</v>
      </c>
      <c r="M361" s="325">
        <f t="shared" si="164"/>
        <v>1.0192881627295451</v>
      </c>
      <c r="N361" s="337">
        <f t="shared" si="165"/>
        <v>0.194849447620215</v>
      </c>
      <c r="O361" s="343">
        <f t="shared" si="166"/>
        <v>1.0139455527482368</v>
      </c>
      <c r="P361" s="691">
        <f t="shared" si="167"/>
        <v>0.16604452934898167</v>
      </c>
      <c r="Q361" s="336">
        <f t="shared" si="182"/>
        <v>15.169168920843905</v>
      </c>
      <c r="R361" s="692">
        <f t="shared" si="168"/>
        <v>7.8067233228388822E-2</v>
      </c>
      <c r="S361" s="329">
        <f t="shared" si="169"/>
        <v>0.99427575171859006</v>
      </c>
      <c r="T361" s="330">
        <f t="shared" si="170"/>
        <v>0.25134852931367896</v>
      </c>
      <c r="U361" s="331">
        <f t="shared" si="171"/>
        <v>2.711078923316887</v>
      </c>
      <c r="V361" s="332">
        <f t="shared" si="172"/>
        <v>-114.48919572781161</v>
      </c>
      <c r="W361" s="334">
        <f t="shared" si="173"/>
        <v>65.510804272188395</v>
      </c>
      <c r="Y361" s="307">
        <f t="shared" si="174"/>
        <v>1000000000</v>
      </c>
      <c r="Z361" s="307">
        <f t="shared" si="175"/>
        <v>831745600</v>
      </c>
      <c r="AB361" s="333">
        <f t="shared" si="176"/>
        <v>23.362714871826228</v>
      </c>
      <c r="AC361" s="334">
        <f t="shared" si="177"/>
        <v>-18.843230496707871</v>
      </c>
      <c r="AE361" s="333">
        <f t="shared" si="178"/>
        <v>36.826707195657391</v>
      </c>
      <c r="AF361" s="334">
        <f t="shared" si="179"/>
        <v>-100.68669299754625</v>
      </c>
      <c r="AH361">
        <f t="shared" si="180"/>
        <v>0</v>
      </c>
      <c r="AI361">
        <f t="shared" si="185"/>
        <v>0</v>
      </c>
    </row>
    <row r="362" spans="1:35" x14ac:dyDescent="0.25">
      <c r="A362" s="335">
        <v>29008</v>
      </c>
      <c r="B362" s="352">
        <f t="shared" si="181"/>
        <v>29.007999999999999</v>
      </c>
      <c r="C362" s="325">
        <f t="shared" si="156"/>
        <v>35.167204412470767</v>
      </c>
      <c r="D362" s="326">
        <f t="shared" si="157"/>
        <v>1.5423569091753018</v>
      </c>
      <c r="E362" s="326">
        <f t="shared" si="158"/>
        <v>1.0006641728300605</v>
      </c>
      <c r="F362" s="327">
        <f t="shared" si="159"/>
        <v>3.6436394817835428E-2</v>
      </c>
      <c r="G362" s="326">
        <f t="shared" si="160"/>
        <v>1</v>
      </c>
      <c r="H362" s="327">
        <f t="shared" si="161"/>
        <v>0</v>
      </c>
      <c r="I362" s="325">
        <f t="shared" si="162"/>
        <v>38501.327595504801</v>
      </c>
      <c r="J362" s="328">
        <f t="shared" si="163"/>
        <v>1.5707703536645512</v>
      </c>
      <c r="K362" s="336">
        <f t="shared" si="183"/>
        <v>7.5249289857639425</v>
      </c>
      <c r="L362" s="337">
        <f t="shared" si="184"/>
        <v>1.4375104172944015</v>
      </c>
      <c r="M362" s="325">
        <f t="shared" si="164"/>
        <v>1.019511376895059</v>
      </c>
      <c r="N362" s="337">
        <f t="shared" si="165"/>
        <v>0.19595573927798712</v>
      </c>
      <c r="O362" s="343">
        <f t="shared" si="166"/>
        <v>1.0141073649596566</v>
      </c>
      <c r="P362" s="691">
        <f t="shared" si="167"/>
        <v>0.1669939468836131</v>
      </c>
      <c r="Q362" s="336">
        <f t="shared" si="182"/>
        <v>15.169692476794239</v>
      </c>
      <c r="R362" s="692">
        <f t="shared" si="168"/>
        <v>7.8520212383150448E-2</v>
      </c>
      <c r="S362" s="329">
        <f t="shared" si="169"/>
        <v>0.99421679620020709</v>
      </c>
      <c r="T362" s="330">
        <f t="shared" si="170"/>
        <v>0.2528599377051392</v>
      </c>
      <c r="U362" s="331">
        <f t="shared" si="171"/>
        <v>2.6595392186382623</v>
      </c>
      <c r="V362" s="332">
        <f t="shared" si="172"/>
        <v>-114.56419430375554</v>
      </c>
      <c r="W362" s="334">
        <f t="shared" si="173"/>
        <v>65.435805696244458</v>
      </c>
      <c r="Y362" s="307">
        <f t="shared" si="174"/>
        <v>1000000000</v>
      </c>
      <c r="Z362" s="307">
        <f t="shared" si="175"/>
        <v>841464064</v>
      </c>
      <c r="AB362" s="333">
        <f t="shared" si="176"/>
        <v>23.359916885250481</v>
      </c>
      <c r="AC362" s="334">
        <f t="shared" si="177"/>
        <v>-18.86266878573981</v>
      </c>
      <c r="AE362" s="333">
        <f t="shared" si="178"/>
        <v>36.776879219574035</v>
      </c>
      <c r="AF362" s="334">
        <f t="shared" si="179"/>
        <v>-100.7706971084456</v>
      </c>
      <c r="AH362">
        <f t="shared" si="180"/>
        <v>0</v>
      </c>
      <c r="AI362">
        <f t="shared" si="185"/>
        <v>0</v>
      </c>
    </row>
    <row r="363" spans="1:35" x14ac:dyDescent="0.25">
      <c r="A363" s="335">
        <v>29176</v>
      </c>
      <c r="B363" s="352">
        <f t="shared" si="181"/>
        <v>29.175999999999998</v>
      </c>
      <c r="C363" s="325">
        <f t="shared" si="156"/>
        <v>35.370711269405895</v>
      </c>
      <c r="D363" s="326">
        <f t="shared" si="157"/>
        <v>1.5425205802941773</v>
      </c>
      <c r="E363" s="326">
        <f t="shared" si="158"/>
        <v>1.0006718856388208</v>
      </c>
      <c r="F363" s="327">
        <f t="shared" si="159"/>
        <v>3.6647228065848983E-2</v>
      </c>
      <c r="G363" s="326">
        <f t="shared" si="160"/>
        <v>1</v>
      </c>
      <c r="H363" s="327">
        <f t="shared" si="161"/>
        <v>0</v>
      </c>
      <c r="I363" s="325">
        <f t="shared" si="162"/>
        <v>38724.308257104836</v>
      </c>
      <c r="J363" s="328">
        <f t="shared" si="163"/>
        <v>1.5707705032219235</v>
      </c>
      <c r="K363" s="336">
        <f t="shared" si="183"/>
        <v>7.5677421899314421</v>
      </c>
      <c r="L363" s="337">
        <f t="shared" si="184"/>
        <v>1.4382689181621355</v>
      </c>
      <c r="M363" s="325">
        <f t="shared" si="164"/>
        <v>1.0197358382742669</v>
      </c>
      <c r="N363" s="337">
        <f t="shared" si="165"/>
        <v>0.19706154526103459</v>
      </c>
      <c r="O363" s="343">
        <f t="shared" si="166"/>
        <v>1.0142700909888738</v>
      </c>
      <c r="P363" s="691">
        <f t="shared" si="167"/>
        <v>0.16794306063092831</v>
      </c>
      <c r="Q363" s="336">
        <f t="shared" si="182"/>
        <v>15.170219055517039</v>
      </c>
      <c r="R363" s="692">
        <f t="shared" si="168"/>
        <v>7.8973160646305385E-2</v>
      </c>
      <c r="S363" s="329">
        <f t="shared" si="169"/>
        <v>0.99415768402187865</v>
      </c>
      <c r="T363" s="330">
        <f t="shared" si="170"/>
        <v>0.25437215691950699</v>
      </c>
      <c r="U363" s="331">
        <f t="shared" si="171"/>
        <v>2.6083028667841681</v>
      </c>
      <c r="V363" s="332">
        <f t="shared" si="172"/>
        <v>-114.6396153897057</v>
      </c>
      <c r="W363" s="334">
        <f t="shared" si="173"/>
        <v>65.360384610294304</v>
      </c>
      <c r="Y363" s="307">
        <f t="shared" si="174"/>
        <v>1000000000</v>
      </c>
      <c r="Z363" s="307">
        <f t="shared" si="175"/>
        <v>851238976</v>
      </c>
      <c r="AB363" s="333">
        <f t="shared" si="176"/>
        <v>23.357123945887004</v>
      </c>
      <c r="AC363" s="334">
        <f t="shared" si="177"/>
        <v>-18.882576472079545</v>
      </c>
      <c r="AE363" s="333">
        <f t="shared" si="178"/>
        <v>36.727343664970661</v>
      </c>
      <c r="AF363" s="334">
        <f t="shared" si="179"/>
        <v>-100.85463869627092</v>
      </c>
      <c r="AH363">
        <f t="shared" si="180"/>
        <v>0</v>
      </c>
      <c r="AI363">
        <f t="shared" si="185"/>
        <v>0</v>
      </c>
    </row>
    <row r="364" spans="1:35" x14ac:dyDescent="0.25">
      <c r="A364" s="335">
        <v>29344</v>
      </c>
      <c r="B364" s="352">
        <f t="shared" si="181"/>
        <v>29.344000000000001</v>
      </c>
      <c r="C364" s="325">
        <f t="shared" si="156"/>
        <v>35.574219063019136</v>
      </c>
      <c r="D364" s="326">
        <f t="shared" si="157"/>
        <v>1.5426823788057098</v>
      </c>
      <c r="E364" s="326">
        <f t="shared" si="158"/>
        <v>1.0006796429274185</v>
      </c>
      <c r="F364" s="327">
        <f t="shared" si="159"/>
        <v>3.6858058054466833E-2</v>
      </c>
      <c r="G364" s="326">
        <f t="shared" si="160"/>
        <v>1</v>
      </c>
      <c r="H364" s="327">
        <f t="shared" si="161"/>
        <v>0</v>
      </c>
      <c r="I364" s="325">
        <f t="shared" si="162"/>
        <v>38947.28891870573</v>
      </c>
      <c r="J364" s="328">
        <f t="shared" si="163"/>
        <v>1.5707706510668069</v>
      </c>
      <c r="K364" s="336">
        <f t="shared" si="183"/>
        <v>7.6105596990121818</v>
      </c>
      <c r="L364" s="337">
        <f t="shared" si="184"/>
        <v>1.4390188847058356</v>
      </c>
      <c r="M364" s="325">
        <f t="shared" si="164"/>
        <v>1.0199615460437526</v>
      </c>
      <c r="N364" s="337">
        <f t="shared" si="165"/>
        <v>0.19816686318652468</v>
      </c>
      <c r="O364" s="343">
        <f t="shared" si="166"/>
        <v>1.0144337303961299</v>
      </c>
      <c r="P364" s="691">
        <f t="shared" si="167"/>
        <v>0.16889186902757736</v>
      </c>
      <c r="Q364" s="336">
        <f t="shared" si="182"/>
        <v>15.170748656697818</v>
      </c>
      <c r="R364" s="692">
        <f t="shared" si="168"/>
        <v>7.9426077843257531E-2</v>
      </c>
      <c r="S364" s="329">
        <f t="shared" si="169"/>
        <v>0.99409841844484326</v>
      </c>
      <c r="T364" s="330">
        <f t="shared" si="170"/>
        <v>0.25588519126738501</v>
      </c>
      <c r="U364" s="331">
        <f t="shared" si="171"/>
        <v>2.5573661734519089</v>
      </c>
      <c r="V364" s="332">
        <f t="shared" si="172"/>
        <v>-114.71545270795201</v>
      </c>
      <c r="W364" s="334">
        <f t="shared" si="173"/>
        <v>65.284547292047989</v>
      </c>
      <c r="Y364" s="307">
        <f t="shared" si="174"/>
        <v>1000000000</v>
      </c>
      <c r="Z364" s="307">
        <f t="shared" si="175"/>
        <v>861070336</v>
      </c>
      <c r="AB364" s="333">
        <f t="shared" si="176"/>
        <v>23.354335724273145</v>
      </c>
      <c r="AC364" s="334">
        <f t="shared" si="177"/>
        <v>-18.902945077411385</v>
      </c>
      <c r="AE364" s="333">
        <f t="shared" si="178"/>
        <v>36.678097174108423</v>
      </c>
      <c r="AF364" s="334">
        <f t="shared" si="179"/>
        <v>-100.93851988205823</v>
      </c>
      <c r="AH364">
        <f t="shared" si="180"/>
        <v>0</v>
      </c>
      <c r="AI364">
        <f t="shared" si="185"/>
        <v>0</v>
      </c>
    </row>
    <row r="365" spans="1:35" x14ac:dyDescent="0.25">
      <c r="A365" s="335">
        <v>29512</v>
      </c>
      <c r="B365" s="352">
        <f t="shared" si="181"/>
        <v>29.512</v>
      </c>
      <c r="C365" s="325">
        <f t="shared" si="156"/>
        <v>35.777727777326696</v>
      </c>
      <c r="D365" s="326">
        <f t="shared" si="157"/>
        <v>1.5428423366563115</v>
      </c>
      <c r="E365" s="326">
        <f t="shared" si="158"/>
        <v>1.0006874446948191</v>
      </c>
      <c r="F365" s="327">
        <f t="shared" si="159"/>
        <v>3.7068884765022521E-2</v>
      </c>
      <c r="G365" s="326">
        <f t="shared" si="160"/>
        <v>1</v>
      </c>
      <c r="H365" s="327">
        <f t="shared" si="161"/>
        <v>0</v>
      </c>
      <c r="I365" s="325">
        <f t="shared" si="162"/>
        <v>39170.269580307475</v>
      </c>
      <c r="J365" s="328">
        <f t="shared" si="163"/>
        <v>1.5707707972284468</v>
      </c>
      <c r="K365" s="336">
        <f t="shared" si="183"/>
        <v>7.6533814407535257</v>
      </c>
      <c r="L365" s="337">
        <f t="shared" si="184"/>
        <v>1.4397604593269222</v>
      </c>
      <c r="M365" s="325">
        <f t="shared" si="164"/>
        <v>1.0201884993762564</v>
      </c>
      <c r="N365" s="337">
        <f t="shared" si="165"/>
        <v>0.19927169067849773</v>
      </c>
      <c r="O365" s="343">
        <f t="shared" si="166"/>
        <v>1.0145982827394833</v>
      </c>
      <c r="P365" s="691">
        <f t="shared" si="167"/>
        <v>0.16984037051341508</v>
      </c>
      <c r="Q365" s="336">
        <f t="shared" si="182"/>
        <v>15.171281280020333</v>
      </c>
      <c r="R365" s="692">
        <f t="shared" si="168"/>
        <v>7.9878963799484601E-2</v>
      </c>
      <c r="S365" s="329">
        <f t="shared" si="169"/>
        <v>0.99403900275003998</v>
      </c>
      <c r="T365" s="330">
        <f t="shared" si="170"/>
        <v>0.25739904505161459</v>
      </c>
      <c r="U365" s="331">
        <f t="shared" si="171"/>
        <v>2.5067255106053192</v>
      </c>
      <c r="V365" s="332">
        <f t="shared" si="172"/>
        <v>-114.79170012242648</v>
      </c>
      <c r="W365" s="334">
        <f t="shared" si="173"/>
        <v>65.208299877573523</v>
      </c>
      <c r="Y365" s="307">
        <f t="shared" si="174"/>
        <v>1000000000</v>
      </c>
      <c r="Z365" s="307">
        <f t="shared" si="175"/>
        <v>870958144</v>
      </c>
      <c r="AB365" s="333">
        <f t="shared" si="176"/>
        <v>23.351551900582201</v>
      </c>
      <c r="AC365" s="334">
        <f t="shared" si="177"/>
        <v>-18.923766308278068</v>
      </c>
      <c r="AE365" s="333">
        <f t="shared" si="178"/>
        <v>36.629136445912074</v>
      </c>
      <c r="AF365" s="334">
        <f t="shared" si="179"/>
        <v>-101.02234274380628</v>
      </c>
      <c r="AH365">
        <f t="shared" si="180"/>
        <v>0</v>
      </c>
      <c r="AI365">
        <f t="shared" si="185"/>
        <v>0</v>
      </c>
    </row>
    <row r="366" spans="1:35" x14ac:dyDescent="0.25">
      <c r="A366" s="335">
        <v>29684</v>
      </c>
      <c r="B366" s="352">
        <f t="shared" si="181"/>
        <v>29.684000000000001</v>
      </c>
      <c r="C366" s="325">
        <f t="shared" si="156"/>
        <v>35.98608287473936</v>
      </c>
      <c r="D366" s="326">
        <f t="shared" si="157"/>
        <v>1.5430042287069914</v>
      </c>
      <c r="E366" s="326">
        <f t="shared" si="158"/>
        <v>1.0006954782974393</v>
      </c>
      <c r="F366" s="327">
        <f t="shared" si="159"/>
        <v>3.7284727743607853E-2</v>
      </c>
      <c r="G366" s="326">
        <f t="shared" si="160"/>
        <v>1</v>
      </c>
      <c r="H366" s="327">
        <f t="shared" si="161"/>
        <v>0</v>
      </c>
      <c r="I366" s="325">
        <f t="shared" si="162"/>
        <v>39398.559305281531</v>
      </c>
      <c r="J366" s="328">
        <f t="shared" si="163"/>
        <v>1.5707709451561327</v>
      </c>
      <c r="K366" s="336">
        <f t="shared" si="183"/>
        <v>7.6972270590350904</v>
      </c>
      <c r="L366" s="337">
        <f t="shared" si="184"/>
        <v>1.4405111418824574</v>
      </c>
      <c r="M366" s="325">
        <f t="shared" si="164"/>
        <v>1.0204221458921365</v>
      </c>
      <c r="N366" s="337">
        <f t="shared" si="165"/>
        <v>0.20040231302515532</v>
      </c>
      <c r="O366" s="343">
        <f t="shared" si="166"/>
        <v>1.0147676983317264</v>
      </c>
      <c r="P366" s="691">
        <f t="shared" si="167"/>
        <v>0.17081113578330454</v>
      </c>
      <c r="Q366" s="336">
        <f t="shared" si="182"/>
        <v>15.17182971545043</v>
      </c>
      <c r="R366" s="692">
        <f t="shared" si="168"/>
        <v>8.0342600207187378E-2</v>
      </c>
      <c r="S366" s="329">
        <f t="shared" si="169"/>
        <v>0.9939780203208981</v>
      </c>
      <c r="T366" s="330">
        <f t="shared" si="170"/>
        <v>0.25894979639264537</v>
      </c>
      <c r="U366" s="331">
        <f t="shared" si="171"/>
        <v>2.4551820840512657</v>
      </c>
      <c r="V366" s="332">
        <f t="shared" si="172"/>
        <v>-114.8701815476216</v>
      </c>
      <c r="W366" s="334">
        <f t="shared" si="173"/>
        <v>65.129818452378402</v>
      </c>
      <c r="Y366" s="307">
        <f t="shared" si="174"/>
        <v>1000000000</v>
      </c>
      <c r="Z366" s="307">
        <f t="shared" si="175"/>
        <v>881139856</v>
      </c>
      <c r="AB366" s="333">
        <f t="shared" si="176"/>
        <v>23.348706027429643</v>
      </c>
      <c r="AC366" s="334">
        <f t="shared" si="177"/>
        <v>-18.945543730435421</v>
      </c>
      <c r="AE366" s="333">
        <f t="shared" si="178"/>
        <v>36.579302646681839</v>
      </c>
      <c r="AF366" s="334">
        <f t="shared" si="179"/>
        <v>-101.10810309034979</v>
      </c>
      <c r="AH366">
        <f t="shared" si="180"/>
        <v>0</v>
      </c>
      <c r="AI366">
        <f t="shared" si="185"/>
        <v>0</v>
      </c>
    </row>
    <row r="367" spans="1:35" x14ac:dyDescent="0.25">
      <c r="A367" s="335">
        <v>29856</v>
      </c>
      <c r="B367" s="352">
        <f t="shared" si="181"/>
        <v>29.856000000000002</v>
      </c>
      <c r="C367" s="325">
        <f t="shared" si="156"/>
        <v>36.194438904453847</v>
      </c>
      <c r="D367" s="326">
        <f t="shared" si="157"/>
        <v>1.5431642568741153</v>
      </c>
      <c r="E367" s="326">
        <f t="shared" si="158"/>
        <v>1.0007035585199018</v>
      </c>
      <c r="F367" s="327">
        <f t="shared" si="159"/>
        <v>3.7500567246582413E-2</v>
      </c>
      <c r="G367" s="326">
        <f t="shared" si="160"/>
        <v>1</v>
      </c>
      <c r="H367" s="327">
        <f t="shared" si="161"/>
        <v>0</v>
      </c>
      <c r="I367" s="325">
        <f t="shared" si="162"/>
        <v>39626.849030256446</v>
      </c>
      <c r="J367" s="328">
        <f t="shared" si="163"/>
        <v>1.5707710913794</v>
      </c>
      <c r="K367" s="336">
        <f t="shared" si="183"/>
        <v>7.7410769657534999</v>
      </c>
      <c r="L367" s="337">
        <f t="shared" si="184"/>
        <v>1.4412533202578557</v>
      </c>
      <c r="M367" s="325">
        <f t="shared" si="164"/>
        <v>1.0206570962224986</v>
      </c>
      <c r="N367" s="337">
        <f t="shared" si="165"/>
        <v>0.20153241628827992</v>
      </c>
      <c r="O367" s="343">
        <f t="shared" si="166"/>
        <v>1.0149380699062578</v>
      </c>
      <c r="P367" s="691">
        <f t="shared" si="167"/>
        <v>0.17178157605436498</v>
      </c>
      <c r="Q367" s="336">
        <f t="shared" si="182"/>
        <v>15.172381317970492</v>
      </c>
      <c r="R367" s="692">
        <f t="shared" si="168"/>
        <v>8.0806203498820922E-2</v>
      </c>
      <c r="S367" s="329">
        <f t="shared" si="169"/>
        <v>0.99391688756368979</v>
      </c>
      <c r="T367" s="330">
        <f t="shared" si="170"/>
        <v>0.26050141575782659</v>
      </c>
      <c r="U367" s="331">
        <f t="shared" si="171"/>
        <v>2.4039414621790907</v>
      </c>
      <c r="V367" s="332">
        <f t="shared" si="172"/>
        <v>-114.94908025174274</v>
      </c>
      <c r="W367" s="334">
        <f t="shared" si="173"/>
        <v>65.050919748257257</v>
      </c>
      <c r="Y367" s="307">
        <f t="shared" si="174"/>
        <v>1000000000</v>
      </c>
      <c r="Z367" s="307">
        <f t="shared" si="175"/>
        <v>891380736</v>
      </c>
      <c r="AB367" s="333">
        <f t="shared" si="176"/>
        <v>23.345864115246467</v>
      </c>
      <c r="AC367" s="334">
        <f t="shared" si="177"/>
        <v>-18.967778567271711</v>
      </c>
      <c r="AE367" s="333">
        <f t="shared" si="178"/>
        <v>36.529761553660201</v>
      </c>
      <c r="AF367" s="334">
        <f t="shared" si="179"/>
        <v>-101.19380657749012</v>
      </c>
      <c r="AH367">
        <f t="shared" si="180"/>
        <v>0</v>
      </c>
      <c r="AI367">
        <f t="shared" si="185"/>
        <v>0</v>
      </c>
    </row>
    <row r="368" spans="1:35" x14ac:dyDescent="0.25">
      <c r="A368" s="335">
        <v>30028</v>
      </c>
      <c r="B368" s="352">
        <f t="shared" si="181"/>
        <v>30.027999999999999</v>
      </c>
      <c r="C368" s="325">
        <f t="shared" si="156"/>
        <v>36.402795850461715</v>
      </c>
      <c r="D368" s="326">
        <f t="shared" si="157"/>
        <v>1.5433224531540797</v>
      </c>
      <c r="E368" s="326">
        <f t="shared" si="158"/>
        <v>1.0007116853610778</v>
      </c>
      <c r="F368" s="327">
        <f t="shared" si="159"/>
        <v>3.7716403253920158E-2</v>
      </c>
      <c r="G368" s="326">
        <f t="shared" si="160"/>
        <v>1</v>
      </c>
      <c r="H368" s="327">
        <f t="shared" si="161"/>
        <v>0</v>
      </c>
      <c r="I368" s="325">
        <f t="shared" si="162"/>
        <v>39855.138755232198</v>
      </c>
      <c r="J368" s="328">
        <f t="shared" si="163"/>
        <v>1.570771235927537</v>
      </c>
      <c r="K368" s="336">
        <f t="shared" si="183"/>
        <v>7.784931088442776</v>
      </c>
      <c r="L368" s="337">
        <f t="shared" si="184"/>
        <v>1.4419871373459063</v>
      </c>
      <c r="M368" s="325">
        <f t="shared" si="164"/>
        <v>1.020893349467155</v>
      </c>
      <c r="N368" s="337">
        <f t="shared" si="165"/>
        <v>0.20266199794067544</v>
      </c>
      <c r="O368" s="343">
        <f t="shared" si="166"/>
        <v>1.0151093969817337</v>
      </c>
      <c r="P368" s="691">
        <f t="shared" si="167"/>
        <v>0.17275168966286511</v>
      </c>
      <c r="Q368" s="336">
        <f t="shared" si="182"/>
        <v>15.17293608723541</v>
      </c>
      <c r="R368" s="692">
        <f t="shared" si="168"/>
        <v>8.1269773487340935E-2</v>
      </c>
      <c r="S368" s="329">
        <f t="shared" si="169"/>
        <v>0.99385560806358408</v>
      </c>
      <c r="T368" s="330">
        <f t="shared" si="170"/>
        <v>0.26205390773893561</v>
      </c>
      <c r="U368" s="331">
        <f t="shared" si="171"/>
        <v>2.3529999571290086</v>
      </c>
      <c r="V368" s="332">
        <f t="shared" si="172"/>
        <v>-115.02839008661985</v>
      </c>
      <c r="W368" s="334">
        <f t="shared" si="173"/>
        <v>64.971609913380149</v>
      </c>
      <c r="Y368" s="307">
        <f t="shared" si="174"/>
        <v>1000000000</v>
      </c>
      <c r="Z368" s="307">
        <f t="shared" si="175"/>
        <v>901680784</v>
      </c>
      <c r="AB368" s="333">
        <f t="shared" si="176"/>
        <v>23.343025850164615</v>
      </c>
      <c r="AC368" s="334">
        <f t="shared" si="177"/>
        <v>-18.990462488513614</v>
      </c>
      <c r="AE368" s="333">
        <f t="shared" si="178"/>
        <v>36.480509800618165</v>
      </c>
      <c r="AF368" s="334">
        <f t="shared" si="179"/>
        <v>-101.27945530272268</v>
      </c>
      <c r="AH368">
        <f t="shared" si="180"/>
        <v>0</v>
      </c>
      <c r="AI368">
        <f t="shared" si="185"/>
        <v>0</v>
      </c>
    </row>
    <row r="369" spans="1:35" x14ac:dyDescent="0.25">
      <c r="A369" s="335">
        <v>30200</v>
      </c>
      <c r="B369" s="352">
        <f t="shared" si="181"/>
        <v>30.2</v>
      </c>
      <c r="C369" s="325">
        <f t="shared" si="156"/>
        <v>36.61115369711888</v>
      </c>
      <c r="D369" s="326">
        <f t="shared" si="157"/>
        <v>1.543478848815274</v>
      </c>
      <c r="E369" s="326">
        <f t="shared" si="158"/>
        <v>1.0007198588198316</v>
      </c>
      <c r="F369" s="327">
        <f t="shared" si="159"/>
        <v>3.7932235745596968E-2</v>
      </c>
      <c r="G369" s="326">
        <f t="shared" si="160"/>
        <v>1</v>
      </c>
      <c r="H369" s="327">
        <f t="shared" si="161"/>
        <v>0</v>
      </c>
      <c r="I369" s="325">
        <f t="shared" si="162"/>
        <v>40083.428480208771</v>
      </c>
      <c r="J369" s="328">
        <f t="shared" si="163"/>
        <v>1.5707713788291657</v>
      </c>
      <c r="K369" s="336">
        <f t="shared" si="183"/>
        <v>7.8287893562537629</v>
      </c>
      <c r="L369" s="337">
        <f t="shared" si="184"/>
        <v>1.4427127328738389</v>
      </c>
      <c r="M369" s="325">
        <f t="shared" si="164"/>
        <v>1.0211309047217629</v>
      </c>
      <c r="N369" s="337">
        <f t="shared" si="165"/>
        <v>0.20379105546280277</v>
      </c>
      <c r="O369" s="343">
        <f t="shared" si="166"/>
        <v>1.0152816790744363</v>
      </c>
      <c r="P369" s="691">
        <f t="shared" si="167"/>
        <v>0.17372147494865303</v>
      </c>
      <c r="Q369" s="336">
        <f t="shared" si="182"/>
        <v>15.173494022898145</v>
      </c>
      <c r="R369" s="692">
        <f t="shared" si="168"/>
        <v>8.1733309985786026E-2</v>
      </c>
      <c r="S369" s="329">
        <f t="shared" si="169"/>
        <v>0.99379418542744391</v>
      </c>
      <c r="T369" s="330">
        <f t="shared" si="170"/>
        <v>0.26360727691888242</v>
      </c>
      <c r="U369" s="331">
        <f t="shared" si="171"/>
        <v>2.3023539470352161</v>
      </c>
      <c r="V369" s="332">
        <f t="shared" si="172"/>
        <v>-115.10810504343645</v>
      </c>
      <c r="W369" s="334">
        <f t="shared" si="173"/>
        <v>64.891894956563547</v>
      </c>
      <c r="Y369" s="307">
        <f t="shared" si="174"/>
        <v>1000000000</v>
      </c>
      <c r="Z369" s="307">
        <f t="shared" si="175"/>
        <v>912040000</v>
      </c>
      <c r="AB369" s="333">
        <f t="shared" si="176"/>
        <v>23.340190927568276</v>
      </c>
      <c r="AC369" s="334">
        <f t="shared" si="177"/>
        <v>-19.013587345661549</v>
      </c>
      <c r="AE369" s="333">
        <f t="shared" si="178"/>
        <v>36.431544078104196</v>
      </c>
      <c r="AF369" s="334">
        <f t="shared" si="179"/>
        <v>-101.36505132132285</v>
      </c>
      <c r="AH369">
        <f t="shared" si="180"/>
        <v>0</v>
      </c>
      <c r="AI369">
        <f t="shared" si="185"/>
        <v>0</v>
      </c>
    </row>
    <row r="370" spans="1:35" x14ac:dyDescent="0.25">
      <c r="A370" s="335">
        <v>30375.75</v>
      </c>
      <c r="B370" s="352">
        <f t="shared" si="181"/>
        <v>30.37575</v>
      </c>
      <c r="C370" s="325">
        <f t="shared" si="156"/>
        <v>36.824055143797487</v>
      </c>
      <c r="D370" s="326">
        <f t="shared" si="157"/>
        <v>1.5436368261255276</v>
      </c>
      <c r="E370" s="326">
        <f t="shared" si="158"/>
        <v>1.0007282586310202</v>
      </c>
      <c r="F370" s="327">
        <f t="shared" si="159"/>
        <v>3.8152770235225494E-2</v>
      </c>
      <c r="G370" s="326">
        <f t="shared" si="160"/>
        <v>1</v>
      </c>
      <c r="H370" s="327">
        <f t="shared" si="161"/>
        <v>0</v>
      </c>
      <c r="I370" s="325">
        <f t="shared" si="162"/>
        <v>40316.69545209701</v>
      </c>
      <c r="J370" s="328">
        <f t="shared" si="163"/>
        <v>1.5707715231747366</v>
      </c>
      <c r="K370" s="336">
        <f t="shared" si="183"/>
        <v>7.8736080458954438</v>
      </c>
      <c r="L370" s="337">
        <f t="shared" si="184"/>
        <v>1.443445797842301</v>
      </c>
      <c r="M370" s="325">
        <f t="shared" si="164"/>
        <v>1.0213749831877899</v>
      </c>
      <c r="N370" s="337">
        <f t="shared" si="165"/>
        <v>0.2049441850554885</v>
      </c>
      <c r="O370" s="343">
        <f t="shared" si="166"/>
        <v>1.015458703288258</v>
      </c>
      <c r="P370" s="691">
        <f t="shared" si="167"/>
        <v>0.17471206294740055</v>
      </c>
      <c r="Q370" s="336">
        <f t="shared" si="182"/>
        <v>15.174067393195386</v>
      </c>
      <c r="R370" s="692">
        <f t="shared" si="168"/>
        <v>8.2206917870175769E-2</v>
      </c>
      <c r="S370" s="329">
        <f t="shared" si="169"/>
        <v>0.9937312795593507</v>
      </c>
      <c r="T370" s="330">
        <f t="shared" si="170"/>
        <v>0.26519542401313412</v>
      </c>
      <c r="U370" s="331">
        <f t="shared" si="171"/>
        <v>2.2509052640412568</v>
      </c>
      <c r="V370" s="332">
        <f t="shared" si="172"/>
        <v>-115.18997032875805</v>
      </c>
      <c r="W370" s="334">
        <f t="shared" si="173"/>
        <v>64.810029671241949</v>
      </c>
      <c r="Y370" s="307">
        <f t="shared" si="174"/>
        <v>1000000000</v>
      </c>
      <c r="Z370" s="307">
        <f t="shared" si="175"/>
        <v>922686188.0625</v>
      </c>
      <c r="AB370" s="333">
        <f t="shared" si="176"/>
        <v>23.337297342078113</v>
      </c>
      <c r="AC370" s="334">
        <f t="shared" si="177"/>
        <v>-19.037663546171821</v>
      </c>
      <c r="AE370" s="333">
        <f t="shared" si="178"/>
        <v>36.381802856399808</v>
      </c>
      <c r="AF370" s="334">
        <f t="shared" si="179"/>
        <v>-101.45246118481288</v>
      </c>
      <c r="AH370">
        <f t="shared" si="180"/>
        <v>0</v>
      </c>
      <c r="AI370">
        <f t="shared" si="185"/>
        <v>0</v>
      </c>
    </row>
    <row r="371" spans="1:35" x14ac:dyDescent="0.25">
      <c r="A371" s="335">
        <v>30551.5</v>
      </c>
      <c r="B371" s="352">
        <f t="shared" si="181"/>
        <v>30.551500000000001</v>
      </c>
      <c r="C371" s="325">
        <f t="shared" si="156"/>
        <v>37.036957498922192</v>
      </c>
      <c r="D371" s="326">
        <f t="shared" si="157"/>
        <v>1.5437929872137046</v>
      </c>
      <c r="E371" s="326">
        <f t="shared" si="158"/>
        <v>1.0007367071122708</v>
      </c>
      <c r="F371" s="327">
        <f t="shared" si="159"/>
        <v>3.8373301011959703E-2</v>
      </c>
      <c r="G371" s="326">
        <f t="shared" si="160"/>
        <v>1</v>
      </c>
      <c r="H371" s="327">
        <f t="shared" si="161"/>
        <v>0</v>
      </c>
      <c r="I371" s="325">
        <f t="shared" si="162"/>
        <v>40549.962423986079</v>
      </c>
      <c r="J371" s="328">
        <f t="shared" si="163"/>
        <v>1.5707716658595881</v>
      </c>
      <c r="K371" s="336">
        <f t="shared" si="183"/>
        <v>7.9184309187916986</v>
      </c>
      <c r="L371" s="337">
        <f t="shared" si="184"/>
        <v>1.4441705640579596</v>
      </c>
      <c r="M371" s="325">
        <f t="shared" si="164"/>
        <v>1.021620419134154</v>
      </c>
      <c r="N371" s="337">
        <f t="shared" si="165"/>
        <v>0.20609676212025446</v>
      </c>
      <c r="O371" s="343">
        <f t="shared" si="166"/>
        <v>1.0156367235878165</v>
      </c>
      <c r="P371" s="691">
        <f t="shared" si="167"/>
        <v>0.17570230465801101</v>
      </c>
      <c r="Q371" s="336">
        <f t="shared" si="182"/>
        <v>15.174644068726504</v>
      </c>
      <c r="R371" s="692">
        <f t="shared" si="168"/>
        <v>8.2680490393853626E-2</v>
      </c>
      <c r="S371" s="329">
        <f t="shared" si="169"/>
        <v>0.99366823192892217</v>
      </c>
      <c r="T371" s="330">
        <f t="shared" si="170"/>
        <v>0.26678449661862269</v>
      </c>
      <c r="U371" s="331">
        <f t="shared" si="171"/>
        <v>2.1997576598856918</v>
      </c>
      <c r="V371" s="332">
        <f t="shared" si="172"/>
        <v>-115.27224633851138</v>
      </c>
      <c r="W371" s="334">
        <f t="shared" si="173"/>
        <v>64.72775366148862</v>
      </c>
      <c r="Y371" s="307">
        <f t="shared" si="174"/>
        <v>1000000000</v>
      </c>
      <c r="Z371" s="307">
        <f t="shared" si="175"/>
        <v>933394152.25</v>
      </c>
      <c r="AB371" s="333">
        <f t="shared" si="176"/>
        <v>23.334406631635993</v>
      </c>
      <c r="AC371" s="334">
        <f t="shared" si="177"/>
        <v>-19.062183477523391</v>
      </c>
      <c r="AE371" s="333">
        <f t="shared" si="178"/>
        <v>36.332353463263203</v>
      </c>
      <c r="AF371" s="334">
        <f t="shared" si="179"/>
        <v>-101.53982022706417</v>
      </c>
      <c r="AH371">
        <f t="shared" si="180"/>
        <v>0</v>
      </c>
      <c r="AI371">
        <f t="shared" si="185"/>
        <v>0</v>
      </c>
    </row>
    <row r="372" spans="1:35" x14ac:dyDescent="0.25">
      <c r="A372" s="335">
        <v>30727.25</v>
      </c>
      <c r="B372" s="352">
        <f t="shared" si="181"/>
        <v>30.727250000000002</v>
      </c>
      <c r="C372" s="325">
        <f t="shared" si="156"/>
        <v>37.249860746916248</v>
      </c>
      <c r="D372" s="326">
        <f t="shared" si="157"/>
        <v>1.5439473632142187</v>
      </c>
      <c r="E372" s="326">
        <f t="shared" si="158"/>
        <v>1.0007452042623508</v>
      </c>
      <c r="F372" s="327">
        <f t="shared" si="159"/>
        <v>3.8593828054443384E-2</v>
      </c>
      <c r="G372" s="326">
        <f t="shared" si="160"/>
        <v>1</v>
      </c>
      <c r="H372" s="327">
        <f t="shared" si="161"/>
        <v>0</v>
      </c>
      <c r="I372" s="325">
        <f t="shared" si="162"/>
        <v>40783.229395875962</v>
      </c>
      <c r="J372" s="328">
        <f t="shared" si="163"/>
        <v>1.5707718069122165</v>
      </c>
      <c r="K372" s="336">
        <f t="shared" si="183"/>
        <v>7.963257904303541</v>
      </c>
      <c r="L372" s="337">
        <f t="shared" si="184"/>
        <v>1.4448871708995805</v>
      </c>
      <c r="M372" s="325">
        <f t="shared" si="164"/>
        <v>1.0218672115827212</v>
      </c>
      <c r="N372" s="337">
        <f t="shared" si="165"/>
        <v>0.20724878399408833</v>
      </c>
      <c r="O372" s="343">
        <f t="shared" si="166"/>
        <v>1.0158157394494238</v>
      </c>
      <c r="P372" s="691">
        <f t="shared" si="167"/>
        <v>0.17669219832103691</v>
      </c>
      <c r="Q372" s="336">
        <f t="shared" si="182"/>
        <v>15.175224049115021</v>
      </c>
      <c r="R372" s="692">
        <f t="shared" si="168"/>
        <v>8.3154027357632068E-2</v>
      </c>
      <c r="S372" s="329">
        <f t="shared" si="169"/>
        <v>0.99360504645438119</v>
      </c>
      <c r="T372" s="330">
        <f t="shared" si="170"/>
        <v>0.26837449959533238</v>
      </c>
      <c r="U372" s="331">
        <f t="shared" si="171"/>
        <v>2.1489074739178418</v>
      </c>
      <c r="V372" s="332">
        <f t="shared" si="172"/>
        <v>-115.35492708888177</v>
      </c>
      <c r="W372" s="334">
        <f t="shared" si="173"/>
        <v>64.645072911118234</v>
      </c>
      <c r="Y372" s="307">
        <f t="shared" si="174"/>
        <v>1000000000</v>
      </c>
      <c r="Z372" s="307">
        <f t="shared" si="175"/>
        <v>944163892.5625</v>
      </c>
      <c r="AB372" s="333">
        <f t="shared" si="176"/>
        <v>23.33151849925423</v>
      </c>
      <c r="AC372" s="334">
        <f t="shared" si="177"/>
        <v>-19.087139002954565</v>
      </c>
      <c r="AE372" s="333">
        <f t="shared" si="178"/>
        <v>36.283192543465688</v>
      </c>
      <c r="AF372" s="334">
        <f t="shared" si="179"/>
        <v>-101.62713051162739</v>
      </c>
      <c r="AH372">
        <f t="shared" si="180"/>
        <v>0</v>
      </c>
      <c r="AI372">
        <f t="shared" si="185"/>
        <v>0</v>
      </c>
    </row>
    <row r="373" spans="1:35" x14ac:dyDescent="0.25">
      <c r="A373" s="335">
        <v>30903</v>
      </c>
      <c r="B373" s="352">
        <f t="shared" si="181"/>
        <v>30.902999999999999</v>
      </c>
      <c r="C373" s="325">
        <f t="shared" si="156"/>
        <v>37.462764872556967</v>
      </c>
      <c r="D373" s="326">
        <f t="shared" si="157"/>
        <v>1.5440999845540699</v>
      </c>
      <c r="E373" s="326">
        <f t="shared" si="158"/>
        <v>1.0007537500800201</v>
      </c>
      <c r="F373" s="327">
        <f t="shared" si="159"/>
        <v>3.881435134132253E-2</v>
      </c>
      <c r="G373" s="326">
        <f t="shared" si="160"/>
        <v>1</v>
      </c>
      <c r="H373" s="327">
        <f t="shared" si="161"/>
        <v>0</v>
      </c>
      <c r="I373" s="325">
        <f t="shared" si="162"/>
        <v>41016.496367766653</v>
      </c>
      <c r="J373" s="328">
        <f t="shared" si="163"/>
        <v>1.5707719463604701</v>
      </c>
      <c r="K373" s="336">
        <f t="shared" si="183"/>
        <v>8.008088933367242</v>
      </c>
      <c r="L373" s="337">
        <f t="shared" si="184"/>
        <v>1.445595754658791</v>
      </c>
      <c r="M373" s="325">
        <f t="shared" si="164"/>
        <v>1.0221153595508983</v>
      </c>
      <c r="N373" s="337">
        <f t="shared" si="165"/>
        <v>0.20840024802243728</v>
      </c>
      <c r="O373" s="343">
        <f t="shared" si="166"/>
        <v>1.0159957503468335</v>
      </c>
      <c r="P373" s="691">
        <f t="shared" si="167"/>
        <v>0.17768174218099572</v>
      </c>
      <c r="Q373" s="336">
        <f t="shared" si="182"/>
        <v>15.175807333982364</v>
      </c>
      <c r="R373" s="692">
        <f t="shared" si="168"/>
        <v>8.3627528562415829E-2</v>
      </c>
      <c r="S373" s="329">
        <f t="shared" si="169"/>
        <v>0.99354172707765109</v>
      </c>
      <c r="T373" s="330">
        <f t="shared" si="170"/>
        <v>0.26996543779319176</v>
      </c>
      <c r="U373" s="331">
        <f t="shared" si="171"/>
        <v>2.0983511107099013</v>
      </c>
      <c r="V373" s="332">
        <f t="shared" si="172"/>
        <v>-115.43800673205216</v>
      </c>
      <c r="W373" s="334">
        <f t="shared" si="173"/>
        <v>64.561993267947841</v>
      </c>
      <c r="Y373" s="307">
        <f t="shared" si="174"/>
        <v>1000000000</v>
      </c>
      <c r="Z373" s="307">
        <f t="shared" si="175"/>
        <v>954995409</v>
      </c>
      <c r="AB373" s="333">
        <f t="shared" si="176"/>
        <v>23.328632656759709</v>
      </c>
      <c r="AC373" s="334">
        <f t="shared" si="177"/>
        <v>-19.112522163031215</v>
      </c>
      <c r="AE373" s="333">
        <f t="shared" si="178"/>
        <v>36.234316798225159</v>
      </c>
      <c r="AF373" s="334">
        <f t="shared" si="179"/>
        <v>-101.71439406094517</v>
      </c>
      <c r="AH373">
        <f t="shared" si="180"/>
        <v>0</v>
      </c>
      <c r="AI373">
        <f t="shared" si="185"/>
        <v>0</v>
      </c>
    </row>
    <row r="374" spans="1:35" x14ac:dyDescent="0.25">
      <c r="A374" s="335">
        <v>31083</v>
      </c>
      <c r="B374" s="352">
        <f t="shared" si="181"/>
        <v>31.082999999999998</v>
      </c>
      <c r="C374" s="325">
        <f t="shared" si="156"/>
        <v>37.680818356311214</v>
      </c>
      <c r="D374" s="326">
        <f t="shared" si="157"/>
        <v>1.5442545088454196</v>
      </c>
      <c r="E374" s="326">
        <f t="shared" si="158"/>
        <v>1.0007625529991504</v>
      </c>
      <c r="F374" s="327">
        <f t="shared" si="159"/>
        <v>3.9040203424023104E-2</v>
      </c>
      <c r="G374" s="326">
        <f t="shared" si="160"/>
        <v>1</v>
      </c>
      <c r="H374" s="327">
        <f t="shared" si="161"/>
        <v>0</v>
      </c>
      <c r="I374" s="325">
        <f t="shared" si="162"/>
        <v>41255.404219490505</v>
      </c>
      <c r="J374" s="328">
        <f t="shared" si="163"/>
        <v>1.5707720875462692</v>
      </c>
      <c r="K374" s="336">
        <f t="shared" si="183"/>
        <v>8.0540081906696592</v>
      </c>
      <c r="L374" s="337">
        <f t="shared" si="184"/>
        <v>1.4463132962523975</v>
      </c>
      <c r="M374" s="325">
        <f t="shared" si="164"/>
        <v>1.0223709123057674</v>
      </c>
      <c r="N374" s="337">
        <f t="shared" si="165"/>
        <v>0.20957897583410742</v>
      </c>
      <c r="O374" s="343">
        <f t="shared" si="166"/>
        <v>1.0161811451488094</v>
      </c>
      <c r="P374" s="691">
        <f t="shared" si="167"/>
        <v>0.17869485084263906</v>
      </c>
      <c r="Q374" s="336">
        <f t="shared" si="182"/>
        <v>15.176408148800135</v>
      </c>
      <c r="R374" s="692">
        <f t="shared" si="168"/>
        <v>8.411244273522353E-2</v>
      </c>
      <c r="S374" s="329">
        <f t="shared" si="169"/>
        <v>0.99347674185242596</v>
      </c>
      <c r="T374" s="330">
        <f t="shared" si="170"/>
        <v>0.27159582265585319</v>
      </c>
      <c r="U374" s="331">
        <f t="shared" si="171"/>
        <v>2.0468730661468753</v>
      </c>
      <c r="V374" s="332">
        <f t="shared" si="172"/>
        <v>-115.52350292059866</v>
      </c>
      <c r="W374" s="334">
        <f t="shared" si="173"/>
        <v>64.476497079401341</v>
      </c>
      <c r="Y374" s="307">
        <f t="shared" si="174"/>
        <v>1000000000</v>
      </c>
      <c r="Z374" s="307">
        <f t="shared" si="175"/>
        <v>966152889</v>
      </c>
      <c r="AB374" s="333">
        <f t="shared" si="176"/>
        <v>23.325679110059188</v>
      </c>
      <c r="AC374" s="334">
        <f t="shared" si="177"/>
        <v>-19.138954276276468</v>
      </c>
      <c r="AE374" s="333">
        <f t="shared" si="178"/>
        <v>36.184551349086036</v>
      </c>
      <c r="AF374" s="334">
        <f t="shared" si="179"/>
        <v>-101.80372145125337</v>
      </c>
      <c r="AH374">
        <f t="shared" si="180"/>
        <v>0</v>
      </c>
      <c r="AI374">
        <f t="shared" si="185"/>
        <v>0</v>
      </c>
    </row>
    <row r="375" spans="1:35" x14ac:dyDescent="0.25">
      <c r="A375" s="335">
        <v>31263</v>
      </c>
      <c r="B375" s="352">
        <f t="shared" si="181"/>
        <v>31.263000000000002</v>
      </c>
      <c r="C375" s="325">
        <f t="shared" si="156"/>
        <v>37.898872729445515</v>
      </c>
      <c r="D375" s="326">
        <f t="shared" si="157"/>
        <v>1.544407255003194</v>
      </c>
      <c r="E375" s="326">
        <f t="shared" si="158"/>
        <v>1.0007714069654414</v>
      </c>
      <c r="F375" s="327">
        <f t="shared" si="159"/>
        <v>3.9266051521953137E-2</v>
      </c>
      <c r="G375" s="326">
        <f t="shared" si="160"/>
        <v>1</v>
      </c>
      <c r="H375" s="327">
        <f t="shared" si="161"/>
        <v>0</v>
      </c>
      <c r="I375" s="325">
        <f t="shared" si="162"/>
        <v>41494.312071215165</v>
      </c>
      <c r="J375" s="328">
        <f t="shared" si="163"/>
        <v>1.5707722271062843</v>
      </c>
      <c r="K375" s="336">
        <f t="shared" si="183"/>
        <v>8.099931547688886</v>
      </c>
      <c r="L375" s="337">
        <f t="shared" si="184"/>
        <v>1.4470227018628081</v>
      </c>
      <c r="M375" s="325">
        <f t="shared" si="164"/>
        <v>1.0226278848309172</v>
      </c>
      <c r="N375" s="337">
        <f t="shared" si="165"/>
        <v>0.21075711288535506</v>
      </c>
      <c r="O375" s="343">
        <f t="shared" si="166"/>
        <v>1.0163675825669685</v>
      </c>
      <c r="P375" s="691">
        <f t="shared" si="167"/>
        <v>0.17970758886419291</v>
      </c>
      <c r="Q375" s="336">
        <f t="shared" si="182"/>
        <v>15.177012429036862</v>
      </c>
      <c r="R375" s="692">
        <f t="shared" si="168"/>
        <v>8.4597318976239316E-2</v>
      </c>
      <c r="S375" s="329">
        <f t="shared" si="169"/>
        <v>0.99341162461663401</v>
      </c>
      <c r="T375" s="330">
        <f t="shared" si="170"/>
        <v>0.27322719878265267</v>
      </c>
      <c r="U375" s="331">
        <f t="shared" si="171"/>
        <v>1.9956957955561618</v>
      </c>
      <c r="V375" s="332">
        <f t="shared" si="172"/>
        <v>-115.60940553220949</v>
      </c>
      <c r="W375" s="334">
        <f t="shared" si="173"/>
        <v>64.390594467790507</v>
      </c>
      <c r="Y375" s="307">
        <f t="shared" si="174"/>
        <v>1000000000</v>
      </c>
      <c r="Z375" s="307">
        <f t="shared" si="175"/>
        <v>977375169</v>
      </c>
      <c r="AB375" s="333">
        <f t="shared" si="176"/>
        <v>23.322727380558945</v>
      </c>
      <c r="AC375" s="334">
        <f t="shared" si="177"/>
        <v>-19.165818605792072</v>
      </c>
      <c r="AE375" s="333">
        <f t="shared" si="178"/>
        <v>36.135078205282454</v>
      </c>
      <c r="AF375" s="334">
        <f t="shared" si="179"/>
        <v>-101.89300398557425</v>
      </c>
      <c r="AH375">
        <f t="shared" si="180"/>
        <v>0</v>
      </c>
      <c r="AI375">
        <f t="shared" si="185"/>
        <v>0</v>
      </c>
    </row>
    <row r="376" spans="1:35" x14ac:dyDescent="0.25">
      <c r="A376" s="335">
        <v>31443</v>
      </c>
      <c r="B376" s="352">
        <f t="shared" si="181"/>
        <v>31.443000000000001</v>
      </c>
      <c r="C376" s="325">
        <f t="shared" si="156"/>
        <v>38.116927976696324</v>
      </c>
      <c r="D376" s="326">
        <f t="shared" si="157"/>
        <v>1.5445582535366733</v>
      </c>
      <c r="E376" s="326">
        <f t="shared" si="158"/>
        <v>1.0007803119775387</v>
      </c>
      <c r="F376" s="327">
        <f t="shared" si="159"/>
        <v>3.9491895612178876E-2</v>
      </c>
      <c r="G376" s="326">
        <f t="shared" si="160"/>
        <v>1</v>
      </c>
      <c r="H376" s="327">
        <f t="shared" si="161"/>
        <v>0</v>
      </c>
      <c r="I376" s="325">
        <f t="shared" si="162"/>
        <v>41733.219922940625</v>
      </c>
      <c r="J376" s="328">
        <f t="shared" si="163"/>
        <v>1.5707723650684364</v>
      </c>
      <c r="K376" s="336">
        <f t="shared" si="183"/>
        <v>8.1458589350868369</v>
      </c>
      <c r="L376" s="337">
        <f t="shared" si="184"/>
        <v>1.4477241083850101</v>
      </c>
      <c r="M376" s="325">
        <f t="shared" si="164"/>
        <v>1.0228862760563111</v>
      </c>
      <c r="N376" s="337">
        <f t="shared" si="165"/>
        <v>0.21193465635213068</v>
      </c>
      <c r="O376" s="343">
        <f t="shared" si="166"/>
        <v>1.01655506202766</v>
      </c>
      <c r="P376" s="691">
        <f t="shared" si="167"/>
        <v>0.18071995437275304</v>
      </c>
      <c r="Q376" s="336">
        <f t="shared" si="182"/>
        <v>15.177620174278994</v>
      </c>
      <c r="R376" s="692">
        <f t="shared" si="168"/>
        <v>8.508215707187658E-2</v>
      </c>
      <c r="S376" s="329">
        <f t="shared" si="169"/>
        <v>0.9933463796825347</v>
      </c>
      <c r="T376" s="330">
        <f t="shared" si="170"/>
        <v>0.27485957135047673</v>
      </c>
      <c r="U376" s="331">
        <f t="shared" si="171"/>
        <v>1.9448156389205202</v>
      </c>
      <c r="V376" s="332">
        <f t="shared" si="172"/>
        <v>-115.69570870422595</v>
      </c>
      <c r="W376" s="334">
        <f t="shared" si="173"/>
        <v>64.30429129577405</v>
      </c>
      <c r="Y376" s="307">
        <f t="shared" si="174"/>
        <v>1000000000</v>
      </c>
      <c r="Z376" s="307">
        <f t="shared" si="175"/>
        <v>988662249</v>
      </c>
      <c r="AB376" s="333">
        <f t="shared" si="176"/>
        <v>23.319777185554841</v>
      </c>
      <c r="AC376" s="334">
        <f t="shared" si="177"/>
        <v>-19.193107147866627</v>
      </c>
      <c r="AE376" s="333">
        <f t="shared" si="178"/>
        <v>36.085893998727329</v>
      </c>
      <c r="AF376" s="334">
        <f t="shared" si="179"/>
        <v>-101.98224370988861</v>
      </c>
      <c r="AH376">
        <f t="shared" si="180"/>
        <v>0</v>
      </c>
      <c r="AI376">
        <f t="shared" si="185"/>
        <v>0</v>
      </c>
    </row>
    <row r="377" spans="1:35" x14ac:dyDescent="0.25">
      <c r="A377" s="335">
        <v>31623</v>
      </c>
      <c r="B377" s="352">
        <f t="shared" si="181"/>
        <v>31.623000000000001</v>
      </c>
      <c r="C377" s="325">
        <f t="shared" si="156"/>
        <v>38.334984083147312</v>
      </c>
      <c r="D377" s="326">
        <f t="shared" si="157"/>
        <v>1.5447075342612919</v>
      </c>
      <c r="E377" s="326">
        <f t="shared" si="158"/>
        <v>1.0007892680340791</v>
      </c>
      <c r="F377" s="327">
        <f t="shared" si="159"/>
        <v>3.9717735671769006E-2</v>
      </c>
      <c r="G377" s="326">
        <f t="shared" si="160"/>
        <v>1</v>
      </c>
      <c r="H377" s="327">
        <f t="shared" si="161"/>
        <v>0</v>
      </c>
      <c r="I377" s="325">
        <f t="shared" si="162"/>
        <v>41972.127774666886</v>
      </c>
      <c r="J377" s="328">
        <f t="shared" si="163"/>
        <v>1.5707725014600109</v>
      </c>
      <c r="K377" s="336">
        <f t="shared" si="183"/>
        <v>8.1917902850743847</v>
      </c>
      <c r="L377" s="337">
        <f t="shared" si="184"/>
        <v>1.4484176496755996</v>
      </c>
      <c r="M377" s="325">
        <f t="shared" si="164"/>
        <v>1.0231460849070888</v>
      </c>
      <c r="N377" s="337">
        <f t="shared" si="165"/>
        <v>0.21311160341981433</v>
      </c>
      <c r="O377" s="343">
        <f t="shared" si="166"/>
        <v>1.0167435829544502</v>
      </c>
      <c r="P377" s="691">
        <f t="shared" si="167"/>
        <v>0.18173194549984681</v>
      </c>
      <c r="Q377" s="336">
        <f t="shared" si="182"/>
        <v>15.178231384110676</v>
      </c>
      <c r="R377" s="692">
        <f t="shared" si="168"/>
        <v>8.5566956808652395E-2</v>
      </c>
      <c r="S377" s="329">
        <f t="shared" si="169"/>
        <v>0.99328101138852154</v>
      </c>
      <c r="T377" s="330">
        <f t="shared" si="170"/>
        <v>0.27649294552469772</v>
      </c>
      <c r="U377" s="331">
        <f t="shared" si="171"/>
        <v>1.8942290012983678</v>
      </c>
      <c r="V377" s="332">
        <f t="shared" si="172"/>
        <v>-115.78240670791781</v>
      </c>
      <c r="W377" s="334">
        <f t="shared" si="173"/>
        <v>64.217593292082185</v>
      </c>
      <c r="Y377" s="307">
        <f t="shared" si="174"/>
        <v>1000000000</v>
      </c>
      <c r="Z377" s="307">
        <f t="shared" si="175"/>
        <v>1000014129</v>
      </c>
      <c r="AB377" s="333">
        <f t="shared" si="176"/>
        <v>23.316828250818922</v>
      </c>
      <c r="AC377" s="334">
        <f t="shared" si="177"/>
        <v>-19.220812073379602</v>
      </c>
      <c r="AE377" s="333">
        <f t="shared" si="178"/>
        <v>36.036995417974467</v>
      </c>
      <c r="AF377" s="334">
        <f t="shared" si="179"/>
        <v>-102.07144262976287</v>
      </c>
      <c r="AH377">
        <f t="shared" si="180"/>
        <v>0</v>
      </c>
      <c r="AI377">
        <f t="shared" si="185"/>
        <v>0</v>
      </c>
    </row>
    <row r="378" spans="1:35" x14ac:dyDescent="0.25">
      <c r="A378" s="335">
        <v>31807</v>
      </c>
      <c r="B378" s="352">
        <f t="shared" si="181"/>
        <v>31.806999999999999</v>
      </c>
      <c r="C378" s="325">
        <f t="shared" si="156"/>
        <v>38.557886753726912</v>
      </c>
      <c r="D378" s="326">
        <f t="shared" si="157"/>
        <v>1.5448583871811037</v>
      </c>
      <c r="E378" s="326">
        <f t="shared" si="158"/>
        <v>1.0007984758711999</v>
      </c>
      <c r="F378" s="327">
        <f t="shared" si="159"/>
        <v>3.9948590209490327E-2</v>
      </c>
      <c r="G378" s="326">
        <f t="shared" si="160"/>
        <v>1</v>
      </c>
      <c r="H378" s="327">
        <f t="shared" si="161"/>
        <v>0</v>
      </c>
      <c r="I378" s="325">
        <f t="shared" si="162"/>
        <v>42216.344689765625</v>
      </c>
      <c r="J378" s="328">
        <f t="shared" si="163"/>
        <v>1.5707726392869552</v>
      </c>
      <c r="K378" s="336">
        <f t="shared" si="183"/>
        <v>8.2387463583748914</v>
      </c>
      <c r="L378" s="337">
        <f t="shared" si="184"/>
        <v>1.4491186099296336</v>
      </c>
      <c r="M378" s="325">
        <f t="shared" si="164"/>
        <v>1.023413131393266</v>
      </c>
      <c r="N378" s="337">
        <f t="shared" si="165"/>
        <v>0.21431408551967865</v>
      </c>
      <c r="O378" s="343">
        <f t="shared" si="166"/>
        <v>1.0169373690708499</v>
      </c>
      <c r="P378" s="691">
        <f t="shared" si="167"/>
        <v>0.18276603642450207</v>
      </c>
      <c r="Q378" s="336">
        <f t="shared" si="182"/>
        <v>15.178859756878966</v>
      </c>
      <c r="R378" s="692">
        <f t="shared" si="168"/>
        <v>8.6062490003773764E-2</v>
      </c>
      <c r="S378" s="329">
        <f t="shared" si="169"/>
        <v>0.99321406750805263</v>
      </c>
      <c r="T378" s="330">
        <f t="shared" si="170"/>
        <v>0.278163657509573</v>
      </c>
      <c r="U378" s="331">
        <f t="shared" si="171"/>
        <v>1.8428179149316839</v>
      </c>
      <c r="V378" s="332">
        <f t="shared" si="172"/>
        <v>-115.87143359554986</v>
      </c>
      <c r="W378" s="334">
        <f t="shared" si="173"/>
        <v>64.12856640445014</v>
      </c>
      <c r="Y378" s="307">
        <f t="shared" si="174"/>
        <v>1000000000</v>
      </c>
      <c r="Z378" s="307">
        <f t="shared" si="175"/>
        <v>1011685249</v>
      </c>
      <c r="AB378" s="333">
        <f t="shared" si="176"/>
        <v>23.31381480983239</v>
      </c>
      <c r="AC378" s="334">
        <f t="shared" si="177"/>
        <v>-19.249555055414337</v>
      </c>
      <c r="AE378" s="333">
        <f t="shared" si="178"/>
        <v>35.987302029233334</v>
      </c>
      <c r="AF378" s="334">
        <f t="shared" si="179"/>
        <v>-102.16258362032185</v>
      </c>
      <c r="AH378">
        <f t="shared" si="180"/>
        <v>0</v>
      </c>
      <c r="AI378">
        <f t="shared" si="185"/>
        <v>0</v>
      </c>
    </row>
    <row r="379" spans="1:35" x14ac:dyDescent="0.25">
      <c r="A379" s="335">
        <v>31991</v>
      </c>
      <c r="B379" s="352">
        <f t="shared" si="181"/>
        <v>31.991</v>
      </c>
      <c r="C379" s="325">
        <f t="shared" si="156"/>
        <v>38.780790291666335</v>
      </c>
      <c r="D379" s="326">
        <f t="shared" si="157"/>
        <v>1.5450075059648078</v>
      </c>
      <c r="E379" s="326">
        <f t="shared" si="158"/>
        <v>1.000807737043709</v>
      </c>
      <c r="F379" s="327">
        <f t="shared" si="159"/>
        <v>4.0179440486998029E-2</v>
      </c>
      <c r="G379" s="326">
        <f t="shared" si="160"/>
        <v>1</v>
      </c>
      <c r="H379" s="327">
        <f t="shared" si="161"/>
        <v>0</v>
      </c>
      <c r="I379" s="325">
        <f t="shared" si="162"/>
        <v>42460.561604865157</v>
      </c>
      <c r="J379" s="328">
        <f t="shared" si="163"/>
        <v>1.5707727755284437</v>
      </c>
      <c r="K379" s="336">
        <f t="shared" si="183"/>
        <v>8.2857064338615967</v>
      </c>
      <c r="L379" s="337">
        <f t="shared" si="184"/>
        <v>1.4498116249953319</v>
      </c>
      <c r="M379" s="325">
        <f t="shared" si="164"/>
        <v>1.0236816569238461</v>
      </c>
      <c r="N379" s="337">
        <f t="shared" si="165"/>
        <v>0.21551593850201492</v>
      </c>
      <c r="O379" s="343">
        <f t="shared" si="166"/>
        <v>1.0171322422281179</v>
      </c>
      <c r="P379" s="691">
        <f t="shared" si="167"/>
        <v>0.18379973220961285</v>
      </c>
      <c r="Q379" s="336">
        <f t="shared" si="182"/>
        <v>15.179491749043367</v>
      </c>
      <c r="R379" s="692">
        <f t="shared" si="168"/>
        <v>8.6557982665476749E-2</v>
      </c>
      <c r="S379" s="329">
        <f t="shared" si="169"/>
        <v>0.99314700397514832</v>
      </c>
      <c r="T379" s="330">
        <f t="shared" si="170"/>
        <v>0.27983542698892933</v>
      </c>
      <c r="U379" s="331">
        <f t="shared" si="171"/>
        <v>1.7917061427278127</v>
      </c>
      <c r="V379" s="332">
        <f t="shared" si="172"/>
        <v>-115.96086136513955</v>
      </c>
      <c r="W379" s="334">
        <f t="shared" si="173"/>
        <v>64.03913863486045</v>
      </c>
      <c r="Y379" s="307">
        <f t="shared" si="174"/>
        <v>1000000000</v>
      </c>
      <c r="Z379" s="307">
        <f t="shared" si="175"/>
        <v>1023424081</v>
      </c>
      <c r="AB379" s="333">
        <f t="shared" si="176"/>
        <v>23.310802132186122</v>
      </c>
      <c r="AC379" s="334">
        <f t="shared" si="177"/>
        <v>-19.278717126589537</v>
      </c>
      <c r="AE379" s="333">
        <f t="shared" si="178"/>
        <v>35.937900280013181</v>
      </c>
      <c r="AF379" s="334">
        <f t="shared" si="179"/>
        <v>-102.25368608626361</v>
      </c>
      <c r="AH379">
        <f t="shared" si="180"/>
        <v>0</v>
      </c>
      <c r="AI379">
        <f t="shared" si="185"/>
        <v>0</v>
      </c>
    </row>
    <row r="380" spans="1:35" x14ac:dyDescent="0.25">
      <c r="A380" s="335">
        <v>32175</v>
      </c>
      <c r="B380" s="352">
        <f t="shared" si="181"/>
        <v>32.174999999999997</v>
      </c>
      <c r="C380" s="325">
        <f t="shared" si="156"/>
        <v>39.003694682094874</v>
      </c>
      <c r="D380" s="326">
        <f t="shared" si="157"/>
        <v>1.5451549203372488</v>
      </c>
      <c r="E380" s="326">
        <f t="shared" si="158"/>
        <v>1.0008170515501256</v>
      </c>
      <c r="F380" s="327">
        <f t="shared" si="159"/>
        <v>4.0410286479805838E-2</v>
      </c>
      <c r="G380" s="326">
        <f t="shared" si="160"/>
        <v>1</v>
      </c>
      <c r="H380" s="327">
        <f t="shared" si="161"/>
        <v>0</v>
      </c>
      <c r="I380" s="325">
        <f t="shared" si="162"/>
        <v>42704.778519965475</v>
      </c>
      <c r="J380" s="328">
        <f t="shared" si="163"/>
        <v>1.570772910211677</v>
      </c>
      <c r="K380" s="336">
        <f t="shared" si="183"/>
        <v>8.3326704438696488</v>
      </c>
      <c r="L380" s="337">
        <f t="shared" si="184"/>
        <v>1.4504968285416664</v>
      </c>
      <c r="M380" s="325">
        <f t="shared" si="164"/>
        <v>1.0239516603352159</v>
      </c>
      <c r="N380" s="337">
        <f t="shared" si="165"/>
        <v>0.21671715939110753</v>
      </c>
      <c r="O380" s="343">
        <f t="shared" si="166"/>
        <v>1.0173282018015735</v>
      </c>
      <c r="P380" s="691">
        <f t="shared" si="167"/>
        <v>0.18483303087382444</v>
      </c>
      <c r="Q380" s="336">
        <f t="shared" si="182"/>
        <v>15.180127360152218</v>
      </c>
      <c r="R380" s="692">
        <f t="shared" si="168"/>
        <v>8.705343456606747E-2</v>
      </c>
      <c r="S380" s="329">
        <f t="shared" si="169"/>
        <v>0.99307982550867091</v>
      </c>
      <c r="T380" s="330">
        <f t="shared" si="170"/>
        <v>0.28150825944213631</v>
      </c>
      <c r="U380" s="331">
        <f t="shared" si="171"/>
        <v>1.7408900455254277</v>
      </c>
      <c r="V380" s="332">
        <f t="shared" si="172"/>
        <v>-116.05068430801468</v>
      </c>
      <c r="W380" s="334">
        <f t="shared" si="173"/>
        <v>63.949315691985319</v>
      </c>
      <c r="Y380" s="307">
        <f t="shared" si="174"/>
        <v>1000000000</v>
      </c>
      <c r="Z380" s="307">
        <f t="shared" si="175"/>
        <v>1035230625</v>
      </c>
      <c r="AB380" s="333">
        <f t="shared" si="176"/>
        <v>23.307789950640068</v>
      </c>
      <c r="AC380" s="334">
        <f t="shared" si="177"/>
        <v>-19.308290459299759</v>
      </c>
      <c r="AE380" s="333">
        <f t="shared" si="178"/>
        <v>35.888786808424712</v>
      </c>
      <c r="AF380" s="334">
        <f t="shared" si="179"/>
        <v>-102.34475204604398</v>
      </c>
      <c r="AH380">
        <f t="shared" si="180"/>
        <v>0</v>
      </c>
      <c r="AI380">
        <f t="shared" si="185"/>
        <v>0</v>
      </c>
    </row>
    <row r="381" spans="1:35" x14ac:dyDescent="0.25">
      <c r="A381" s="335">
        <v>32359</v>
      </c>
      <c r="B381" s="352">
        <f t="shared" si="181"/>
        <v>32.359000000000002</v>
      </c>
      <c r="C381" s="325">
        <f t="shared" si="156"/>
        <v>39.226599910479756</v>
      </c>
      <c r="D381" s="326">
        <f t="shared" si="157"/>
        <v>1.5453006593479248</v>
      </c>
      <c r="E381" s="326">
        <f t="shared" si="158"/>
        <v>1.0008264193889609</v>
      </c>
      <c r="F381" s="327">
        <f t="shared" si="159"/>
        <v>4.0641128163430226E-2</v>
      </c>
      <c r="G381" s="326">
        <f t="shared" si="160"/>
        <v>1</v>
      </c>
      <c r="H381" s="327">
        <f t="shared" si="161"/>
        <v>0</v>
      </c>
      <c r="I381" s="325">
        <f t="shared" si="162"/>
        <v>42948.99543506655</v>
      </c>
      <c r="J381" s="328">
        <f t="shared" si="163"/>
        <v>1.5707730433632363</v>
      </c>
      <c r="K381" s="336">
        <f t="shared" si="183"/>
        <v>8.379638322245512</v>
      </c>
      <c r="L381" s="337">
        <f t="shared" si="184"/>
        <v>1.4511743512704687</v>
      </c>
      <c r="M381" s="325">
        <f t="shared" si="164"/>
        <v>1.0242231404585886</v>
      </c>
      <c r="N381" s="337">
        <f t="shared" si="165"/>
        <v>0.21791774522166657</v>
      </c>
      <c r="O381" s="343">
        <f t="shared" si="166"/>
        <v>1.0175252471635361</v>
      </c>
      <c r="P381" s="691">
        <f t="shared" si="167"/>
        <v>0.18586593044069633</v>
      </c>
      <c r="Q381" s="336">
        <f t="shared" si="182"/>
        <v>15.180766589751352</v>
      </c>
      <c r="R381" s="692">
        <f t="shared" si="168"/>
        <v>8.7548845477967763E-2</v>
      </c>
      <c r="S381" s="329">
        <f t="shared" si="169"/>
        <v>0.99301253685608037</v>
      </c>
      <c r="T381" s="330">
        <f t="shared" si="170"/>
        <v>0.28318216033547333</v>
      </c>
      <c r="U381" s="331">
        <f t="shared" si="171"/>
        <v>1.6903660486068812</v>
      </c>
      <c r="V381" s="332">
        <f t="shared" si="172"/>
        <v>-116.14089684634995</v>
      </c>
      <c r="W381" s="334">
        <f t="shared" si="173"/>
        <v>63.859103153650054</v>
      </c>
      <c r="Y381" s="307">
        <f t="shared" si="174"/>
        <v>1000000000</v>
      </c>
      <c r="Z381" s="307">
        <f t="shared" si="175"/>
        <v>1047104881</v>
      </c>
      <c r="AB381" s="333">
        <f t="shared" si="176"/>
        <v>23.304778006042742</v>
      </c>
      <c r="AC381" s="334">
        <f t="shared" si="177"/>
        <v>-19.33826739650608</v>
      </c>
      <c r="AE381" s="333">
        <f t="shared" si="178"/>
        <v>35.839958308978098</v>
      </c>
      <c r="AF381" s="334">
        <f t="shared" si="179"/>
        <v>-102.43578347867417</v>
      </c>
      <c r="AH381">
        <f t="shared" si="180"/>
        <v>0</v>
      </c>
      <c r="AI381">
        <f t="shared" si="185"/>
        <v>0</v>
      </c>
    </row>
    <row r="382" spans="1:35" x14ac:dyDescent="0.25">
      <c r="A382" s="335">
        <v>32547.5</v>
      </c>
      <c r="B382" s="352">
        <f t="shared" si="181"/>
        <v>32.547499999999999</v>
      </c>
      <c r="C382" s="325">
        <f t="shared" si="156"/>
        <v>39.454957479527884</v>
      </c>
      <c r="D382" s="326">
        <f t="shared" si="157"/>
        <v>1.5454482549840398</v>
      </c>
      <c r="E382" s="326">
        <f t="shared" si="158"/>
        <v>1.0008360716358411</v>
      </c>
      <c r="F382" s="327">
        <f t="shared" si="159"/>
        <v>4.0877610937561773E-2</v>
      </c>
      <c r="G382" s="326">
        <f t="shared" si="160"/>
        <v>1</v>
      </c>
      <c r="H382" s="327">
        <f t="shared" si="161"/>
        <v>0</v>
      </c>
      <c r="I382" s="325">
        <f t="shared" si="162"/>
        <v>43199.185046461644</v>
      </c>
      <c r="J382" s="328">
        <f t="shared" si="163"/>
        <v>1.570773178210056</v>
      </c>
      <c r="K382" s="336">
        <f t="shared" si="183"/>
        <v>8.427758815380912</v>
      </c>
      <c r="L382" s="337">
        <f t="shared" si="184"/>
        <v>1.4518606125707061</v>
      </c>
      <c r="M382" s="325">
        <f t="shared" si="164"/>
        <v>1.0245027901406782</v>
      </c>
      <c r="N382" s="337">
        <f t="shared" si="165"/>
        <v>0.21914703157122586</v>
      </c>
      <c r="O382" s="343">
        <f t="shared" si="166"/>
        <v>1.0177282368554696</v>
      </c>
      <c r="P382" s="691">
        <f t="shared" si="167"/>
        <v>0.18692367521972997</v>
      </c>
      <c r="Q382" s="336">
        <f t="shared" si="182"/>
        <v>15.18142520452159</v>
      </c>
      <c r="R382" s="692">
        <f t="shared" si="168"/>
        <v>8.8056329675198705E-2</v>
      </c>
      <c r="S382" s="329">
        <f t="shared" si="169"/>
        <v>0.99294349328914333</v>
      </c>
      <c r="T382" s="330">
        <f t="shared" si="170"/>
        <v>0.28489811267829446</v>
      </c>
      <c r="U382" s="331">
        <f t="shared" si="171"/>
        <v>1.6389056427381594</v>
      </c>
      <c r="V382" s="332">
        <f t="shared" si="172"/>
        <v>-116.2337139763639</v>
      </c>
      <c r="W382" s="334">
        <f t="shared" si="173"/>
        <v>63.766286023636098</v>
      </c>
      <c r="Y382" s="307">
        <f t="shared" si="174"/>
        <v>1000000000</v>
      </c>
      <c r="Z382" s="307">
        <f t="shared" si="175"/>
        <v>1059339756.25</v>
      </c>
      <c r="AB382" s="333">
        <f t="shared" si="176"/>
        <v>23.301692382767769</v>
      </c>
      <c r="AC382" s="334">
        <f t="shared" si="177"/>
        <v>-19.369388166191321</v>
      </c>
      <c r="AE382" s="333">
        <f t="shared" si="178"/>
        <v>35.79022774806576</v>
      </c>
      <c r="AF382" s="334">
        <f t="shared" si="179"/>
        <v>-102.52900744800858</v>
      </c>
      <c r="AH382">
        <f t="shared" si="180"/>
        <v>0</v>
      </c>
      <c r="AI382">
        <f t="shared" si="185"/>
        <v>0</v>
      </c>
    </row>
    <row r="383" spans="1:35" x14ac:dyDescent="0.25">
      <c r="A383" s="335">
        <v>32736</v>
      </c>
      <c r="B383" s="352">
        <f t="shared" si="181"/>
        <v>32.735999999999997</v>
      </c>
      <c r="C383" s="325">
        <f t="shared" si="156"/>
        <v>39.68331589818937</v>
      </c>
      <c r="D383" s="326">
        <f t="shared" si="157"/>
        <v>1.5455941519393444</v>
      </c>
      <c r="E383" s="326">
        <f t="shared" si="158"/>
        <v>1.0008457798524988</v>
      </c>
      <c r="F383" s="327">
        <f t="shared" si="159"/>
        <v>4.1114089137146176E-2</v>
      </c>
      <c r="G383" s="326">
        <f t="shared" si="160"/>
        <v>1</v>
      </c>
      <c r="H383" s="327">
        <f t="shared" si="161"/>
        <v>0</v>
      </c>
      <c r="I383" s="325">
        <f t="shared" si="162"/>
        <v>43449.374657857516</v>
      </c>
      <c r="J383" s="328">
        <f t="shared" si="163"/>
        <v>1.5707733115039295</v>
      </c>
      <c r="K383" s="336">
        <f t="shared" si="183"/>
        <v>8.4758832325389868</v>
      </c>
      <c r="L383" s="337">
        <f t="shared" si="184"/>
        <v>1.4525390812709678</v>
      </c>
      <c r="M383" s="325">
        <f t="shared" si="164"/>
        <v>1.0247839871486493</v>
      </c>
      <c r="N383" s="337">
        <f t="shared" si="165"/>
        <v>0.22037564515312294</v>
      </c>
      <c r="O383" s="343">
        <f t="shared" si="166"/>
        <v>1.0179323647513265</v>
      </c>
      <c r="P383" s="691">
        <f t="shared" si="167"/>
        <v>0.18798099695821749</v>
      </c>
      <c r="Q383" s="336">
        <f t="shared" si="182"/>
        <v>15.18208761596474</v>
      </c>
      <c r="R383" s="692">
        <f t="shared" si="168"/>
        <v>8.8563770371183487E-2</v>
      </c>
      <c r="S383" s="329">
        <f t="shared" si="169"/>
        <v>0.99287434425959997</v>
      </c>
      <c r="T383" s="330">
        <f t="shared" si="170"/>
        <v>0.28661519793241735</v>
      </c>
      <c r="U383" s="331">
        <f t="shared" si="171"/>
        <v>1.5877444049095875</v>
      </c>
      <c r="V383" s="332">
        <f t="shared" si="172"/>
        <v>-116.32692854564067</v>
      </c>
      <c r="W383" s="334">
        <f t="shared" si="173"/>
        <v>63.673071454359331</v>
      </c>
      <c r="Y383" s="307">
        <f t="shared" si="174"/>
        <v>1000000000</v>
      </c>
      <c r="Z383" s="307">
        <f t="shared" si="175"/>
        <v>1071645696</v>
      </c>
      <c r="AB383" s="333">
        <f t="shared" si="176"/>
        <v>23.298606482437265</v>
      </c>
      <c r="AC383" s="334">
        <f t="shared" si="177"/>
        <v>-19.400916783242167</v>
      </c>
      <c r="AE383" s="333">
        <f t="shared" si="178"/>
        <v>35.740789421415762</v>
      </c>
      <c r="AF383" s="334">
        <f t="shared" si="179"/>
        <v>-102.62219926324018</v>
      </c>
      <c r="AH383">
        <f t="shared" si="180"/>
        <v>0</v>
      </c>
      <c r="AI383">
        <f t="shared" si="185"/>
        <v>0</v>
      </c>
    </row>
    <row r="384" spans="1:35" x14ac:dyDescent="0.25">
      <c r="A384" s="335">
        <v>32924.5</v>
      </c>
      <c r="B384" s="352">
        <f t="shared" si="181"/>
        <v>32.924500000000002</v>
      </c>
      <c r="C384" s="325">
        <f t="shared" si="156"/>
        <v>39.911675151880779</v>
      </c>
      <c r="D384" s="326">
        <f t="shared" si="157"/>
        <v>1.5457383793651682</v>
      </c>
      <c r="E384" s="326">
        <f t="shared" si="158"/>
        <v>1.0008555440373055</v>
      </c>
      <c r="F384" s="327">
        <f t="shared" si="159"/>
        <v>4.135056273586829E-2</v>
      </c>
      <c r="G384" s="326">
        <f t="shared" si="160"/>
        <v>1</v>
      </c>
      <c r="H384" s="327">
        <f t="shared" si="161"/>
        <v>0</v>
      </c>
      <c r="I384" s="325">
        <f t="shared" si="162"/>
        <v>43699.564269254151</v>
      </c>
      <c r="J384" s="328">
        <f t="shared" si="163"/>
        <v>1.5707734432715295</v>
      </c>
      <c r="K384" s="336">
        <f t="shared" si="183"/>
        <v>8.5240115072576188</v>
      </c>
      <c r="L384" s="337">
        <f t="shared" si="184"/>
        <v>1.4532098887370151</v>
      </c>
      <c r="M384" s="325">
        <f t="shared" si="164"/>
        <v>1.0250667302091114</v>
      </c>
      <c r="N384" s="337">
        <f t="shared" si="165"/>
        <v>0.2216035828133894</v>
      </c>
      <c r="O384" s="343">
        <f t="shared" si="166"/>
        <v>1.0181376301665064</v>
      </c>
      <c r="P384" s="691">
        <f t="shared" si="167"/>
        <v>0.18903789354729919</v>
      </c>
      <c r="Q384" s="336">
        <f t="shared" si="182"/>
        <v>15.182753823584306</v>
      </c>
      <c r="R384" s="692">
        <f t="shared" si="168"/>
        <v>8.9071167321616893E-2</v>
      </c>
      <c r="S384" s="329">
        <f t="shared" si="169"/>
        <v>0.99280509496528446</v>
      </c>
      <c r="T384" s="330">
        <f t="shared" si="170"/>
        <v>0.28833342193144718</v>
      </c>
      <c r="U384" s="331">
        <f t="shared" si="171"/>
        <v>1.5368786920632314</v>
      </c>
      <c r="V384" s="332">
        <f t="shared" si="172"/>
        <v>-116.42053496112371</v>
      </c>
      <c r="W384" s="334">
        <f t="shared" si="173"/>
        <v>63.579465038876293</v>
      </c>
      <c r="Y384" s="307">
        <f t="shared" si="174"/>
        <v>1000000000</v>
      </c>
      <c r="Z384" s="307">
        <f t="shared" si="175"/>
        <v>1084022700.25</v>
      </c>
      <c r="AB384" s="333">
        <f t="shared" si="176"/>
        <v>23.295520051110174</v>
      </c>
      <c r="AC384" s="334">
        <f t="shared" si="177"/>
        <v>-19.432845541774061</v>
      </c>
      <c r="AE384" s="333">
        <f t="shared" si="178"/>
        <v>35.691639950888558</v>
      </c>
      <c r="AF384" s="334">
        <f t="shared" si="179"/>
        <v>-102.71536093036583</v>
      </c>
      <c r="AH384">
        <f t="shared" si="180"/>
        <v>0</v>
      </c>
      <c r="AI384">
        <f t="shared" si="185"/>
        <v>0</v>
      </c>
    </row>
    <row r="385" spans="1:35" x14ac:dyDescent="0.25">
      <c r="A385" s="335">
        <v>33113</v>
      </c>
      <c r="B385" s="352">
        <f t="shared" si="181"/>
        <v>33.113</v>
      </c>
      <c r="C385" s="325">
        <f t="shared" si="156"/>
        <v>40.140035226350498</v>
      </c>
      <c r="D385" s="326">
        <f t="shared" si="157"/>
        <v>1.5458809657497448</v>
      </c>
      <c r="E385" s="326">
        <f t="shared" si="158"/>
        <v>1.0008653641886232</v>
      </c>
      <c r="F385" s="327">
        <f t="shared" si="159"/>
        <v>4.1587031707416074E-2</v>
      </c>
      <c r="G385" s="326">
        <f t="shared" si="160"/>
        <v>1</v>
      </c>
      <c r="H385" s="327">
        <f t="shared" si="161"/>
        <v>0</v>
      </c>
      <c r="I385" s="325">
        <f t="shared" si="162"/>
        <v>43949.753880651529</v>
      </c>
      <c r="J385" s="328">
        <f t="shared" si="163"/>
        <v>1.5707735735389217</v>
      </c>
      <c r="K385" s="336">
        <f t="shared" si="183"/>
        <v>8.5721435745620198</v>
      </c>
      <c r="L385" s="337">
        <f t="shared" si="184"/>
        <v>1.4538731634121009</v>
      </c>
      <c r="M385" s="325">
        <f t="shared" si="164"/>
        <v>1.0253510180430812</v>
      </c>
      <c r="N385" s="337">
        <f t="shared" si="165"/>
        <v>0.22283084140967949</v>
      </c>
      <c r="O385" s="343">
        <f t="shared" si="166"/>
        <v>1.0183440324131472</v>
      </c>
      <c r="P385" s="691">
        <f t="shared" si="167"/>
        <v>0.19009436288361006</v>
      </c>
      <c r="Q385" s="336">
        <f t="shared" si="182"/>
        <v>15.183423826881031</v>
      </c>
      <c r="R385" s="692">
        <f t="shared" si="168"/>
        <v>8.9578520282323965E-2</v>
      </c>
      <c r="S385" s="329">
        <f t="shared" si="169"/>
        <v>0.99273575063559494</v>
      </c>
      <c r="T385" s="330">
        <f t="shared" si="170"/>
        <v>0.29005279049397104</v>
      </c>
      <c r="U385" s="331">
        <f t="shared" si="171"/>
        <v>1.4863049255276883</v>
      </c>
      <c r="V385" s="332">
        <f t="shared" si="172"/>
        <v>-116.51452775867439</v>
      </c>
      <c r="W385" s="334">
        <f t="shared" si="173"/>
        <v>63.48547224132561</v>
      </c>
      <c r="Y385" s="307">
        <f t="shared" si="174"/>
        <v>1000000000</v>
      </c>
      <c r="Z385" s="307">
        <f t="shared" si="175"/>
        <v>1096470769</v>
      </c>
      <c r="AB385" s="333">
        <f t="shared" si="176"/>
        <v>23.292432842631676</v>
      </c>
      <c r="AC385" s="334">
        <f t="shared" si="177"/>
        <v>-19.465166903981025</v>
      </c>
      <c r="AE385" s="333">
        <f t="shared" si="178"/>
        <v>35.642776014992819</v>
      </c>
      <c r="AF385" s="334">
        <f t="shared" si="179"/>
        <v>-102.80849441652913</v>
      </c>
      <c r="AH385">
        <f t="shared" si="180"/>
        <v>0</v>
      </c>
      <c r="AI385">
        <f t="shared" si="185"/>
        <v>0</v>
      </c>
    </row>
    <row r="386" spans="1:35" x14ac:dyDescent="0.25">
      <c r="A386" s="335">
        <v>33305.75</v>
      </c>
      <c r="B386" s="352">
        <f t="shared" si="181"/>
        <v>33.305750000000003</v>
      </c>
      <c r="C386" s="325">
        <f t="shared" si="156"/>
        <v>40.373544836999628</v>
      </c>
      <c r="D386" s="326">
        <f t="shared" si="157"/>
        <v>1.5460250989942685</v>
      </c>
      <c r="E386" s="326">
        <f t="shared" si="158"/>
        <v>1.000875463620974</v>
      </c>
      <c r="F386" s="327">
        <f t="shared" si="159"/>
        <v>4.1828827395250477E-2</v>
      </c>
      <c r="G386" s="326">
        <f t="shared" si="160"/>
        <v>1</v>
      </c>
      <c r="H386" s="327">
        <f t="shared" si="161"/>
        <v>0</v>
      </c>
      <c r="I386" s="325">
        <f t="shared" si="162"/>
        <v>44205.584371882243</v>
      </c>
      <c r="J386" s="328">
        <f t="shared" si="163"/>
        <v>1.5707737052185891</v>
      </c>
      <c r="K386" s="336">
        <f t="shared" si="183"/>
        <v>8.6213647032627421</v>
      </c>
      <c r="L386" s="337">
        <f t="shared" si="184"/>
        <v>1.4545437339349143</v>
      </c>
      <c r="M386" s="325">
        <f t="shared" si="164"/>
        <v>1.0256433116211758</v>
      </c>
      <c r="N386" s="337">
        <f t="shared" si="165"/>
        <v>0.22408506482873233</v>
      </c>
      <c r="O386" s="343">
        <f t="shared" si="166"/>
        <v>1.01855626313892</v>
      </c>
      <c r="P386" s="691">
        <f t="shared" si="167"/>
        <v>0.19117420782384317</v>
      </c>
      <c r="Q386" s="336">
        <f t="shared" si="182"/>
        <v>15.184112860840147</v>
      </c>
      <c r="R386" s="692">
        <f t="shared" si="168"/>
        <v>9.0097266492634956E-2</v>
      </c>
      <c r="S386" s="329">
        <f t="shared" si="169"/>
        <v>0.99266475004730903</v>
      </c>
      <c r="T386" s="330">
        <f t="shared" si="170"/>
        <v>0.29181211426998038</v>
      </c>
      <c r="U386" s="331">
        <f t="shared" si="171"/>
        <v>1.4348891330969138</v>
      </c>
      <c r="V386" s="332">
        <f t="shared" si="172"/>
        <v>-116.61103374335798</v>
      </c>
      <c r="W386" s="334">
        <f t="shared" si="173"/>
        <v>63.388966256642021</v>
      </c>
      <c r="Y386" s="307">
        <f t="shared" si="174"/>
        <v>1000000000</v>
      </c>
      <c r="Z386" s="307">
        <f t="shared" si="175"/>
        <v>1109272983.0625</v>
      </c>
      <c r="AB386" s="333">
        <f t="shared" si="176"/>
        <v>23.289274976456788</v>
      </c>
      <c r="AC386" s="334">
        <f t="shared" si="177"/>
        <v>-19.498615296363536</v>
      </c>
      <c r="AE386" s="333">
        <f t="shared" si="178"/>
        <v>35.593102233715285</v>
      </c>
      <c r="AF386" s="334">
        <f t="shared" si="179"/>
        <v>-102.90370059798163</v>
      </c>
      <c r="AH386">
        <f t="shared" si="180"/>
        <v>0</v>
      </c>
      <c r="AI386">
        <f t="shared" si="185"/>
        <v>0</v>
      </c>
    </row>
    <row r="387" spans="1:35" x14ac:dyDescent="0.25">
      <c r="A387" s="335">
        <v>33498.5</v>
      </c>
      <c r="B387" s="352">
        <f t="shared" si="181"/>
        <v>33.4985</v>
      </c>
      <c r="C387" s="325">
        <f t="shared" si="156"/>
        <v>40.607055276738343</v>
      </c>
      <c r="D387" s="326">
        <f t="shared" si="157"/>
        <v>1.5461675745683428</v>
      </c>
      <c r="E387" s="326">
        <f t="shared" si="158"/>
        <v>1.0008856215684807</v>
      </c>
      <c r="F387" s="327">
        <f t="shared" si="159"/>
        <v>4.2070618189271762E-2</v>
      </c>
      <c r="G387" s="326">
        <f t="shared" si="160"/>
        <v>1</v>
      </c>
      <c r="H387" s="327">
        <f t="shared" si="161"/>
        <v>0</v>
      </c>
      <c r="I387" s="325">
        <f t="shared" si="162"/>
        <v>44461.414863113714</v>
      </c>
      <c r="J387" s="328">
        <f t="shared" si="163"/>
        <v>1.5707738353828899</v>
      </c>
      <c r="K387" s="336">
        <f t="shared" si="183"/>
        <v>8.6705896646722014</v>
      </c>
      <c r="L387" s="337">
        <f t="shared" si="184"/>
        <v>1.4552066907822576</v>
      </c>
      <c r="M387" s="325">
        <f t="shared" si="164"/>
        <v>1.0259372176937267</v>
      </c>
      <c r="N387" s="337">
        <f t="shared" si="165"/>
        <v>0.22533857160966869</v>
      </c>
      <c r="O387" s="343">
        <f t="shared" si="166"/>
        <v>1.0187696810719449</v>
      </c>
      <c r="P387" s="691">
        <f t="shared" si="167"/>
        <v>0.19225360159759813</v>
      </c>
      <c r="Q387" s="336">
        <f t="shared" si="182"/>
        <v>15.18480586249914</v>
      </c>
      <c r="R387" s="692">
        <f t="shared" si="168"/>
        <v>9.0615966191280276E-2</v>
      </c>
      <c r="S387" s="329">
        <f t="shared" si="169"/>
        <v>0.99259366125001147</v>
      </c>
      <c r="T387" s="330">
        <f t="shared" si="170"/>
        <v>0.29357264705921793</v>
      </c>
      <c r="U387" s="331">
        <f t="shared" si="171"/>
        <v>1.3837712314235382</v>
      </c>
      <c r="V387" s="332">
        <f t="shared" si="172"/>
        <v>-116.70793257159197</v>
      </c>
      <c r="W387" s="334">
        <f t="shared" si="173"/>
        <v>63.292067428408032</v>
      </c>
      <c r="Y387" s="307">
        <f t="shared" si="174"/>
        <v>1000000000</v>
      </c>
      <c r="Z387" s="307">
        <f t="shared" si="175"/>
        <v>1122149502.25</v>
      </c>
      <c r="AB387" s="333">
        <f t="shared" si="176"/>
        <v>23.286115800949815</v>
      </c>
      <c r="AC387" s="334">
        <f t="shared" si="177"/>
        <v>-19.532458773053911</v>
      </c>
      <c r="AE387" s="333">
        <f t="shared" si="178"/>
        <v>35.543720159345618</v>
      </c>
      <c r="AF387" s="334">
        <f t="shared" si="179"/>
        <v>-102.99888135366371</v>
      </c>
      <c r="AH387">
        <f t="shared" si="180"/>
        <v>0</v>
      </c>
      <c r="AI387">
        <f t="shared" si="185"/>
        <v>0</v>
      </c>
    </row>
    <row r="388" spans="1:35" x14ac:dyDescent="0.25">
      <c r="A388" s="335">
        <v>33691.25</v>
      </c>
      <c r="B388" s="352">
        <f t="shared" si="181"/>
        <v>33.691249999999997</v>
      </c>
      <c r="C388" s="325">
        <f t="shared" si="156"/>
        <v>40.840566531345431</v>
      </c>
      <c r="D388" s="326">
        <f t="shared" si="157"/>
        <v>1.5463084208999724</v>
      </c>
      <c r="E388" s="326">
        <f t="shared" si="158"/>
        <v>1.000895838029362</v>
      </c>
      <c r="F388" s="327">
        <f t="shared" si="159"/>
        <v>4.2312404061357833E-2</v>
      </c>
      <c r="G388" s="326">
        <f t="shared" si="160"/>
        <v>1</v>
      </c>
      <c r="H388" s="327">
        <f t="shared" si="161"/>
        <v>0</v>
      </c>
      <c r="I388" s="325">
        <f t="shared" si="162"/>
        <v>44717.245354345934</v>
      </c>
      <c r="J388" s="328">
        <f t="shared" si="163"/>
        <v>1.5707739640578327</v>
      </c>
      <c r="K388" s="336">
        <f t="shared" si="183"/>
        <v>8.7198183938813827</v>
      </c>
      <c r="L388" s="337">
        <f t="shared" si="184"/>
        <v>1.4558621623180046</v>
      </c>
      <c r="M388" s="325">
        <f t="shared" si="164"/>
        <v>1.0262327348753113</v>
      </c>
      <c r="N388" s="337">
        <f t="shared" si="165"/>
        <v>0.22659135843069012</v>
      </c>
      <c r="O388" s="343">
        <f t="shared" si="166"/>
        <v>1.018984285466269</v>
      </c>
      <c r="P388" s="691">
        <f t="shared" si="167"/>
        <v>0.19333254197396407</v>
      </c>
      <c r="Q388" s="336">
        <f t="shared" si="182"/>
        <v>15.185502831315286</v>
      </c>
      <c r="R388" s="692">
        <f t="shared" si="168"/>
        <v>9.1134619117620899E-2</v>
      </c>
      <c r="S388" s="329">
        <f t="shared" si="169"/>
        <v>0.99252248993733916</v>
      </c>
      <c r="T388" s="330">
        <f t="shared" si="170"/>
        <v>0.29533439503304398</v>
      </c>
      <c r="U388" s="331">
        <f t="shared" si="171"/>
        <v>1.3329475932075132</v>
      </c>
      <c r="V388" s="332">
        <f t="shared" si="172"/>
        <v>-116.80521879673039</v>
      </c>
      <c r="W388" s="334">
        <f t="shared" si="173"/>
        <v>63.194781203269613</v>
      </c>
      <c r="Y388" s="307">
        <f t="shared" si="174"/>
        <v>1000000000</v>
      </c>
      <c r="Z388" s="307">
        <f t="shared" si="175"/>
        <v>1135100326.5625</v>
      </c>
      <c r="AB388" s="333">
        <f t="shared" si="176"/>
        <v>23.282955076542592</v>
      </c>
      <c r="AC388" s="334">
        <f t="shared" si="177"/>
        <v>-19.566689790509042</v>
      </c>
      <c r="AE388" s="333">
        <f t="shared" si="178"/>
        <v>35.494626416093752</v>
      </c>
      <c r="AF388" s="334">
        <f t="shared" si="179"/>
        <v>-103.09403866758426</v>
      </c>
      <c r="AH388">
        <f t="shared" si="180"/>
        <v>0</v>
      </c>
      <c r="AI388">
        <f t="shared" si="185"/>
        <v>0</v>
      </c>
    </row>
    <row r="389" spans="1:35" x14ac:dyDescent="0.25">
      <c r="A389" s="335">
        <v>33884</v>
      </c>
      <c r="B389" s="352">
        <f t="shared" si="181"/>
        <v>33.884</v>
      </c>
      <c r="C389" s="325">
        <f t="shared" si="156"/>
        <v>41.074078586922987</v>
      </c>
      <c r="D389" s="326">
        <f t="shared" si="157"/>
        <v>1.5464476657709556</v>
      </c>
      <c r="E389" s="326">
        <f t="shared" si="158"/>
        <v>1.0009061130018255</v>
      </c>
      <c r="F389" s="327">
        <f t="shared" si="159"/>
        <v>4.2554184983390031E-2</v>
      </c>
      <c r="G389" s="326">
        <f t="shared" si="160"/>
        <v>1</v>
      </c>
      <c r="H389" s="327">
        <f t="shared" si="161"/>
        <v>0</v>
      </c>
      <c r="I389" s="325">
        <f t="shared" si="162"/>
        <v>44973.075845578875</v>
      </c>
      <c r="J389" s="328">
        <f t="shared" si="163"/>
        <v>1.5707740912688339</v>
      </c>
      <c r="K389" s="336">
        <f t="shared" si="183"/>
        <v>8.7690508274339383</v>
      </c>
      <c r="L389" s="337">
        <f t="shared" si="184"/>
        <v>1.4565102740493752</v>
      </c>
      <c r="M389" s="325">
        <f t="shared" si="164"/>
        <v>1.0265298617745122</v>
      </c>
      <c r="N389" s="337">
        <f t="shared" si="165"/>
        <v>0.22784342198285235</v>
      </c>
      <c r="O389" s="343">
        <f t="shared" si="166"/>
        <v>1.0192000755724231</v>
      </c>
      <c r="P389" s="691">
        <f t="shared" si="167"/>
        <v>0.19441102672812638</v>
      </c>
      <c r="Q389" s="336">
        <f t="shared" si="182"/>
        <v>15.186203766742851</v>
      </c>
      <c r="R389" s="692">
        <f t="shared" si="168"/>
        <v>9.16532250111632E-2</v>
      </c>
      <c r="S389" s="329">
        <f t="shared" si="169"/>
        <v>0.9924512418375081</v>
      </c>
      <c r="T389" s="330">
        <f t="shared" si="170"/>
        <v>0.29709736434570833</v>
      </c>
      <c r="U389" s="331">
        <f t="shared" si="171"/>
        <v>1.2824146550072637</v>
      </c>
      <c r="V389" s="332">
        <f t="shared" si="172"/>
        <v>-116.90288709815762</v>
      </c>
      <c r="W389" s="334">
        <f t="shared" si="173"/>
        <v>63.09711290184238</v>
      </c>
      <c r="Y389" s="307">
        <f t="shared" si="174"/>
        <v>1000000000</v>
      </c>
      <c r="Z389" s="307">
        <f t="shared" si="175"/>
        <v>1148125456</v>
      </c>
      <c r="AB389" s="333">
        <f t="shared" si="176"/>
        <v>23.279792571106292</v>
      </c>
      <c r="AC389" s="334">
        <f t="shared" si="177"/>
        <v>-19.601300969562676</v>
      </c>
      <c r="AE389" s="333">
        <f t="shared" si="178"/>
        <v>35.44581768464009</v>
      </c>
      <c r="AF389" s="334">
        <f t="shared" si="179"/>
        <v>-103.18917448574668</v>
      </c>
      <c r="AH389">
        <f t="shared" si="180"/>
        <v>0</v>
      </c>
      <c r="AI389">
        <f t="shared" si="185"/>
        <v>0</v>
      </c>
    </row>
    <row r="390" spans="1:35" x14ac:dyDescent="0.25">
      <c r="A390" s="335">
        <v>34081.5</v>
      </c>
      <c r="B390" s="352">
        <f t="shared" si="181"/>
        <v>34.081499999999998</v>
      </c>
      <c r="C390" s="325">
        <f t="shared" si="156"/>
        <v>41.313345971512675</v>
      </c>
      <c r="D390" s="326">
        <f t="shared" si="157"/>
        <v>1.5465887093462609</v>
      </c>
      <c r="E390" s="326">
        <f t="shared" si="158"/>
        <v>1.0009167018740714</v>
      </c>
      <c r="F390" s="327">
        <f t="shared" si="159"/>
        <v>4.2801919026203457E-2</v>
      </c>
      <c r="G390" s="326">
        <f t="shared" si="160"/>
        <v>1</v>
      </c>
      <c r="H390" s="327">
        <f t="shared" si="161"/>
        <v>0</v>
      </c>
      <c r="I390" s="325">
        <f t="shared" si="162"/>
        <v>45235.210849566691</v>
      </c>
      <c r="J390" s="328">
        <f t="shared" si="163"/>
        <v>1.5707742201222117</v>
      </c>
      <c r="K390" s="336">
        <f t="shared" si="183"/>
        <v>8.8195002891419332</v>
      </c>
      <c r="L390" s="337">
        <f t="shared" si="184"/>
        <v>1.4571668516430036</v>
      </c>
      <c r="M390" s="325">
        <f t="shared" si="164"/>
        <v>1.0268359791152566</v>
      </c>
      <c r="N390" s="337">
        <f t="shared" si="165"/>
        <v>0.22912558686725445</v>
      </c>
      <c r="O390" s="343">
        <f t="shared" si="166"/>
        <v>1.0194224125775015</v>
      </c>
      <c r="P390" s="691">
        <f t="shared" si="167"/>
        <v>0.19551561400472525</v>
      </c>
      <c r="Q390" s="336">
        <f t="shared" si="182"/>
        <v>15.18692608941441</v>
      </c>
      <c r="R390" s="692">
        <f t="shared" si="168"/>
        <v>9.2184562017968583E-2</v>
      </c>
      <c r="S390" s="329">
        <f t="shared" si="169"/>
        <v>0.99237816432592663</v>
      </c>
      <c r="T390" s="330">
        <f t="shared" si="170"/>
        <v>0.29890505235025161</v>
      </c>
      <c r="U390" s="331">
        <f t="shared" si="171"/>
        <v>1.2309342903954494</v>
      </c>
      <c r="V390" s="332">
        <f t="shared" si="172"/>
        <v>-117.00335315127592</v>
      </c>
      <c r="W390" s="334">
        <f t="shared" si="173"/>
        <v>62.996646848724083</v>
      </c>
      <c r="Y390" s="307">
        <f t="shared" si="174"/>
        <v>1000000000</v>
      </c>
      <c r="Z390" s="307">
        <f t="shared" si="175"/>
        <v>1161548642.25</v>
      </c>
      <c r="AB390" s="333">
        <f t="shared" si="176"/>
        <v>23.276550048440086</v>
      </c>
      <c r="AC390" s="334">
        <f t="shared" si="177"/>
        <v>-19.637151863836717</v>
      </c>
      <c r="AE390" s="333">
        <f t="shared" si="178"/>
        <v>35.396098364530204</v>
      </c>
      <c r="AF390" s="334">
        <f t="shared" si="179"/>
        <v>-103.2866344656923</v>
      </c>
      <c r="AH390">
        <f t="shared" si="180"/>
        <v>0</v>
      </c>
      <c r="AI390">
        <f t="shared" si="185"/>
        <v>0</v>
      </c>
    </row>
    <row r="391" spans="1:35" x14ac:dyDescent="0.25">
      <c r="A391" s="335">
        <v>34279</v>
      </c>
      <c r="B391" s="352">
        <f t="shared" si="181"/>
        <v>34.279000000000003</v>
      </c>
      <c r="C391" s="325">
        <f t="shared" si="156"/>
        <v>41.552614168495914</v>
      </c>
      <c r="D391" s="326">
        <f t="shared" si="157"/>
        <v>1.5467281286105301</v>
      </c>
      <c r="E391" s="326">
        <f t="shared" si="158"/>
        <v>1.0009273521734317</v>
      </c>
      <c r="F391" s="327">
        <f t="shared" si="159"/>
        <v>4.3049647812225818E-2</v>
      </c>
      <c r="G391" s="326">
        <f t="shared" si="160"/>
        <v>1</v>
      </c>
      <c r="H391" s="327">
        <f t="shared" si="161"/>
        <v>0</v>
      </c>
      <c r="I391" s="325">
        <f t="shared" si="162"/>
        <v>45497.345853555242</v>
      </c>
      <c r="J391" s="328">
        <f t="shared" si="163"/>
        <v>1.5707743474908005</v>
      </c>
      <c r="K391" s="336">
        <f t="shared" si="183"/>
        <v>8.8699535096343194</v>
      </c>
      <c r="L391" s="337">
        <f t="shared" si="184"/>
        <v>1.4578159601501757</v>
      </c>
      <c r="M391" s="325">
        <f t="shared" si="164"/>
        <v>1.0271437835119155</v>
      </c>
      <c r="N391" s="337">
        <f t="shared" si="165"/>
        <v>0.2304069854039095</v>
      </c>
      <c r="O391" s="343">
        <f t="shared" si="166"/>
        <v>1.019645992849852</v>
      </c>
      <c r="P391" s="691">
        <f t="shared" si="167"/>
        <v>0.19661971821685403</v>
      </c>
      <c r="Q391" s="336">
        <f t="shared" si="182"/>
        <v>15.18765257543752</v>
      </c>
      <c r="R391" s="692">
        <f t="shared" si="168"/>
        <v>9.2715849092074767E-2</v>
      </c>
      <c r="S391" s="329">
        <f t="shared" si="169"/>
        <v>0.99230501848360186</v>
      </c>
      <c r="T391" s="330">
        <f t="shared" si="170"/>
        <v>0.30071403565703114</v>
      </c>
      <c r="U391" s="331">
        <f t="shared" si="171"/>
        <v>1.1797517542931739</v>
      </c>
      <c r="V391" s="332">
        <f t="shared" si="172"/>
        <v>-117.1042094249604</v>
      </c>
      <c r="W391" s="334">
        <f t="shared" si="173"/>
        <v>62.895790575039598</v>
      </c>
      <c r="Y391" s="307">
        <f t="shared" si="174"/>
        <v>1000000000</v>
      </c>
      <c r="Z391" s="307">
        <f t="shared" si="175"/>
        <v>1175049841</v>
      </c>
      <c r="AB391" s="333">
        <f t="shared" si="176"/>
        <v>23.273305185350424</v>
      </c>
      <c r="AC391" s="334">
        <f t="shared" si="177"/>
        <v>-19.673386711678283</v>
      </c>
      <c r="AE391" s="333">
        <f t="shared" si="178"/>
        <v>35.346671397094013</v>
      </c>
      <c r="AF391" s="334">
        <f t="shared" si="179"/>
        <v>-103.3840758960142</v>
      </c>
      <c r="AH391">
        <f t="shared" si="180"/>
        <v>0</v>
      </c>
      <c r="AI391">
        <f t="shared" si="185"/>
        <v>0</v>
      </c>
    </row>
    <row r="392" spans="1:35" x14ac:dyDescent="0.25">
      <c r="A392" s="335">
        <v>34476.5</v>
      </c>
      <c r="B392" s="352">
        <f t="shared" si="181"/>
        <v>34.476500000000001</v>
      </c>
      <c r="C392" s="325">
        <f t="shared" si="156"/>
        <v>41.791883163919287</v>
      </c>
      <c r="D392" s="326">
        <f t="shared" si="157"/>
        <v>1.546865951457058</v>
      </c>
      <c r="E392" s="326">
        <f t="shared" si="158"/>
        <v>1.0009380638979448</v>
      </c>
      <c r="F392" s="327">
        <f t="shared" si="159"/>
        <v>4.3297371311219399E-2</v>
      </c>
      <c r="G392" s="326">
        <f t="shared" si="160"/>
        <v>1</v>
      </c>
      <c r="H392" s="327">
        <f t="shared" si="161"/>
        <v>0</v>
      </c>
      <c r="I392" s="325">
        <f t="shared" si="162"/>
        <v>45759.480857544528</v>
      </c>
      <c r="J392" s="328">
        <f t="shared" si="163"/>
        <v>1.5707744734001172</v>
      </c>
      <c r="K392" s="336">
        <f t="shared" si="183"/>
        <v>8.9204104251328307</v>
      </c>
      <c r="L392" s="337">
        <f t="shared" si="184"/>
        <v>1.4584577257623847</v>
      </c>
      <c r="M392" s="325">
        <f t="shared" si="164"/>
        <v>1.0274532734482646</v>
      </c>
      <c r="N392" s="337">
        <f t="shared" si="165"/>
        <v>0.23168761407539601</v>
      </c>
      <c r="O392" s="343">
        <f t="shared" si="166"/>
        <v>1.0198708155718124</v>
      </c>
      <c r="P392" s="691">
        <f t="shared" si="167"/>
        <v>0.19772333699119182</v>
      </c>
      <c r="Q392" s="336">
        <f t="shared" si="182"/>
        <v>15.188383224215292</v>
      </c>
      <c r="R392" s="692">
        <f t="shared" si="168"/>
        <v>9.3247085953731546E-2</v>
      </c>
      <c r="S392" s="329">
        <f t="shared" si="169"/>
        <v>0.99223181058584176</v>
      </c>
      <c r="T392" s="330">
        <f t="shared" si="170"/>
        <v>0.30252432082950559</v>
      </c>
      <c r="U392" s="331">
        <f t="shared" si="171"/>
        <v>1.1288634119988703</v>
      </c>
      <c r="V392" s="332">
        <f t="shared" si="172"/>
        <v>-117.20545058481153</v>
      </c>
      <c r="W392" s="334">
        <f t="shared" si="173"/>
        <v>62.79454941518847</v>
      </c>
      <c r="Y392" s="307">
        <f t="shared" si="174"/>
        <v>1000000000</v>
      </c>
      <c r="Z392" s="307">
        <f t="shared" si="175"/>
        <v>1188629052.25</v>
      </c>
      <c r="AB392" s="333">
        <f t="shared" si="176"/>
        <v>23.27005775484583</v>
      </c>
      <c r="AC392" s="334">
        <f t="shared" si="177"/>
        <v>-19.709998082775986</v>
      </c>
      <c r="AE392" s="333">
        <f t="shared" si="178"/>
        <v>35.297533387689143</v>
      </c>
      <c r="AF392" s="334">
        <f t="shared" si="179"/>
        <v>-103.48150075267139</v>
      </c>
      <c r="AH392">
        <f t="shared" si="180"/>
        <v>0</v>
      </c>
      <c r="AI392">
        <f t="shared" si="185"/>
        <v>0</v>
      </c>
    </row>
    <row r="393" spans="1:35" x14ac:dyDescent="0.25">
      <c r="A393" s="335">
        <v>34674</v>
      </c>
      <c r="B393" s="352">
        <f t="shared" si="181"/>
        <v>34.673999999999999</v>
      </c>
      <c r="C393" s="325">
        <f t="shared" si="156"/>
        <v>42.031152944147046</v>
      </c>
      <c r="D393" s="326">
        <f t="shared" si="157"/>
        <v>1.5470022051442358</v>
      </c>
      <c r="E393" s="326">
        <f t="shared" si="158"/>
        <v>1.0009488370456392</v>
      </c>
      <c r="F393" s="327">
        <f t="shared" si="159"/>
        <v>4.3545089492950377E-2</v>
      </c>
      <c r="G393" s="326">
        <f t="shared" si="160"/>
        <v>1</v>
      </c>
      <c r="H393" s="327">
        <f t="shared" si="161"/>
        <v>0</v>
      </c>
      <c r="I393" s="325">
        <f t="shared" si="162"/>
        <v>46021.615861534527</v>
      </c>
      <c r="J393" s="328">
        <f t="shared" si="163"/>
        <v>1.5707745978750975</v>
      </c>
      <c r="K393" s="336">
        <f t="shared" si="183"/>
        <v>8.9708709732894683</v>
      </c>
      <c r="L393" s="337">
        <f t="shared" si="184"/>
        <v>1.4590922718563579</v>
      </c>
      <c r="M393" s="325">
        <f t="shared" si="164"/>
        <v>1.0277644474016081</v>
      </c>
      <c r="N393" s="337">
        <f t="shared" si="165"/>
        <v>0.2329674693786184</v>
      </c>
      <c r="O393" s="343">
        <f t="shared" si="166"/>
        <v>1.0200968799218986</v>
      </c>
      <c r="P393" s="691">
        <f t="shared" si="167"/>
        <v>0.19882646796123427</v>
      </c>
      <c r="Q393" s="336">
        <f t="shared" si="182"/>
        <v>15.189118035147526</v>
      </c>
      <c r="R393" s="692">
        <f t="shared" si="168"/>
        <v>9.377827232335248E-2</v>
      </c>
      <c r="S393" s="329">
        <f t="shared" si="169"/>
        <v>0.99215854694614314</v>
      </c>
      <c r="T393" s="330">
        <f t="shared" si="170"/>
        <v>0.30433591441147129</v>
      </c>
      <c r="U393" s="331">
        <f t="shared" si="171"/>
        <v>1.0782656926730421</v>
      </c>
      <c r="V393" s="332">
        <f t="shared" si="172"/>
        <v>-117.30707142060636</v>
      </c>
      <c r="W393" s="334">
        <f t="shared" si="173"/>
        <v>62.692928579393637</v>
      </c>
      <c r="Y393" s="307">
        <f t="shared" si="174"/>
        <v>1000000000</v>
      </c>
      <c r="Z393" s="307">
        <f t="shared" si="175"/>
        <v>1202286276</v>
      </c>
      <c r="AB393" s="333">
        <f t="shared" si="176"/>
        <v>23.266807537100995</v>
      </c>
      <c r="AC393" s="334">
        <f t="shared" si="177"/>
        <v>-19.746978708880167</v>
      </c>
      <c r="AE393" s="333">
        <f t="shared" si="178"/>
        <v>35.248680998424533</v>
      </c>
      <c r="AF393" s="334">
        <f t="shared" si="179"/>
        <v>-103.57891097411887</v>
      </c>
      <c r="AH393">
        <f t="shared" si="180"/>
        <v>0</v>
      </c>
      <c r="AI393">
        <f t="shared" si="185"/>
        <v>0</v>
      </c>
    </row>
    <row r="394" spans="1:35" x14ac:dyDescent="0.25">
      <c r="A394" s="335">
        <v>34875.75</v>
      </c>
      <c r="B394" s="352">
        <f t="shared" si="181"/>
        <v>34.875749999999996</v>
      </c>
      <c r="C394" s="325">
        <f t="shared" si="156"/>
        <v>42.275572364207861</v>
      </c>
      <c r="D394" s="326">
        <f t="shared" si="157"/>
        <v>1.5471397984015378</v>
      </c>
      <c r="E394" s="326">
        <f t="shared" si="158"/>
        <v>1.0009599054385498</v>
      </c>
      <c r="F394" s="327">
        <f t="shared" si="159"/>
        <v>4.3798132797534882E-2</v>
      </c>
      <c r="G394" s="326">
        <f t="shared" si="160"/>
        <v>1</v>
      </c>
      <c r="H394" s="327">
        <f t="shared" si="161"/>
        <v>0</v>
      </c>
      <c r="I394" s="325">
        <f t="shared" si="162"/>
        <v>46289.391745357956</v>
      </c>
      <c r="J394" s="328">
        <f t="shared" si="163"/>
        <v>1.5707747235730272</v>
      </c>
      <c r="K394" s="336">
        <f t="shared" si="183"/>
        <v>9.0224210687159871</v>
      </c>
      <c r="L394" s="337">
        <f t="shared" si="184"/>
        <v>1.4597331439549925</v>
      </c>
      <c r="M394" s="325">
        <f t="shared" si="164"/>
        <v>1.0280840546775201</v>
      </c>
      <c r="N394" s="337">
        <f t="shared" si="165"/>
        <v>0.23427406373352469</v>
      </c>
      <c r="O394" s="343">
        <f t="shared" si="166"/>
        <v>1.0203290900830932</v>
      </c>
      <c r="P394" s="691">
        <f t="shared" si="167"/>
        <v>0.19995283107602285</v>
      </c>
      <c r="Q394" s="336">
        <f t="shared" si="182"/>
        <v>15.18987295530547</v>
      </c>
      <c r="R394" s="692">
        <f t="shared" si="168"/>
        <v>9.4320836861630369E-2</v>
      </c>
      <c r="S394" s="329">
        <f t="shared" si="169"/>
        <v>0.99208365579845381</v>
      </c>
      <c r="T394" s="330">
        <f t="shared" si="170"/>
        <v>0.30618784938292432</v>
      </c>
      <c r="U394" s="331">
        <f t="shared" si="171"/>
        <v>1.0268755845785897</v>
      </c>
      <c r="V394" s="332">
        <f t="shared" si="172"/>
        <v>-117.41126576112178</v>
      </c>
      <c r="W394" s="334">
        <f t="shared" si="173"/>
        <v>62.588734238878217</v>
      </c>
      <c r="Y394" s="307">
        <f t="shared" si="174"/>
        <v>1000000000</v>
      </c>
      <c r="Z394" s="307">
        <f t="shared" si="175"/>
        <v>1216317938.0625</v>
      </c>
      <c r="AB394" s="333">
        <f t="shared" si="176"/>
        <v>23.263484278751854</v>
      </c>
      <c r="AC394" s="334">
        <f t="shared" si="177"/>
        <v>-19.785128986496922</v>
      </c>
      <c r="AE394" s="333">
        <f t="shared" si="178"/>
        <v>35.199068847717371</v>
      </c>
      <c r="AF394" s="334">
        <f t="shared" si="179"/>
        <v>-103.67840423157563</v>
      </c>
      <c r="AH394">
        <f t="shared" si="180"/>
        <v>0</v>
      </c>
      <c r="AI394">
        <f t="shared" si="185"/>
        <v>0</v>
      </c>
    </row>
    <row r="395" spans="1:35" x14ac:dyDescent="0.25">
      <c r="A395" s="335">
        <v>35077.5</v>
      </c>
      <c r="B395" s="352">
        <f t="shared" si="181"/>
        <v>35.077500000000001</v>
      </c>
      <c r="C395" s="325">
        <f t="shared" si="156"/>
        <v>42.519992575424311</v>
      </c>
      <c r="D395" s="326">
        <f t="shared" si="157"/>
        <v>1.547275809790323</v>
      </c>
      <c r="E395" s="326">
        <f t="shared" si="158"/>
        <v>1.0009710379224181</v>
      </c>
      <c r="F395" s="327">
        <f t="shared" si="159"/>
        <v>4.4051170489785837E-2</v>
      </c>
      <c r="G395" s="326">
        <f t="shared" si="160"/>
        <v>1</v>
      </c>
      <c r="H395" s="327">
        <f t="shared" si="161"/>
        <v>0</v>
      </c>
      <c r="I395" s="325">
        <f t="shared" si="162"/>
        <v>46557.167629182106</v>
      </c>
      <c r="J395" s="328">
        <f t="shared" si="163"/>
        <v>1.570774847825041</v>
      </c>
      <c r="K395" s="336">
        <f t="shared" si="183"/>
        <v>9.0739748276993382</v>
      </c>
      <c r="L395" s="337">
        <f t="shared" si="184"/>
        <v>1.4603667340858348</v>
      </c>
      <c r="M395" s="325">
        <f t="shared" si="164"/>
        <v>1.0284054159943581</v>
      </c>
      <c r="N395" s="337">
        <f t="shared" si="165"/>
        <v>0.23557984373408389</v>
      </c>
      <c r="O395" s="343">
        <f t="shared" si="166"/>
        <v>1.0205625941395162</v>
      </c>
      <c r="P395" s="691">
        <f t="shared" si="167"/>
        <v>0.2010786801963329</v>
      </c>
      <c r="Q395" s="336">
        <f t="shared" si="182"/>
        <v>15.190632217399305</v>
      </c>
      <c r="R395" s="692">
        <f t="shared" si="168"/>
        <v>9.4863348122166707E-2</v>
      </c>
      <c r="S395" s="329">
        <f t="shared" si="169"/>
        <v>0.9920087199239721</v>
      </c>
      <c r="T395" s="330">
        <f t="shared" si="170"/>
        <v>0.30804116342127996</v>
      </c>
      <c r="U395" s="331">
        <f t="shared" si="171"/>
        <v>0.97578140657807722</v>
      </c>
      <c r="V395" s="332">
        <f t="shared" si="172"/>
        <v>-117.51584568475781</v>
      </c>
      <c r="W395" s="334">
        <f t="shared" si="173"/>
        <v>62.484154315242193</v>
      </c>
      <c r="Y395" s="307">
        <f t="shared" si="174"/>
        <v>1000000000</v>
      </c>
      <c r="Z395" s="307">
        <f t="shared" si="175"/>
        <v>1230431006.25</v>
      </c>
      <c r="AB395" s="333">
        <f t="shared" si="176"/>
        <v>23.26015767006259</v>
      </c>
      <c r="AC395" s="334">
        <f t="shared" si="177"/>
        <v>-19.823649748223151</v>
      </c>
      <c r="AE395" s="333">
        <f t="shared" si="178"/>
        <v>35.149747876357644</v>
      </c>
      <c r="AF395" s="334">
        <f t="shared" si="179"/>
        <v>-103.77788619091882</v>
      </c>
      <c r="AH395">
        <f t="shared" si="180"/>
        <v>0</v>
      </c>
      <c r="AI395">
        <f t="shared" si="185"/>
        <v>0</v>
      </c>
    </row>
    <row r="396" spans="1:35" x14ac:dyDescent="0.25">
      <c r="A396" s="335">
        <v>35279.25</v>
      </c>
      <c r="B396" s="352">
        <f t="shared" si="181"/>
        <v>35.279249999999998</v>
      </c>
      <c r="C396" s="325">
        <f t="shared" si="156"/>
        <v>42.764413564230843</v>
      </c>
      <c r="D396" s="326">
        <f t="shared" si="157"/>
        <v>1.5474102664291334</v>
      </c>
      <c r="E396" s="326">
        <f t="shared" si="158"/>
        <v>1.0009822344951058</v>
      </c>
      <c r="F396" s="327">
        <f t="shared" si="159"/>
        <v>4.4304202537487986E-2</v>
      </c>
      <c r="G396" s="326">
        <f t="shared" si="160"/>
        <v>1</v>
      </c>
      <c r="H396" s="327">
        <f t="shared" si="161"/>
        <v>0</v>
      </c>
      <c r="I396" s="325">
        <f t="shared" si="162"/>
        <v>46824.943513006961</v>
      </c>
      <c r="J396" s="328">
        <f t="shared" si="163"/>
        <v>1.5707749706559448</v>
      </c>
      <c r="K396" s="336">
        <f t="shared" si="183"/>
        <v>9.1255321881488562</v>
      </c>
      <c r="L396" s="337">
        <f t="shared" si="184"/>
        <v>1.4609931651606463</v>
      </c>
      <c r="M396" s="325">
        <f t="shared" si="164"/>
        <v>1.0287285297083038</v>
      </c>
      <c r="N396" s="337">
        <f t="shared" si="165"/>
        <v>0.2368848056927014</v>
      </c>
      <c r="O396" s="343">
        <f t="shared" si="166"/>
        <v>1.0207973912032442</v>
      </c>
      <c r="P396" s="691">
        <f t="shared" si="167"/>
        <v>0.20220401282176223</v>
      </c>
      <c r="Q396" s="336">
        <f t="shared" si="182"/>
        <v>15.191395820778583</v>
      </c>
      <c r="R396" s="692">
        <f t="shared" si="168"/>
        <v>9.5405805807469463E-2</v>
      </c>
      <c r="S396" s="329">
        <f t="shared" si="169"/>
        <v>0.99193374617616292</v>
      </c>
      <c r="T396" s="330">
        <f t="shared" si="170"/>
        <v>0.30989586343703013</v>
      </c>
      <c r="U396" s="331">
        <f t="shared" si="171"/>
        <v>0.92497954895008772</v>
      </c>
      <c r="V396" s="332">
        <f t="shared" si="172"/>
        <v>-117.62080601711013</v>
      </c>
      <c r="W396" s="334">
        <f t="shared" si="173"/>
        <v>62.379193982889873</v>
      </c>
      <c r="Y396" s="307">
        <f t="shared" si="174"/>
        <v>1000000000</v>
      </c>
      <c r="Z396" s="307">
        <f t="shared" si="175"/>
        <v>1244625480.5625</v>
      </c>
      <c r="AB396" s="333">
        <f t="shared" si="176"/>
        <v>23.256827498366775</v>
      </c>
      <c r="AC396" s="334">
        <f t="shared" si="177"/>
        <v>-19.862533741871331</v>
      </c>
      <c r="AE396" s="333">
        <f t="shared" si="178"/>
        <v>35.100714701455942</v>
      </c>
      <c r="AF396" s="334">
        <f t="shared" si="179"/>
        <v>-103.87735880371427</v>
      </c>
      <c r="AH396">
        <f t="shared" si="180"/>
        <v>0</v>
      </c>
      <c r="AI396">
        <f t="shared" si="185"/>
        <v>0</v>
      </c>
    </row>
    <row r="397" spans="1:35" x14ac:dyDescent="0.25">
      <c r="A397" s="335">
        <v>35481</v>
      </c>
      <c r="B397" s="352">
        <f t="shared" si="181"/>
        <v>35.481000000000002</v>
      </c>
      <c r="C397" s="325">
        <f t="shared" ref="C397:C460" si="186">SQRT(1+(A397/pole1)^2)</f>
        <v>43.008835317370213</v>
      </c>
      <c r="D397" s="326">
        <f t="shared" ref="D397:D460" si="187">ATAN(A397/pole1)</f>
        <v>1.5475431948202734</v>
      </c>
      <c r="E397" s="326">
        <f t="shared" ref="E397:E460" si="188">SQRT(1+(A397/Zero1)^2)</f>
        <v>1.0009934951544626</v>
      </c>
      <c r="F397" s="327">
        <f t="shared" ref="F397:F460" si="189">ATAN(A397/Zero1)</f>
        <v>4.4557228908430446E-2</v>
      </c>
      <c r="G397" s="326">
        <f t="shared" ref="G397:G460" si="190">IF(VIN_nom&gt;Vout, 1, SQRT(1+(A397/z_RHP)^2))</f>
        <v>1</v>
      </c>
      <c r="H397" s="327">
        <f t="shared" ref="H397:H460" si="191">IF(VIN_nom&gt;Vout, 0, -ATAN(A397/z_RHP))</f>
        <v>0</v>
      </c>
      <c r="I397" s="325">
        <f t="shared" ref="I397:I460" si="192">SQRT(1+(A397/Pole2)^2)</f>
        <v>47092.719396832523</v>
      </c>
      <c r="J397" s="328">
        <f t="shared" ref="J397:J460" si="193">ATAN(A397/Pole2)</f>
        <v>1.5707750920899808</v>
      </c>
      <c r="K397" s="336">
        <f t="shared" si="183"/>
        <v>9.1770930893648934</v>
      </c>
      <c r="L397" s="337">
        <f t="shared" si="184"/>
        <v>1.4616125573516665</v>
      </c>
      <c r="M397" s="325">
        <f t="shared" ref="M397:M460" si="194">SQRT(1+(A397/pole4)^2)</f>
        <v>1.0290533941686453</v>
      </c>
      <c r="N397" s="337">
        <f t="shared" ref="N397:N460" si="195">ATAN(A397/pole4)</f>
        <v>0.23818894593754603</v>
      </c>
      <c r="O397" s="343">
        <f t="shared" ref="O397:O460" si="196">IF(VOUT_setting=1,1,SQRT(1+(A397*zterm1)^2))</f>
        <v>1.0210334803822569</v>
      </c>
      <c r="P397" s="691">
        <f t="shared" ref="P397:P460" si="197">IF(VOUT_setting=1,0,ATAN(((A397*zterm1))))</f>
        <v>0.20332882645943501</v>
      </c>
      <c r="Q397" s="336">
        <f t="shared" si="182"/>
        <v>15.192163764789266</v>
      </c>
      <c r="R397" s="692">
        <f t="shared" ref="R397:R460" si="198">IF(VOUT_setting=1,0,ATAN(A397*$Q$4/(1+Afbr-$Q$5*(A397)^2)))</f>
        <v>9.5948209620228653E-2</v>
      </c>
      <c r="S397" s="329">
        <f t="shared" ref="S397:S460" si="199">SQRT((1-(Z397/pterm2))^2+(A397/pterm1)^2)</f>
        <v>0.99185874145015174</v>
      </c>
      <c r="T397" s="330">
        <f t="shared" ref="T397:T460" si="200">IF((ATAN((A397/pterm1)/(1-A397^2/pterm2))&gt;0),ATAN((A397/pterm1)/(1-A397^2/pterm2)),PI()+ATAN((A397/pterm1)/(1-A397^2/pterm2)))</f>
        <v>0.31175195631833674</v>
      </c>
      <c r="U397" s="331">
        <f t="shared" ref="U397:U460" si="201">20*LOG10(((E397*K397*G397*O397)/(C397*I397*S397*M397*Q397))*Adc)</f>
        <v>0.87446646507222003</v>
      </c>
      <c r="V397" s="332">
        <f t="shared" ref="V397:V460" si="202">((F397+L397+H397+P397)-(D397+J397+T397+N397+R397))*radconv</f>
        <v>-117.72614170460005</v>
      </c>
      <c r="W397" s="334">
        <f t="shared" ref="W397:W460" si="203">IF(V397&gt;0,V397,V397+180)</f>
        <v>62.273858295399947</v>
      </c>
      <c r="Y397" s="307">
        <f t="shared" ref="Y397:Y460" si="204">IF(U397&lt;0,A397,1000000000)</f>
        <v>1000000000</v>
      </c>
      <c r="Z397" s="307">
        <f t="shared" ref="Z397:Z460" si="205">A397^2</f>
        <v>1258901361</v>
      </c>
      <c r="AB397" s="333">
        <f t="shared" ref="AB397:AB460" si="206">20*LOG10((K397/(I397*M397))*AEA)</f>
        <v>23.253493557817574</v>
      </c>
      <c r="AC397" s="334">
        <f t="shared" ref="AC397:AC460" si="207">(L397-(J397+N397))*radconv</f>
        <v>-19.901773873087865</v>
      </c>
      <c r="AE397" s="333">
        <f t="shared" ref="AE397:AE460" si="208">20*LOG10((E397*G397/(C397*S397))*Acs*Am)</f>
        <v>35.051965996461185</v>
      </c>
      <c r="AF397" s="334">
        <f t="shared" ref="AF397:AF460" si="209">(F397+H397-(D397+T397))*radconv</f>
        <v>-103.97682398494034</v>
      </c>
      <c r="AH397">
        <f t="shared" ref="AH397:AH460" si="210">SUM((U398&lt;0)*(U397&gt;0))*A397</f>
        <v>0</v>
      </c>
      <c r="AI397">
        <f t="shared" si="185"/>
        <v>0</v>
      </c>
    </row>
    <row r="398" spans="1:35" x14ac:dyDescent="0.25">
      <c r="A398" s="335">
        <v>35687.75</v>
      </c>
      <c r="B398" s="352">
        <f t="shared" ref="B398:B461" si="211">A398/1000</f>
        <v>35.687750000000001</v>
      </c>
      <c r="C398" s="325">
        <f t="shared" si="186"/>
        <v>43.259315390289004</v>
      </c>
      <c r="D398" s="326">
        <f t="shared" si="187"/>
        <v>1.5476778591587494</v>
      </c>
      <c r="E398" s="326">
        <f t="shared" si="188"/>
        <v>1.001005101374892</v>
      </c>
      <c r="F398" s="327">
        <f t="shared" si="189"/>
        <v>4.4816520146010459E-2</v>
      </c>
      <c r="G398" s="326">
        <f t="shared" si="190"/>
        <v>1</v>
      </c>
      <c r="H398" s="327">
        <f t="shared" si="191"/>
        <v>0</v>
      </c>
      <c r="I398" s="325">
        <f t="shared" si="192"/>
        <v>47367.131609873795</v>
      </c>
      <c r="J398" s="328">
        <f t="shared" si="193"/>
        <v>1.5707752151090908</v>
      </c>
      <c r="K398" s="336">
        <f t="shared" si="183"/>
        <v>9.229935443408074</v>
      </c>
      <c r="L398" s="337">
        <f t="shared" si="184"/>
        <v>1.4622401202196835</v>
      </c>
      <c r="M398" s="325">
        <f t="shared" si="194"/>
        <v>1.0293881244264294</v>
      </c>
      <c r="N398" s="337">
        <f t="shared" si="195"/>
        <v>0.23952455054498875</v>
      </c>
      <c r="O398" s="343">
        <f t="shared" si="196"/>
        <v>1.0212767602029313</v>
      </c>
      <c r="P398" s="691">
        <f t="shared" si="197"/>
        <v>0.20448097547926056</v>
      </c>
      <c r="Q398" s="336">
        <f t="shared" si="182"/>
        <v>15.192955243507861</v>
      </c>
      <c r="R398" s="692">
        <f t="shared" si="198"/>
        <v>9.6503999704068255E-2</v>
      </c>
      <c r="S398" s="329">
        <f t="shared" si="199"/>
        <v>0.9917818529881659</v>
      </c>
      <c r="T398" s="330">
        <f t="shared" si="200"/>
        <v>0.31365550127754321</v>
      </c>
      <c r="U398" s="331">
        <f t="shared" si="201"/>
        <v>0.82299746037049826</v>
      </c>
      <c r="V398" s="332">
        <f t="shared" si="202"/>
        <v>-117.83447220342441</v>
      </c>
      <c r="W398" s="334">
        <f t="shared" si="203"/>
        <v>62.165527796575589</v>
      </c>
      <c r="Y398" s="307">
        <f t="shared" si="204"/>
        <v>1000000000</v>
      </c>
      <c r="Z398" s="307">
        <f t="shared" si="205"/>
        <v>1273615500.0625</v>
      </c>
      <c r="AB398" s="333">
        <f t="shared" si="206"/>
        <v>23.250072873224511</v>
      </c>
      <c r="AC398" s="334">
        <f t="shared" si="207"/>
        <v>-19.942348724998219</v>
      </c>
      <c r="AE398" s="333">
        <f t="shared" si="208"/>
        <v>35.002300855673482</v>
      </c>
      <c r="AF398" s="334">
        <f t="shared" si="209"/>
        <v>-104.07874848200029</v>
      </c>
      <c r="AH398">
        <f t="shared" si="210"/>
        <v>0</v>
      </c>
      <c r="AI398">
        <f t="shared" si="185"/>
        <v>0</v>
      </c>
    </row>
    <row r="399" spans="1:35" x14ac:dyDescent="0.25">
      <c r="A399" s="335">
        <v>35894.5</v>
      </c>
      <c r="B399" s="352">
        <f t="shared" si="211"/>
        <v>35.894500000000001</v>
      </c>
      <c r="C399" s="325">
        <f t="shared" si="186"/>
        <v>43.50979623866079</v>
      </c>
      <c r="D399" s="326">
        <f t="shared" si="187"/>
        <v>1.5478109730056739</v>
      </c>
      <c r="E399" s="326">
        <f t="shared" si="188"/>
        <v>1.001016774893279</v>
      </c>
      <c r="F399" s="327">
        <f t="shared" si="189"/>
        <v>4.5075805353489297E-2</v>
      </c>
      <c r="G399" s="326">
        <f t="shared" si="190"/>
        <v>1</v>
      </c>
      <c r="H399" s="327">
        <f t="shared" si="191"/>
        <v>0</v>
      </c>
      <c r="I399" s="325">
        <f t="shared" si="192"/>
        <v>47641.543822915788</v>
      </c>
      <c r="J399" s="328">
        <f t="shared" si="193"/>
        <v>1.5707753367110364</v>
      </c>
      <c r="K399" s="336">
        <f t="shared" si="183"/>
        <v>9.2827813911380677</v>
      </c>
      <c r="L399" s="337">
        <f t="shared" si="184"/>
        <v>1.4628605380242177</v>
      </c>
      <c r="M399" s="325">
        <f t="shared" si="194"/>
        <v>1.0297246897518528</v>
      </c>
      <c r="N399" s="337">
        <f t="shared" si="195"/>
        <v>0.24085928444784854</v>
      </c>
      <c r="O399" s="343">
        <f t="shared" si="196"/>
        <v>1.021521395067972</v>
      </c>
      <c r="P399" s="691">
        <f t="shared" si="197"/>
        <v>0.20563257419179137</v>
      </c>
      <c r="Q399" s="336">
        <f t="shared" ref="Q399:Q462" si="212">IF(VOUT_setting=1,1,SQRT((1+Afbr-$Q$5*(A399)^2)^2+(A399*$Q$4)^2))</f>
        <v>15.19375127927063</v>
      </c>
      <c r="R399" s="692">
        <f t="shared" si="198"/>
        <v>9.7059732580407329E-2</v>
      </c>
      <c r="S399" s="329">
        <f t="shared" si="199"/>
        <v>0.99170494678942522</v>
      </c>
      <c r="T399" s="330">
        <f t="shared" si="200"/>
        <v>0.31556052357096426</v>
      </c>
      <c r="U399" s="331">
        <f t="shared" si="201"/>
        <v>0.77182437545844695</v>
      </c>
      <c r="V399" s="332">
        <f t="shared" si="202"/>
        <v>-117.94318652176557</v>
      </c>
      <c r="W399" s="334">
        <f t="shared" si="203"/>
        <v>62.056813478234432</v>
      </c>
      <c r="Y399" s="307">
        <f t="shared" si="204"/>
        <v>1000000000</v>
      </c>
      <c r="Z399" s="307">
        <f t="shared" si="205"/>
        <v>1288415130.25</v>
      </c>
      <c r="AB399" s="333">
        <f t="shared" si="206"/>
        <v>23.246647813942044</v>
      </c>
      <c r="AC399" s="334">
        <f t="shared" si="207"/>
        <v>-19.983282989995569</v>
      </c>
      <c r="AE399" s="333">
        <f t="shared" si="208"/>
        <v>34.952927562011332</v>
      </c>
      <c r="AF399" s="334">
        <f t="shared" si="209"/>
        <v>-104.18066913295291</v>
      </c>
      <c r="AH399">
        <f t="shared" si="210"/>
        <v>0</v>
      </c>
      <c r="AI399">
        <f t="shared" si="185"/>
        <v>0</v>
      </c>
    </row>
    <row r="400" spans="1:35" x14ac:dyDescent="0.25">
      <c r="A400" s="335">
        <v>36101.25</v>
      </c>
      <c r="B400" s="352">
        <f t="shared" si="211"/>
        <v>36.10125</v>
      </c>
      <c r="C400" s="325">
        <f t="shared" si="186"/>
        <v>43.760277849169661</v>
      </c>
      <c r="D400" s="326">
        <f t="shared" si="187"/>
        <v>1.5479425629810937</v>
      </c>
      <c r="E400" s="326">
        <f t="shared" si="188"/>
        <v>1.0010285157072691</v>
      </c>
      <c r="F400" s="327">
        <f t="shared" si="189"/>
        <v>4.533508449621567E-2</v>
      </c>
      <c r="G400" s="326">
        <f t="shared" si="190"/>
        <v>1</v>
      </c>
      <c r="H400" s="327">
        <f t="shared" si="191"/>
        <v>0</v>
      </c>
      <c r="I400" s="325">
        <f t="shared" si="192"/>
        <v>47915.956035958465</v>
      </c>
      <c r="J400" s="328">
        <f t="shared" si="193"/>
        <v>1.570775456920166</v>
      </c>
      <c r="K400" s="336">
        <f t="shared" si="183"/>
        <v>9.3356308715268188</v>
      </c>
      <c r="L400" s="337">
        <f t="shared" si="184"/>
        <v>1.4634739316292484</v>
      </c>
      <c r="M400" s="325">
        <f t="shared" si="194"/>
        <v>1.0300630883461324</v>
      </c>
      <c r="N400" s="337">
        <f t="shared" si="195"/>
        <v>0.24219314374625794</v>
      </c>
      <c r="O400" s="343">
        <f t="shared" si="196"/>
        <v>1.0217673840040913</v>
      </c>
      <c r="P400" s="691">
        <f t="shared" si="197"/>
        <v>0.20678361993894454</v>
      </c>
      <c r="Q400" s="336">
        <f t="shared" si="212"/>
        <v>15.194551871361984</v>
      </c>
      <c r="R400" s="692">
        <f t="shared" si="198"/>
        <v>9.7615407929880174E-2</v>
      </c>
      <c r="S400" s="329">
        <f t="shared" si="199"/>
        <v>0.9916280304108045</v>
      </c>
      <c r="T400" s="330">
        <f t="shared" si="200"/>
        <v>0.3174670305371321</v>
      </c>
      <c r="U400" s="331">
        <f t="shared" si="201"/>
        <v>0.72094358992220098</v>
      </c>
      <c r="V400" s="332">
        <f t="shared" si="202"/>
        <v>-118.05227959424396</v>
      </c>
      <c r="W400" s="334">
        <f t="shared" si="203"/>
        <v>61.947720405756044</v>
      </c>
      <c r="Y400" s="307">
        <f t="shared" si="204"/>
        <v>1000000000</v>
      </c>
      <c r="Z400" s="307">
        <f t="shared" si="205"/>
        <v>1303300251.5625</v>
      </c>
      <c r="AB400" s="333">
        <f t="shared" si="206"/>
        <v>23.243218179279314</v>
      </c>
      <c r="AC400" s="334">
        <f t="shared" si="207"/>
        <v>-20.024569521033087</v>
      </c>
      <c r="AE400" s="333">
        <f t="shared" si="208"/>
        <v>34.903842711250491</v>
      </c>
      <c r="AF400" s="334">
        <f t="shared" si="209"/>
        <v>-104.28258788546687</v>
      </c>
      <c r="AH400">
        <f t="shared" si="210"/>
        <v>0</v>
      </c>
      <c r="AI400">
        <f t="shared" si="185"/>
        <v>0</v>
      </c>
    </row>
    <row r="401" spans="1:35" x14ac:dyDescent="0.25">
      <c r="A401" s="335">
        <v>36308</v>
      </c>
      <c r="B401" s="352">
        <f t="shared" si="211"/>
        <v>36.308</v>
      </c>
      <c r="C401" s="325">
        <f t="shared" si="186"/>
        <v>44.0107602088028</v>
      </c>
      <c r="D401" s="326">
        <f t="shared" si="187"/>
        <v>1.5480726550992492</v>
      </c>
      <c r="E401" s="326">
        <f t="shared" si="188"/>
        <v>1.0010403238144947</v>
      </c>
      <c r="F401" s="327">
        <f t="shared" si="189"/>
        <v>4.5594357539543134E-2</v>
      </c>
      <c r="G401" s="326">
        <f t="shared" si="190"/>
        <v>1</v>
      </c>
      <c r="H401" s="327">
        <f t="shared" si="191"/>
        <v>0</v>
      </c>
      <c r="I401" s="325">
        <f t="shared" si="192"/>
        <v>48190.36824900184</v>
      </c>
      <c r="J401" s="328">
        <f t="shared" si="193"/>
        <v>1.5707755757602728</v>
      </c>
      <c r="K401" s="336">
        <f t="shared" si="183"/>
        <v>9.3884838249163955</v>
      </c>
      <c r="L401" s="337">
        <f t="shared" si="184"/>
        <v>1.4640804191985315</v>
      </c>
      <c r="M401" s="325">
        <f t="shared" si="194"/>
        <v>1.0304033184030561</v>
      </c>
      <c r="N401" s="337">
        <f t="shared" si="195"/>
        <v>0.24352612455790712</v>
      </c>
      <c r="O401" s="343">
        <f t="shared" si="196"/>
        <v>1.0220147260335541</v>
      </c>
      <c r="P401" s="691">
        <f t="shared" si="197"/>
        <v>0.20793411007105028</v>
      </c>
      <c r="Q401" s="336">
        <f t="shared" si="212"/>
        <v>15.195357019062387</v>
      </c>
      <c r="R401" s="692">
        <f t="shared" si="198"/>
        <v>9.8171025433326162E-2</v>
      </c>
      <c r="S401" s="329">
        <f t="shared" si="199"/>
        <v>0.9915511114552028</v>
      </c>
      <c r="T401" s="330">
        <f t="shared" si="200"/>
        <v>0.31937502948888402</v>
      </c>
      <c r="U401" s="331">
        <f t="shared" si="201"/>
        <v>0.67035154650124096</v>
      </c>
      <c r="V401" s="332">
        <f t="shared" si="202"/>
        <v>-118.16174647451273</v>
      </c>
      <c r="W401" s="334">
        <f t="shared" si="203"/>
        <v>61.838253525487275</v>
      </c>
      <c r="Y401" s="307">
        <f t="shared" si="204"/>
        <v>1000000000</v>
      </c>
      <c r="Z401" s="307">
        <f t="shared" si="205"/>
        <v>1318270864</v>
      </c>
      <c r="AB401" s="333">
        <f t="shared" si="206"/>
        <v>23.239783775118944</v>
      </c>
      <c r="AC401" s="334">
        <f t="shared" si="207"/>
        <v>-20.066201326749567</v>
      </c>
      <c r="AE401" s="333">
        <f t="shared" si="208"/>
        <v>34.855042955810006</v>
      </c>
      <c r="AF401" s="334">
        <f t="shared" si="209"/>
        <v>-104.38450665102815</v>
      </c>
      <c r="AH401">
        <f t="shared" si="210"/>
        <v>0</v>
      </c>
      <c r="AI401">
        <f t="shared" si="185"/>
        <v>0</v>
      </c>
    </row>
    <row r="402" spans="1:35" x14ac:dyDescent="0.25">
      <c r="A402" s="335">
        <v>36519.5</v>
      </c>
      <c r="B402" s="352">
        <f t="shared" si="211"/>
        <v>36.519500000000001</v>
      </c>
      <c r="C402" s="325">
        <f t="shared" si="186"/>
        <v>44.266998064091503</v>
      </c>
      <c r="D402" s="326">
        <f t="shared" si="187"/>
        <v>1.5482042126676197</v>
      </c>
      <c r="E402" s="326">
        <f t="shared" si="188"/>
        <v>1.0010524728359089</v>
      </c>
      <c r="F402" s="327">
        <f t="shared" si="189"/>
        <v>4.5859580931825704E-2</v>
      </c>
      <c r="G402" s="326">
        <f t="shared" si="190"/>
        <v>1</v>
      </c>
      <c r="H402" s="327">
        <f t="shared" si="191"/>
        <v>0</v>
      </c>
      <c r="I402" s="325">
        <f t="shared" si="192"/>
        <v>48471.084974800222</v>
      </c>
      <c r="J402" s="328">
        <f t="shared" si="193"/>
        <v>1.5707756959383645</v>
      </c>
      <c r="K402" s="336">
        <f t="shared" si="183"/>
        <v>9.4425545869374989</v>
      </c>
      <c r="L402" s="337">
        <f t="shared" si="184"/>
        <v>1.4646938151783861</v>
      </c>
      <c r="M402" s="325">
        <f t="shared" si="194"/>
        <v>1.0307532582825407</v>
      </c>
      <c r="N402" s="337">
        <f t="shared" si="195"/>
        <v>0.2448888170574865</v>
      </c>
      <c r="O402" s="343">
        <f t="shared" si="196"/>
        <v>1.0222691497054908</v>
      </c>
      <c r="P402" s="691">
        <f t="shared" si="197"/>
        <v>0.20911045459874783</v>
      </c>
      <c r="Q402" s="336">
        <f t="shared" si="212"/>
        <v>15.196185377766779</v>
      </c>
      <c r="R402" s="692">
        <f t="shared" si="198"/>
        <v>9.8739347843228839E-2</v>
      </c>
      <c r="S402" s="329">
        <f t="shared" si="199"/>
        <v>0.99147243062580015</v>
      </c>
      <c r="T402" s="330">
        <f t="shared" si="200"/>
        <v>0.32132841536024587</v>
      </c>
      <c r="U402" s="331">
        <f t="shared" si="201"/>
        <v>0.61889229534573209</v>
      </c>
      <c r="V402" s="332">
        <f t="shared" si="202"/>
        <v>-118.2741100659366</v>
      </c>
      <c r="W402" s="334">
        <f t="shared" si="203"/>
        <v>61.725889934063403</v>
      </c>
      <c r="Y402" s="307">
        <f t="shared" si="204"/>
        <v>1000000000</v>
      </c>
      <c r="Z402" s="307">
        <f t="shared" si="205"/>
        <v>1333673880.25</v>
      </c>
      <c r="AB402" s="333">
        <f t="shared" si="206"/>
        <v>23.23626533601827</v>
      </c>
      <c r="AC402" s="334">
        <f t="shared" si="207"/>
        <v>-20.109139740680153</v>
      </c>
      <c r="AE402" s="333">
        <f t="shared" si="208"/>
        <v>34.80541360833805</v>
      </c>
      <c r="AF402" s="334">
        <f t="shared" si="209"/>
        <v>-104.48876892976151</v>
      </c>
      <c r="AH402">
        <f t="shared" si="210"/>
        <v>0</v>
      </c>
      <c r="AI402">
        <f t="shared" si="185"/>
        <v>0</v>
      </c>
    </row>
    <row r="403" spans="1:35" x14ac:dyDescent="0.25">
      <c r="A403" s="335">
        <v>36731</v>
      </c>
      <c r="B403" s="352">
        <f t="shared" si="211"/>
        <v>36.731000000000002</v>
      </c>
      <c r="C403" s="325">
        <f t="shared" si="186"/>
        <v>44.523236676707981</v>
      </c>
      <c r="D403" s="326">
        <f t="shared" si="187"/>
        <v>1.5483342559669617</v>
      </c>
      <c r="E403" s="326">
        <f t="shared" si="188"/>
        <v>1.0010646922730935</v>
      </c>
      <c r="F403" s="327">
        <f t="shared" si="189"/>
        <v>4.612479786789675E-2</v>
      </c>
      <c r="G403" s="326">
        <f t="shared" si="190"/>
        <v>1</v>
      </c>
      <c r="H403" s="327">
        <f t="shared" si="191"/>
        <v>0</v>
      </c>
      <c r="I403" s="325">
        <f t="shared" si="192"/>
        <v>48751.801700599295</v>
      </c>
      <c r="J403" s="328">
        <f t="shared" si="193"/>
        <v>1.5707758147324664</v>
      </c>
      <c r="K403" s="336">
        <f t="shared" si="183"/>
        <v>9.4966288613056271</v>
      </c>
      <c r="L403" s="337">
        <f t="shared" si="184"/>
        <v>1.4653002259701589</v>
      </c>
      <c r="M403" s="325">
        <f t="shared" si="194"/>
        <v>1.0311051108982903</v>
      </c>
      <c r="N403" s="337">
        <f t="shared" si="195"/>
        <v>0.24625058207843081</v>
      </c>
      <c r="O403" s="343">
        <f t="shared" si="196"/>
        <v>1.0225249872745212</v>
      </c>
      <c r="P403" s="691">
        <f t="shared" si="197"/>
        <v>0.21028621210578316</v>
      </c>
      <c r="Q403" s="336">
        <f t="shared" si="212"/>
        <v>15.197018502275602</v>
      </c>
      <c r="R403" s="692">
        <f t="shared" si="198"/>
        <v>9.9307609043591732E-2</v>
      </c>
      <c r="S403" s="329">
        <f t="shared" si="199"/>
        <v>0.99139376334249052</v>
      </c>
      <c r="T403" s="330">
        <f t="shared" si="200"/>
        <v>0.32328337795801532</v>
      </c>
      <c r="U403" s="331">
        <f t="shared" si="201"/>
        <v>0.56772787136548153</v>
      </c>
      <c r="V403" s="332">
        <f t="shared" si="202"/>
        <v>-118.38685473446498</v>
      </c>
      <c r="W403" s="334">
        <f t="shared" si="203"/>
        <v>61.613145265535024</v>
      </c>
      <c r="Y403" s="307">
        <f t="shared" si="204"/>
        <v>1000000000</v>
      </c>
      <c r="Z403" s="307">
        <f t="shared" si="205"/>
        <v>1349166361</v>
      </c>
      <c r="AB403" s="333">
        <f t="shared" si="206"/>
        <v>23.232741514937342</v>
      </c>
      <c r="AC403" s="334">
        <f t="shared" si="207"/>
        <v>-20.152425156499174</v>
      </c>
      <c r="AE403" s="333">
        <f t="shared" si="208"/>
        <v>34.756075695711132</v>
      </c>
      <c r="AF403" s="334">
        <f t="shared" si="209"/>
        <v>-104.59303515695277</v>
      </c>
      <c r="AH403">
        <f t="shared" si="210"/>
        <v>0</v>
      </c>
      <c r="AI403">
        <f t="shared" si="185"/>
        <v>0</v>
      </c>
    </row>
    <row r="404" spans="1:35" x14ac:dyDescent="0.25">
      <c r="A404" s="335">
        <v>36942.5</v>
      </c>
      <c r="B404" s="352">
        <f t="shared" si="211"/>
        <v>36.942500000000003</v>
      </c>
      <c r="C404" s="325">
        <f t="shared" si="186"/>
        <v>44.779476033651441</v>
      </c>
      <c r="D404" s="326">
        <f t="shared" si="187"/>
        <v>1.5484628109879166</v>
      </c>
      <c r="E404" s="326">
        <f t="shared" si="188"/>
        <v>1.0010769821234697</v>
      </c>
      <c r="F404" s="327">
        <f t="shared" si="189"/>
        <v>4.6390008310682629E-2</v>
      </c>
      <c r="G404" s="326">
        <f t="shared" si="190"/>
        <v>1</v>
      </c>
      <c r="H404" s="327">
        <f t="shared" si="191"/>
        <v>0</v>
      </c>
      <c r="I404" s="325">
        <f t="shared" si="192"/>
        <v>49032.518426399052</v>
      </c>
      <c r="J404" s="328">
        <f t="shared" si="193"/>
        <v>1.5707759321663488</v>
      </c>
      <c r="K404" s="336">
        <f t="shared" si="183"/>
        <v>9.5507065883620683</v>
      </c>
      <c r="L404" s="337">
        <f t="shared" si="184"/>
        <v>1.4658997697779956</v>
      </c>
      <c r="M404" s="325">
        <f t="shared" si="194"/>
        <v>1.0314588742928794</v>
      </c>
      <c r="N404" s="337">
        <f t="shared" si="195"/>
        <v>0.24761141552195753</v>
      </c>
      <c r="O404" s="343">
        <f t="shared" si="196"/>
        <v>1.0227822376796341</v>
      </c>
      <c r="P404" s="691">
        <f t="shared" si="197"/>
        <v>0.21146137978314322</v>
      </c>
      <c r="Q404" s="336">
        <f t="shared" si="212"/>
        <v>15.197856391805784</v>
      </c>
      <c r="R404" s="692">
        <f t="shared" si="198"/>
        <v>9.9875808693420387E-2</v>
      </c>
      <c r="S404" s="329">
        <f t="shared" si="199"/>
        <v>0.99131511789395088</v>
      </c>
      <c r="T404" s="330">
        <f t="shared" si="200"/>
        <v>0.32523992502544313</v>
      </c>
      <c r="U404" s="331">
        <f t="shared" si="201"/>
        <v>0.51685466188889817</v>
      </c>
      <c r="V404" s="332">
        <f t="shared" si="202"/>
        <v>-118.49997555035907</v>
      </c>
      <c r="W404" s="334">
        <f t="shared" si="203"/>
        <v>61.500024449640932</v>
      </c>
      <c r="Y404" s="307">
        <f t="shared" si="204"/>
        <v>1000000000</v>
      </c>
      <c r="Z404" s="307">
        <f t="shared" si="205"/>
        <v>1364748306.25</v>
      </c>
      <c r="AB404" s="333">
        <f t="shared" si="206"/>
        <v>23.229212124035907</v>
      </c>
      <c r="AC404" s="334">
        <f t="shared" si="207"/>
        <v>-20.196050568126939</v>
      </c>
      <c r="AE404" s="333">
        <f t="shared" si="208"/>
        <v>34.707025809960918</v>
      </c>
      <c r="AF404" s="334">
        <f t="shared" si="209"/>
        <v>-104.69730726753573</v>
      </c>
      <c r="AH404">
        <f t="shared" si="210"/>
        <v>0</v>
      </c>
      <c r="AI404">
        <f t="shared" si="185"/>
        <v>0</v>
      </c>
    </row>
    <row r="405" spans="1:35" x14ac:dyDescent="0.25">
      <c r="A405" s="335">
        <v>37154</v>
      </c>
      <c r="B405" s="352">
        <f t="shared" si="211"/>
        <v>37.154000000000003</v>
      </c>
      <c r="C405" s="325">
        <f t="shared" si="186"/>
        <v>45.03571612221689</v>
      </c>
      <c r="D405" s="326">
        <f t="shared" si="187"/>
        <v>1.5485899031298083</v>
      </c>
      <c r="E405" s="326">
        <f t="shared" si="188"/>
        <v>1.0010893423844447</v>
      </c>
      <c r="F405" s="327">
        <f t="shared" si="189"/>
        <v>4.6655212223115208E-2</v>
      </c>
      <c r="G405" s="326">
        <f t="shared" si="190"/>
        <v>1</v>
      </c>
      <c r="H405" s="327">
        <f t="shared" si="191"/>
        <v>0</v>
      </c>
      <c r="I405" s="325">
        <f t="shared" si="192"/>
        <v>49313.235152199479</v>
      </c>
      <c r="J405" s="328">
        <f t="shared" si="193"/>
        <v>1.5707760482632411</v>
      </c>
      <c r="K405" s="336">
        <f t="shared" si="183"/>
        <v>9.604787709787928</v>
      </c>
      <c r="L405" s="337">
        <f t="shared" si="184"/>
        <v>1.4664925621637845</v>
      </c>
      <c r="M405" s="325">
        <f t="shared" si="194"/>
        <v>1.0318145465009447</v>
      </c>
      <c r="N405" s="337">
        <f t="shared" si="195"/>
        <v>0.24897131330869141</v>
      </c>
      <c r="O405" s="343">
        <f t="shared" si="196"/>
        <v>1.0230408998550282</v>
      </c>
      <c r="P405" s="691">
        <f t="shared" si="197"/>
        <v>0.21263595483114903</v>
      </c>
      <c r="Q405" s="336">
        <f t="shared" si="212"/>
        <v>15.198699045569949</v>
      </c>
      <c r="R405" s="692">
        <f t="shared" si="198"/>
        <v>0.10044394645194951</v>
      </c>
      <c r="S405" s="329">
        <f t="shared" si="199"/>
        <v>0.99123650261933693</v>
      </c>
      <c r="T405" s="330">
        <f t="shared" si="200"/>
        <v>0.3271980642764078</v>
      </c>
      <c r="U405" s="331">
        <f t="shared" si="201"/>
        <v>0.46626911700977686</v>
      </c>
      <c r="V405" s="332">
        <f t="shared" si="202"/>
        <v>-118.61346770026627</v>
      </c>
      <c r="W405" s="334">
        <f t="shared" si="203"/>
        <v>61.38653229973373</v>
      </c>
      <c r="Y405" s="307">
        <f t="shared" si="204"/>
        <v>1000000000</v>
      </c>
      <c r="Z405" s="307">
        <f t="shared" si="205"/>
        <v>1380419716</v>
      </c>
      <c r="AB405" s="333">
        <f t="shared" si="206"/>
        <v>23.22567698176513</v>
      </c>
      <c r="AC405" s="334">
        <f t="shared" si="207"/>
        <v>-20.240009121954959</v>
      </c>
      <c r="AE405" s="333">
        <f t="shared" si="208"/>
        <v>34.6582605996607</v>
      </c>
      <c r="AF405" s="334">
        <f t="shared" si="209"/>
        <v>-104.801587160881</v>
      </c>
      <c r="AH405">
        <f t="shared" si="210"/>
        <v>0</v>
      </c>
      <c r="AI405">
        <f t="shared" si="185"/>
        <v>0</v>
      </c>
    </row>
    <row r="406" spans="1:35" x14ac:dyDescent="0.25">
      <c r="A406" s="335">
        <v>37370.25</v>
      </c>
      <c r="B406" s="352">
        <f t="shared" si="211"/>
        <v>37.370249999999999</v>
      </c>
      <c r="C406" s="325">
        <f t="shared" si="186"/>
        <v>45.297711755345702</v>
      </c>
      <c r="D406" s="326">
        <f t="shared" si="187"/>
        <v>1.5487183629137087</v>
      </c>
      <c r="E406" s="326">
        <f t="shared" si="188"/>
        <v>1.0011020530375601</v>
      </c>
      <c r="F406" s="327">
        <f t="shared" si="189"/>
        <v>4.6926365461182638E-2</v>
      </c>
      <c r="G406" s="326">
        <f t="shared" si="190"/>
        <v>1</v>
      </c>
      <c r="H406" s="327">
        <f t="shared" si="191"/>
        <v>0</v>
      </c>
      <c r="I406" s="325">
        <f t="shared" si="192"/>
        <v>49600.256390754963</v>
      </c>
      <c r="J406" s="328">
        <f t="shared" si="193"/>
        <v>1.5707761656087893</v>
      </c>
      <c r="K406" s="336">
        <f t="shared" si="183"/>
        <v>9.6600868692366149</v>
      </c>
      <c r="L406" s="337">
        <f t="shared" si="184"/>
        <v>1.4670918049751731</v>
      </c>
      <c r="M406" s="325">
        <f t="shared" si="194"/>
        <v>1.0321801781624456</v>
      </c>
      <c r="N406" s="337">
        <f t="shared" si="195"/>
        <v>0.25036078089293567</v>
      </c>
      <c r="O406" s="343">
        <f t="shared" si="196"/>
        <v>1.0233068297989554</v>
      </c>
      <c r="P406" s="691">
        <f t="shared" si="197"/>
        <v>0.2138362935743664</v>
      </c>
      <c r="Q406" s="336">
        <f t="shared" si="212"/>
        <v>15.199565549290295</v>
      </c>
      <c r="R406" s="692">
        <f t="shared" si="198"/>
        <v>0.10102477945890261</v>
      </c>
      <c r="S406" s="329">
        <f t="shared" si="199"/>
        <v>0.99115616169111498</v>
      </c>
      <c r="T406" s="330">
        <f t="shared" si="200"/>
        <v>0.32920183487679056</v>
      </c>
      <c r="U406" s="331">
        <f t="shared" si="201"/>
        <v>0.41484128443092461</v>
      </c>
      <c r="V406" s="332">
        <f t="shared" si="202"/>
        <v>-118.7298877699096</v>
      </c>
      <c r="W406" s="334">
        <f t="shared" si="203"/>
        <v>61.270112230090405</v>
      </c>
      <c r="Y406" s="307">
        <f t="shared" si="204"/>
        <v>1000000000</v>
      </c>
      <c r="Z406" s="307">
        <f t="shared" si="205"/>
        <v>1396535585.0625</v>
      </c>
      <c r="AB406" s="333">
        <f t="shared" si="206"/>
        <v>23.222056315730594</v>
      </c>
      <c r="AC406" s="334">
        <f t="shared" si="207"/>
        <v>-20.285292389762674</v>
      </c>
      <c r="AE406" s="333">
        <f t="shared" si="208"/>
        <v>34.608691093730663</v>
      </c>
      <c r="AF406" s="334">
        <f t="shared" si="209"/>
        <v>-104.90821902682924</v>
      </c>
      <c r="AH406">
        <f t="shared" si="210"/>
        <v>0</v>
      </c>
      <c r="AI406">
        <f t="shared" si="185"/>
        <v>0</v>
      </c>
    </row>
    <row r="407" spans="1:35" x14ac:dyDescent="0.25">
      <c r="A407" s="335">
        <v>37586.5</v>
      </c>
      <c r="B407" s="352">
        <f t="shared" si="211"/>
        <v>37.586500000000001</v>
      </c>
      <c r="C407" s="325">
        <f t="shared" si="186"/>
        <v>45.559708127376403</v>
      </c>
      <c r="D407" s="326">
        <f t="shared" si="187"/>
        <v>1.548845345253989</v>
      </c>
      <c r="E407" s="326">
        <f t="shared" si="188"/>
        <v>1.0011148372939094</v>
      </c>
      <c r="F407" s="327">
        <f t="shared" si="189"/>
        <v>4.7197511793920954E-2</v>
      </c>
      <c r="G407" s="326">
        <f t="shared" si="190"/>
        <v>1</v>
      </c>
      <c r="H407" s="327">
        <f t="shared" si="191"/>
        <v>0</v>
      </c>
      <c r="I407" s="325">
        <f t="shared" si="192"/>
        <v>49887.277629311124</v>
      </c>
      <c r="J407" s="328">
        <f t="shared" si="193"/>
        <v>1.5707762816040667</v>
      </c>
      <c r="K407" s="336">
        <f t="shared" ref="K407:K470" si="213">SQRT(1+(A407/Zero2)^2)</f>
        <v>9.7153894580550855</v>
      </c>
      <c r="L407" s="337">
        <f t="shared" ref="L407:L470" si="214">ATAN(A407/Zero2)</f>
        <v>1.4676842258973659</v>
      </c>
      <c r="M407" s="325">
        <f t="shared" si="194"/>
        <v>1.0325478011582827</v>
      </c>
      <c r="N407" s="337">
        <f t="shared" si="195"/>
        <v>0.2517492617584719</v>
      </c>
      <c r="O407" s="343">
        <f t="shared" si="196"/>
        <v>1.0235742333694178</v>
      </c>
      <c r="P407" s="691">
        <f t="shared" si="197"/>
        <v>0.21503600688059377</v>
      </c>
      <c r="Q407" s="336">
        <f t="shared" si="212"/>
        <v>15.20043703196546</v>
      </c>
      <c r="R407" s="692">
        <f t="shared" si="198"/>
        <v>0.10160554704360267</v>
      </c>
      <c r="S407" s="329">
        <f t="shared" si="199"/>
        <v>0.99107587010059728</v>
      </c>
      <c r="T407" s="330">
        <f t="shared" si="200"/>
        <v>0.33120728619460021</v>
      </c>
      <c r="U407" s="331">
        <f t="shared" si="201"/>
        <v>0.36370687141252889</v>
      </c>
      <c r="V407" s="332">
        <f t="shared" si="202"/>
        <v>-118.84668622168851</v>
      </c>
      <c r="W407" s="334">
        <f t="shared" si="203"/>
        <v>61.153313778311485</v>
      </c>
      <c r="Y407" s="307">
        <f t="shared" si="204"/>
        <v>1000000000</v>
      </c>
      <c r="Z407" s="307">
        <f t="shared" si="205"/>
        <v>1412744982.25</v>
      </c>
      <c r="AB407" s="333">
        <f t="shared" si="206"/>
        <v>23.218429272481181</v>
      </c>
      <c r="AC407" s="334">
        <f t="shared" si="207"/>
        <v>-20.330909910847637</v>
      </c>
      <c r="AE407" s="333">
        <f t="shared" si="208"/>
        <v>34.559412283061981</v>
      </c>
      <c r="AF407" s="334">
        <f t="shared" si="209"/>
        <v>-105.01486293515497</v>
      </c>
      <c r="AH407">
        <f t="shared" si="210"/>
        <v>0</v>
      </c>
      <c r="AI407">
        <f t="shared" si="185"/>
        <v>0</v>
      </c>
    </row>
    <row r="408" spans="1:35" x14ac:dyDescent="0.25">
      <c r="A408" s="335">
        <v>37802.75</v>
      </c>
      <c r="B408" s="352">
        <f t="shared" si="211"/>
        <v>37.802750000000003</v>
      </c>
      <c r="C408" s="325">
        <f t="shared" si="186"/>
        <v>45.821705225634467</v>
      </c>
      <c r="D408" s="326">
        <f t="shared" si="187"/>
        <v>1.5489708754894822</v>
      </c>
      <c r="E408" s="326">
        <f t="shared" si="188"/>
        <v>1.0011276951506727</v>
      </c>
      <c r="F408" s="327">
        <f t="shared" si="189"/>
        <v>4.746865118172594E-2</v>
      </c>
      <c r="G408" s="326">
        <f t="shared" si="190"/>
        <v>1</v>
      </c>
      <c r="H408" s="327">
        <f t="shared" si="191"/>
        <v>0</v>
      </c>
      <c r="I408" s="325">
        <f t="shared" si="192"/>
        <v>50174.298867867954</v>
      </c>
      <c r="J408" s="328">
        <f t="shared" si="193"/>
        <v>1.5707763962722461</v>
      </c>
      <c r="K408" s="336">
        <f t="shared" si="213"/>
        <v>9.7706954180121652</v>
      </c>
      <c r="L408" s="337">
        <f t="shared" si="214"/>
        <v>1.4682699403546449</v>
      </c>
      <c r="M408" s="325">
        <f t="shared" si="194"/>
        <v>1.0329174133622641</v>
      </c>
      <c r="N408" s="337">
        <f t="shared" si="195"/>
        <v>0.25313675160806415</v>
      </c>
      <c r="O408" s="343">
        <f t="shared" si="196"/>
        <v>1.0238431094117857</v>
      </c>
      <c r="P408" s="691">
        <f t="shared" si="197"/>
        <v>0.21623509178771394</v>
      </c>
      <c r="Q408" s="336">
        <f t="shared" si="212"/>
        <v>15.201313492739887</v>
      </c>
      <c r="R408" s="692">
        <f t="shared" si="198"/>
        <v>0.102186248842557</v>
      </c>
      <c r="S408" s="329">
        <f t="shared" si="199"/>
        <v>0.99099563692531389</v>
      </c>
      <c r="T408" s="330">
        <f t="shared" si="200"/>
        <v>0.3332144263778713</v>
      </c>
      <c r="U408" s="331">
        <f t="shared" si="201"/>
        <v>0.31286227737285738</v>
      </c>
      <c r="V408" s="332">
        <f t="shared" si="202"/>
        <v>-118.96385826720862</v>
      </c>
      <c r="W408" s="334">
        <f t="shared" si="203"/>
        <v>61.036141732791378</v>
      </c>
      <c r="Y408" s="307">
        <f t="shared" si="204"/>
        <v>1000000000</v>
      </c>
      <c r="Z408" s="307">
        <f t="shared" si="205"/>
        <v>1429047907.5625</v>
      </c>
      <c r="AB408" s="333">
        <f t="shared" si="206"/>
        <v>23.214795677035998</v>
      </c>
      <c r="AC408" s="334">
        <f t="shared" si="207"/>
        <v>-20.376854826999857</v>
      </c>
      <c r="AE408" s="333">
        <f t="shared" si="208"/>
        <v>34.510420760367545</v>
      </c>
      <c r="AF408" s="334">
        <f t="shared" si="209"/>
        <v>-105.12152080678344</v>
      </c>
      <c r="AH408">
        <f t="shared" si="210"/>
        <v>0</v>
      </c>
      <c r="AI408">
        <f t="shared" si="185"/>
        <v>0</v>
      </c>
    </row>
    <row r="409" spans="1:35" x14ac:dyDescent="0.25">
      <c r="A409" s="335">
        <v>38019</v>
      </c>
      <c r="B409" s="352">
        <f t="shared" si="211"/>
        <v>38.018999999999998</v>
      </c>
      <c r="C409" s="325">
        <f t="shared" si="186"/>
        <v>46.083703037733542</v>
      </c>
      <c r="D409" s="326">
        <f t="shared" si="187"/>
        <v>1.5490949783829762</v>
      </c>
      <c r="E409" s="326">
        <f t="shared" si="188"/>
        <v>1.0011406266050142</v>
      </c>
      <c r="F409" s="327">
        <f t="shared" si="189"/>
        <v>4.7739783584999466E-2</v>
      </c>
      <c r="G409" s="326">
        <f t="shared" si="190"/>
        <v>1</v>
      </c>
      <c r="H409" s="327">
        <f t="shared" si="191"/>
        <v>0</v>
      </c>
      <c r="I409" s="325">
        <f t="shared" si="192"/>
        <v>50461.320106425432</v>
      </c>
      <c r="J409" s="328">
        <f t="shared" si="193"/>
        <v>1.5707765096359725</v>
      </c>
      <c r="K409" s="336">
        <f t="shared" si="213"/>
        <v>9.8260046921841884</v>
      </c>
      <c r="L409" s="337">
        <f t="shared" si="214"/>
        <v>1.4688490611911047</v>
      </c>
      <c r="M409" s="325">
        <f t="shared" si="194"/>
        <v>1.0332890126397429</v>
      </c>
      <c r="N409" s="337">
        <f t="shared" si="195"/>
        <v>0.25452324616587102</v>
      </c>
      <c r="O409" s="343">
        <f t="shared" si="196"/>
        <v>1.0241134567662882</v>
      </c>
      <c r="P409" s="691">
        <f t="shared" si="197"/>
        <v>0.21743354534394027</v>
      </c>
      <c r="Q409" s="336">
        <f t="shared" si="212"/>
        <v>15.202194930753322</v>
      </c>
      <c r="R409" s="692">
        <f t="shared" si="198"/>
        <v>0.10276688449252881</v>
      </c>
      <c r="S409" s="329">
        <f t="shared" si="199"/>
        <v>0.99091547129803759</v>
      </c>
      <c r="T409" s="330">
        <f t="shared" si="200"/>
        <v>0.33522326354111842</v>
      </c>
      <c r="U409" s="331">
        <f t="shared" si="201"/>
        <v>0.2623039639929432</v>
      </c>
      <c r="V409" s="332">
        <f t="shared" si="202"/>
        <v>-119.08139923160186</v>
      </c>
      <c r="W409" s="334">
        <f t="shared" si="203"/>
        <v>60.918600768398136</v>
      </c>
      <c r="Y409" s="307">
        <f t="shared" si="204"/>
        <v>1000000000</v>
      </c>
      <c r="Z409" s="307">
        <f t="shared" si="205"/>
        <v>1445444361</v>
      </c>
      <c r="AB409" s="333">
        <f t="shared" si="206"/>
        <v>23.211155360424183</v>
      </c>
      <c r="AC409" s="334">
        <f t="shared" si="207"/>
        <v>-20.42312042903875</v>
      </c>
      <c r="AE409" s="333">
        <f t="shared" si="208"/>
        <v>34.461713174684952</v>
      </c>
      <c r="AF409" s="334">
        <f t="shared" si="209"/>
        <v>-105.22819452771417</v>
      </c>
      <c r="AH409">
        <f t="shared" si="210"/>
        <v>0</v>
      </c>
      <c r="AI409">
        <f t="shared" si="185"/>
        <v>0</v>
      </c>
    </row>
    <row r="410" spans="1:35" x14ac:dyDescent="0.25">
      <c r="A410" s="335">
        <v>38240.5</v>
      </c>
      <c r="B410" s="352">
        <f t="shared" si="211"/>
        <v>38.240499999999997</v>
      </c>
      <c r="C410" s="325">
        <f t="shared" si="186"/>
        <v>46.352062217753783</v>
      </c>
      <c r="D410" s="326">
        <f t="shared" si="187"/>
        <v>1.5492206397292161</v>
      </c>
      <c r="E410" s="326">
        <f t="shared" si="188"/>
        <v>1.0011539482986076</v>
      </c>
      <c r="F410" s="327">
        <f t="shared" si="189"/>
        <v>4.8017491111121871E-2</v>
      </c>
      <c r="G410" s="326">
        <f t="shared" si="190"/>
        <v>1</v>
      </c>
      <c r="H410" s="327">
        <f t="shared" si="191"/>
        <v>0</v>
      </c>
      <c r="I410" s="325">
        <f t="shared" si="192"/>
        <v>50755.309490659536</v>
      </c>
      <c r="J410" s="328">
        <f t="shared" si="193"/>
        <v>1.57077662442267</v>
      </c>
      <c r="K410" s="336">
        <f t="shared" si="213"/>
        <v>9.8826601125902016</v>
      </c>
      <c r="L410" s="337">
        <f t="shared" si="214"/>
        <v>1.4694355212260719</v>
      </c>
      <c r="M410" s="325">
        <f t="shared" si="194"/>
        <v>1.03367169118354</v>
      </c>
      <c r="N410" s="337">
        <f t="shared" si="195"/>
        <v>0.2559423650092299</v>
      </c>
      <c r="O410" s="343">
        <f t="shared" si="196"/>
        <v>1.0243918915748116</v>
      </c>
      <c r="P410" s="691">
        <f t="shared" si="197"/>
        <v>0.21866043670206092</v>
      </c>
      <c r="Q410" s="336">
        <f t="shared" si="212"/>
        <v>15.203102926893788</v>
      </c>
      <c r="R410" s="692">
        <f t="shared" si="198"/>
        <v>0.1033615475426021</v>
      </c>
      <c r="S410" s="329">
        <f t="shared" si="199"/>
        <v>0.990833439083742</v>
      </c>
      <c r="T410" s="330">
        <f t="shared" si="200"/>
        <v>0.33728263788396978</v>
      </c>
      <c r="U410" s="331">
        <f t="shared" si="201"/>
        <v>0.21081137962606342</v>
      </c>
      <c r="V410" s="332">
        <f t="shared" si="202"/>
        <v>-119.20217148417312</v>
      </c>
      <c r="W410" s="334">
        <f t="shared" si="203"/>
        <v>60.797828515826879</v>
      </c>
      <c r="Y410" s="307">
        <f t="shared" si="204"/>
        <v>1000000000</v>
      </c>
      <c r="Z410" s="307">
        <f t="shared" si="205"/>
        <v>1462335840.25</v>
      </c>
      <c r="AB410" s="333">
        <f t="shared" si="206"/>
        <v>23.207419527795359</v>
      </c>
      <c r="AC410" s="334">
        <f t="shared" si="207"/>
        <v>-20.470834841381812</v>
      </c>
      <c r="AE410" s="333">
        <f t="shared" si="208"/>
        <v>34.412114009063274</v>
      </c>
      <c r="AF410" s="334">
        <f t="shared" si="209"/>
        <v>-105.3374763817236</v>
      </c>
      <c r="AH410">
        <f t="shared" si="210"/>
        <v>0</v>
      </c>
      <c r="AI410">
        <f t="shared" ref="AI410:AI473" si="215">IF(AH410&gt;0,W410,0)</f>
        <v>0</v>
      </c>
    </row>
    <row r="411" spans="1:35" x14ac:dyDescent="0.25">
      <c r="A411" s="335">
        <v>38462</v>
      </c>
      <c r="B411" s="352">
        <f t="shared" si="211"/>
        <v>38.462000000000003</v>
      </c>
      <c r="C411" s="325">
        <f t="shared" si="186"/>
        <v>46.620422121282537</v>
      </c>
      <c r="D411" s="326">
        <f t="shared" si="187"/>
        <v>1.5493448543952273</v>
      </c>
      <c r="E411" s="326">
        <f t="shared" si="188"/>
        <v>1.0011673472006071</v>
      </c>
      <c r="F411" s="327">
        <f t="shared" si="189"/>
        <v>4.8295191225385788E-2</v>
      </c>
      <c r="G411" s="326">
        <f t="shared" si="190"/>
        <v>1</v>
      </c>
      <c r="H411" s="327">
        <f t="shared" si="191"/>
        <v>0</v>
      </c>
      <c r="I411" s="325">
        <f t="shared" si="192"/>
        <v>51049.29887489431</v>
      </c>
      <c r="J411" s="328">
        <f t="shared" si="193"/>
        <v>1.5707767378872699</v>
      </c>
      <c r="K411" s="336">
        <f t="shared" si="213"/>
        <v>9.9393188932424792</v>
      </c>
      <c r="L411" s="337">
        <f t="shared" si="214"/>
        <v>1.4700152952638881</v>
      </c>
      <c r="M411" s="325">
        <f t="shared" si="194"/>
        <v>1.0340564498937679</v>
      </c>
      <c r="N411" s="337">
        <f t="shared" si="195"/>
        <v>0.25736043063600794</v>
      </c>
      <c r="O411" s="343">
        <f t="shared" si="196"/>
        <v>1.0246718675225774</v>
      </c>
      <c r="P411" s="691">
        <f t="shared" si="197"/>
        <v>0.21988665944645619</v>
      </c>
      <c r="Q411" s="336">
        <f t="shared" si="212"/>
        <v>15.204016143034201</v>
      </c>
      <c r="R411" s="692">
        <f t="shared" si="198"/>
        <v>0.10395614042224777</v>
      </c>
      <c r="S411" s="329">
        <f t="shared" si="199"/>
        <v>0.9907514973105801</v>
      </c>
      <c r="T411" s="330">
        <f t="shared" si="200"/>
        <v>0.33934380972760914</v>
      </c>
      <c r="U411" s="331">
        <f t="shared" si="201"/>
        <v>0.15961182430089527</v>
      </c>
      <c r="V411" s="332">
        <f t="shared" si="202"/>
        <v>-119.32332120902868</v>
      </c>
      <c r="W411" s="334">
        <f t="shared" si="203"/>
        <v>60.676678790971323</v>
      </c>
      <c r="Y411" s="307">
        <f t="shared" si="204"/>
        <v>1000000000</v>
      </c>
      <c r="Z411" s="307">
        <f t="shared" si="205"/>
        <v>1479325444</v>
      </c>
      <c r="AB411" s="333">
        <f t="shared" si="206"/>
        <v>23.203676303318087</v>
      </c>
      <c r="AC411" s="334">
        <f t="shared" si="207"/>
        <v>-20.51887191252824</v>
      </c>
      <c r="AE411" s="333">
        <f t="shared" si="208"/>
        <v>34.362805793309271</v>
      </c>
      <c r="AF411" s="334">
        <f t="shared" si="209"/>
        <v>-105.44677876093868</v>
      </c>
      <c r="AH411">
        <f t="shared" si="210"/>
        <v>0</v>
      </c>
      <c r="AI411">
        <f t="shared" si="215"/>
        <v>0</v>
      </c>
    </row>
    <row r="412" spans="1:35" x14ac:dyDescent="0.25">
      <c r="A412" s="335">
        <v>38683.5</v>
      </c>
      <c r="B412" s="352">
        <f t="shared" si="211"/>
        <v>38.683500000000002</v>
      </c>
      <c r="C412" s="325">
        <f t="shared" si="186"/>
        <v>46.88878273589718</v>
      </c>
      <c r="D412" s="326">
        <f t="shared" si="187"/>
        <v>1.5494676472166873</v>
      </c>
      <c r="E412" s="326">
        <f t="shared" si="188"/>
        <v>1.0011808233079125</v>
      </c>
      <c r="F412" s="327">
        <f t="shared" si="189"/>
        <v>4.8572883885258683E-2</v>
      </c>
      <c r="G412" s="326">
        <f t="shared" si="190"/>
        <v>1</v>
      </c>
      <c r="H412" s="327">
        <f t="shared" si="191"/>
        <v>0</v>
      </c>
      <c r="I412" s="325">
        <f t="shared" si="192"/>
        <v>51343.288259129724</v>
      </c>
      <c r="J412" s="328">
        <f t="shared" si="193"/>
        <v>1.5707768500524835</v>
      </c>
      <c r="K412" s="336">
        <f t="shared" si="213"/>
        <v>9.9959809770018158</v>
      </c>
      <c r="L412" s="337">
        <f t="shared" si="214"/>
        <v>1.4705884966098879</v>
      </c>
      <c r="M412" s="325">
        <f t="shared" si="194"/>
        <v>1.0344432864492872</v>
      </c>
      <c r="N412" s="337">
        <f t="shared" si="195"/>
        <v>0.2587774385214181</v>
      </c>
      <c r="O412" s="343">
        <f t="shared" si="196"/>
        <v>1.0249533833466546</v>
      </c>
      <c r="P412" s="691">
        <f t="shared" si="197"/>
        <v>0.22111221043900653</v>
      </c>
      <c r="Q412" s="336">
        <f t="shared" si="212"/>
        <v>15.20493457823485</v>
      </c>
      <c r="R412" s="692">
        <f t="shared" si="198"/>
        <v>0.10455066274196972</v>
      </c>
      <c r="S412" s="329">
        <f t="shared" si="199"/>
        <v>0.99066965597312706</v>
      </c>
      <c r="T412" s="330">
        <f t="shared" si="200"/>
        <v>0.34140678768022187</v>
      </c>
      <c r="U412" s="331">
        <f t="shared" si="201"/>
        <v>0.10870168925923773</v>
      </c>
      <c r="V412" s="332">
        <f t="shared" si="202"/>
        <v>-119.44484373241482</v>
      </c>
      <c r="W412" s="334">
        <f t="shared" si="203"/>
        <v>60.555156267585176</v>
      </c>
      <c r="Y412" s="307">
        <f t="shared" si="204"/>
        <v>1000000000</v>
      </c>
      <c r="Z412" s="307">
        <f t="shared" si="205"/>
        <v>1496413172.25</v>
      </c>
      <c r="AB412" s="333">
        <f t="shared" si="206"/>
        <v>23.199925523751723</v>
      </c>
      <c r="AC412" s="334">
        <f t="shared" si="207"/>
        <v>-20.567224892610586</v>
      </c>
      <c r="AE412" s="333">
        <f t="shared" si="208"/>
        <v>34.313785101894446</v>
      </c>
      <c r="AF412" s="334">
        <f t="shared" si="209"/>
        <v>-105.55610358398854</v>
      </c>
      <c r="AH412">
        <f t="shared" si="210"/>
        <v>0</v>
      </c>
      <c r="AI412">
        <f t="shared" si="215"/>
        <v>0</v>
      </c>
    </row>
    <row r="413" spans="1:35" x14ac:dyDescent="0.25">
      <c r="A413" s="335">
        <v>38905</v>
      </c>
      <c r="B413" s="352">
        <f t="shared" si="211"/>
        <v>38.905000000000001</v>
      </c>
      <c r="C413" s="325">
        <f t="shared" si="186"/>
        <v>47.157144049457813</v>
      </c>
      <c r="D413" s="326">
        <f t="shared" si="187"/>
        <v>1.5495890424641094</v>
      </c>
      <c r="E413" s="326">
        <f t="shared" si="188"/>
        <v>1.0011943766174067</v>
      </c>
      <c r="F413" s="327">
        <f t="shared" si="189"/>
        <v>4.8850569048214873E-2</v>
      </c>
      <c r="G413" s="326">
        <f t="shared" si="190"/>
        <v>1</v>
      </c>
      <c r="H413" s="327">
        <f t="shared" si="191"/>
        <v>0</v>
      </c>
      <c r="I413" s="325">
        <f t="shared" si="192"/>
        <v>51637.277643365771</v>
      </c>
      <c r="J413" s="328">
        <f t="shared" si="193"/>
        <v>1.5707769609405042</v>
      </c>
      <c r="K413" s="336">
        <f t="shared" si="213"/>
        <v>10.052646308013983</v>
      </c>
      <c r="L413" s="337">
        <f t="shared" si="214"/>
        <v>1.4711552360321623</v>
      </c>
      <c r="M413" s="325">
        <f t="shared" si="194"/>
        <v>1.0348321985199047</v>
      </c>
      <c r="N413" s="337">
        <f t="shared" si="195"/>
        <v>0.26019338416441179</v>
      </c>
      <c r="O413" s="343">
        <f t="shared" si="196"/>
        <v>1.0252364377785566</v>
      </c>
      <c r="P413" s="691">
        <f t="shared" si="197"/>
        <v>0.2223370865531013</v>
      </c>
      <c r="Q413" s="336">
        <f t="shared" si="212"/>
        <v>15.205858231550881</v>
      </c>
      <c r="R413" s="692">
        <f t="shared" si="198"/>
        <v>0.10514511411255938</v>
      </c>
      <c r="S413" s="329">
        <f t="shared" si="199"/>
        <v>0.9905879251268318</v>
      </c>
      <c r="T413" s="330">
        <f t="shared" si="200"/>
        <v>0.34347158031145353</v>
      </c>
      <c r="U413" s="331">
        <f t="shared" si="201"/>
        <v>5.80774279518637E-2</v>
      </c>
      <c r="V413" s="332">
        <f t="shared" si="202"/>
        <v>-119.56673449204841</v>
      </c>
      <c r="W413" s="334">
        <f t="shared" si="203"/>
        <v>60.433265507951589</v>
      </c>
      <c r="Y413" s="307">
        <f t="shared" si="204"/>
        <v>1000000000</v>
      </c>
      <c r="Z413" s="307">
        <f t="shared" si="205"/>
        <v>1513599025</v>
      </c>
      <c r="AB413" s="333">
        <f t="shared" si="206"/>
        <v>23.196167031638019</v>
      </c>
      <c r="AC413" s="334">
        <f t="shared" si="207"/>
        <v>-20.615887178465247</v>
      </c>
      <c r="AE413" s="333">
        <f t="shared" si="208"/>
        <v>34.265048565793848</v>
      </c>
      <c r="AF413" s="334">
        <f t="shared" si="209"/>
        <v>-105.66545273491221</v>
      </c>
      <c r="AH413">
        <f t="shared" si="210"/>
        <v>0</v>
      </c>
      <c r="AI413">
        <f t="shared" si="215"/>
        <v>0</v>
      </c>
    </row>
    <row r="414" spans="1:35" x14ac:dyDescent="0.25">
      <c r="A414" s="335">
        <v>39131.5</v>
      </c>
      <c r="B414" s="352">
        <f t="shared" si="211"/>
        <v>39.131500000000003</v>
      </c>
      <c r="C414" s="325">
        <f t="shared" si="186"/>
        <v>47.431563890910077</v>
      </c>
      <c r="D414" s="326">
        <f t="shared" si="187"/>
        <v>1.549711757470545</v>
      </c>
      <c r="E414" s="326">
        <f t="shared" si="188"/>
        <v>1.0012083157033427</v>
      </c>
      <c r="F414" s="327">
        <f t="shared" si="189"/>
        <v>4.9134514702301152E-2</v>
      </c>
      <c r="G414" s="326">
        <f t="shared" si="190"/>
        <v>1</v>
      </c>
      <c r="H414" s="327">
        <f t="shared" si="191"/>
        <v>0</v>
      </c>
      <c r="I414" s="325">
        <f t="shared" si="192"/>
        <v>51937.903356817733</v>
      </c>
      <c r="J414" s="328">
        <f t="shared" si="193"/>
        <v>1.5707770730334734</v>
      </c>
      <c r="K414" s="336">
        <f t="shared" si="213"/>
        <v>10.110594067283692</v>
      </c>
      <c r="L414" s="337">
        <f t="shared" si="214"/>
        <v>1.4717281991227127</v>
      </c>
      <c r="M414" s="325">
        <f t="shared" si="194"/>
        <v>1.0352320335277245</v>
      </c>
      <c r="N414" s="337">
        <f t="shared" si="195"/>
        <v>0.26164018931766964</v>
      </c>
      <c r="O414" s="343">
        <f t="shared" si="196"/>
        <v>1.0255274714707561</v>
      </c>
      <c r="P414" s="691">
        <f t="shared" si="197"/>
        <v>0.22358891109355411</v>
      </c>
      <c r="Q414" s="336">
        <f t="shared" si="212"/>
        <v>15.206808129969543</v>
      </c>
      <c r="R414" s="692">
        <f t="shared" si="198"/>
        <v>0.105752910475218</v>
      </c>
      <c r="S414" s="329">
        <f t="shared" si="199"/>
        <v>0.99050447414151277</v>
      </c>
      <c r="T414" s="330">
        <f t="shared" si="200"/>
        <v>0.34558486773107094</v>
      </c>
      <c r="U414" s="331">
        <f t="shared" si="201"/>
        <v>6.6024015463166108E-3</v>
      </c>
      <c r="V414" s="332">
        <f t="shared" si="202"/>
        <v>-119.69175289472797</v>
      </c>
      <c r="W414" s="334">
        <f t="shared" si="203"/>
        <v>60.308247105272031</v>
      </c>
      <c r="Y414" s="307">
        <f t="shared" si="204"/>
        <v>1000000000</v>
      </c>
      <c r="Z414" s="307">
        <f t="shared" si="205"/>
        <v>1531274292.25</v>
      </c>
      <c r="AB414" s="333">
        <f t="shared" si="206"/>
        <v>23.192315563859122</v>
      </c>
      <c r="AC414" s="334">
        <f t="shared" si="207"/>
        <v>-20.665961063130652</v>
      </c>
      <c r="AE414" s="333">
        <f t="shared" si="208"/>
        <v>34.215502279042582</v>
      </c>
      <c r="AF414" s="334">
        <f t="shared" si="209"/>
        <v>-105.77729734944363</v>
      </c>
      <c r="AH414">
        <f t="shared" si="210"/>
        <v>39131.5</v>
      </c>
      <c r="AI414">
        <f t="shared" si="215"/>
        <v>60.308247105272031</v>
      </c>
    </row>
    <row r="415" spans="1:35" x14ac:dyDescent="0.25">
      <c r="A415" s="335">
        <v>39358</v>
      </c>
      <c r="B415" s="352">
        <f t="shared" si="211"/>
        <v>39.357999999999997</v>
      </c>
      <c r="C415" s="325">
        <f t="shared" si="186"/>
        <v>47.705984438415555</v>
      </c>
      <c r="D415" s="326">
        <f t="shared" si="187"/>
        <v>1.5498330606844564</v>
      </c>
      <c r="E415" s="326">
        <f t="shared" si="188"/>
        <v>1.0012223355095824</v>
      </c>
      <c r="F415" s="327">
        <f t="shared" si="189"/>
        <v>4.9418452427273343E-2</v>
      </c>
      <c r="G415" s="326">
        <f t="shared" si="190"/>
        <v>1</v>
      </c>
      <c r="H415" s="327">
        <f t="shared" si="191"/>
        <v>0</v>
      </c>
      <c r="I415" s="325">
        <f t="shared" si="192"/>
        <v>52238.52907027035</v>
      </c>
      <c r="J415" s="328">
        <f t="shared" si="193"/>
        <v>1.5707771838362823</v>
      </c>
      <c r="K415" s="336">
        <f t="shared" si="213"/>
        <v>10.168545107896238</v>
      </c>
      <c r="L415" s="337">
        <f t="shared" si="214"/>
        <v>1.4722946317075705</v>
      </c>
      <c r="M415" s="325">
        <f t="shared" si="194"/>
        <v>1.0356340338540784</v>
      </c>
      <c r="N415" s="337">
        <f t="shared" si="195"/>
        <v>0.26308587428728719</v>
      </c>
      <c r="O415" s="343">
        <f t="shared" si="196"/>
        <v>1.0258201113174887</v>
      </c>
      <c r="P415" s="691">
        <f t="shared" si="197"/>
        <v>0.22484002336756476</v>
      </c>
      <c r="Q415" s="336">
        <f t="shared" si="212"/>
        <v>15.207763482728618</v>
      </c>
      <c r="R415" s="692">
        <f t="shared" si="198"/>
        <v>0.1063606318272534</v>
      </c>
      <c r="S415" s="329">
        <f t="shared" si="199"/>
        <v>0.99042116015327319</v>
      </c>
      <c r="T415" s="330">
        <f t="shared" si="200"/>
        <v>0.34770007067971165</v>
      </c>
      <c r="U415" s="331">
        <f t="shared" si="201"/>
        <v>-4.4581007092852551E-2</v>
      </c>
      <c r="V415" s="332">
        <f t="shared" si="202"/>
        <v>-119.81714704045568</v>
      </c>
      <c r="W415" s="334">
        <f t="shared" si="203"/>
        <v>60.18285295954432</v>
      </c>
      <c r="Y415" s="307">
        <f t="shared" si="204"/>
        <v>39358</v>
      </c>
      <c r="Z415" s="307">
        <f t="shared" si="205"/>
        <v>1549052164</v>
      </c>
      <c r="AB415" s="333">
        <f t="shared" si="206"/>
        <v>23.188455716088711</v>
      </c>
      <c r="AC415" s="334">
        <f t="shared" si="207"/>
        <v>-20.716344862495088</v>
      </c>
      <c r="AE415" s="333">
        <f t="shared" si="208"/>
        <v>34.166246171180752</v>
      </c>
      <c r="AF415" s="334">
        <f t="shared" si="209"/>
        <v>-105.88917128025525</v>
      </c>
      <c r="AH415">
        <f t="shared" si="210"/>
        <v>0</v>
      </c>
      <c r="AI415">
        <f t="shared" si="215"/>
        <v>0</v>
      </c>
    </row>
    <row r="416" spans="1:35" x14ac:dyDescent="0.25">
      <c r="A416" s="335">
        <v>39584.5</v>
      </c>
      <c r="B416" s="352">
        <f t="shared" si="211"/>
        <v>39.584499999999998</v>
      </c>
      <c r="C416" s="325">
        <f t="shared" si="186"/>
        <v>47.980405679859558</v>
      </c>
      <c r="D416" s="326">
        <f t="shared" si="187"/>
        <v>1.5499529763262472</v>
      </c>
      <c r="E416" s="326">
        <f t="shared" si="188"/>
        <v>1.0012364360327348</v>
      </c>
      <c r="F416" s="327">
        <f t="shared" si="189"/>
        <v>4.970238217768299E-2</v>
      </c>
      <c r="G416" s="326">
        <f t="shared" si="190"/>
        <v>1</v>
      </c>
      <c r="H416" s="327">
        <f t="shared" si="191"/>
        <v>0</v>
      </c>
      <c r="I416" s="325">
        <f t="shared" si="192"/>
        <v>52539.154783723592</v>
      </c>
      <c r="J416" s="328">
        <f t="shared" si="193"/>
        <v>1.5707772933710782</v>
      </c>
      <c r="K416" s="336">
        <f t="shared" si="213"/>
        <v>10.226499374067943</v>
      </c>
      <c r="L416" s="337">
        <f t="shared" si="214"/>
        <v>1.4728546444465922</v>
      </c>
      <c r="M416" s="325">
        <f t="shared" si="194"/>
        <v>1.0360381969784263</v>
      </c>
      <c r="N416" s="337">
        <f t="shared" si="195"/>
        <v>0.26453043433776741</v>
      </c>
      <c r="O416" s="343">
        <f t="shared" si="196"/>
        <v>1.0261143559445667</v>
      </c>
      <c r="P416" s="691">
        <f t="shared" si="197"/>
        <v>0.22609042006952715</v>
      </c>
      <c r="Q416" s="336">
        <f t="shared" si="212"/>
        <v>15.208724288801156</v>
      </c>
      <c r="R416" s="692">
        <f t="shared" si="198"/>
        <v>0.10696827775344263</v>
      </c>
      <c r="S416" s="329">
        <f t="shared" si="199"/>
        <v>0.99033799411156809</v>
      </c>
      <c r="T416" s="330">
        <f t="shared" si="200"/>
        <v>0.34981719819274437</v>
      </c>
      <c r="U416" s="331">
        <f t="shared" si="201"/>
        <v>-9.5476397866934792E-2</v>
      </c>
      <c r="V416" s="332">
        <f t="shared" si="202"/>
        <v>-119.94291239245989</v>
      </c>
      <c r="W416" s="334">
        <f t="shared" si="203"/>
        <v>60.057087607540112</v>
      </c>
      <c r="Y416" s="307">
        <f t="shared" si="204"/>
        <v>39584.5</v>
      </c>
      <c r="Z416" s="307">
        <f t="shared" si="205"/>
        <v>1566932640.25</v>
      </c>
      <c r="AB416" s="333">
        <f t="shared" si="206"/>
        <v>23.184587337503757</v>
      </c>
      <c r="AC416" s="334">
        <f t="shared" si="207"/>
        <v>-20.767031966160733</v>
      </c>
      <c r="AE416" s="333">
        <f t="shared" si="208"/>
        <v>34.117276814831804</v>
      </c>
      <c r="AF416" s="334">
        <f t="shared" si="209"/>
        <v>-106.00107643536646</v>
      </c>
      <c r="AH416">
        <f t="shared" si="210"/>
        <v>0</v>
      </c>
      <c r="AI416">
        <f t="shared" si="215"/>
        <v>0</v>
      </c>
    </row>
    <row r="417" spans="1:35" x14ac:dyDescent="0.25">
      <c r="A417" s="335">
        <v>39811</v>
      </c>
      <c r="B417" s="352">
        <f t="shared" si="211"/>
        <v>39.811</v>
      </c>
      <c r="C417" s="325">
        <f t="shared" si="186"/>
        <v>48.254827603403001</v>
      </c>
      <c r="D417" s="326">
        <f t="shared" si="187"/>
        <v>1.550071528065524</v>
      </c>
      <c r="E417" s="326">
        <f t="shared" si="188"/>
        <v>1.0012506172693898</v>
      </c>
      <c r="F417" s="327">
        <f t="shared" si="189"/>
        <v>4.9986303908089384E-2</v>
      </c>
      <c r="G417" s="326">
        <f t="shared" si="190"/>
        <v>1</v>
      </c>
      <c r="H417" s="327">
        <f t="shared" si="191"/>
        <v>0</v>
      </c>
      <c r="I417" s="325">
        <f t="shared" si="192"/>
        <v>52839.780497177453</v>
      </c>
      <c r="J417" s="328">
        <f t="shared" si="193"/>
        <v>1.5707774016595033</v>
      </c>
      <c r="K417" s="336">
        <f t="shared" si="213"/>
        <v>10.284456811269465</v>
      </c>
      <c r="L417" s="337">
        <f t="shared" si="214"/>
        <v>1.4734083455214828</v>
      </c>
      <c r="M417" s="325">
        <f t="shared" si="194"/>
        <v>1.0364445203706087</v>
      </c>
      <c r="N417" s="337">
        <f t="shared" si="195"/>
        <v>0.26597386475975948</v>
      </c>
      <c r="O417" s="343">
        <f t="shared" si="196"/>
        <v>1.0264102039718452</v>
      </c>
      <c r="P417" s="691">
        <f t="shared" si="197"/>
        <v>0.22734009790656579</v>
      </c>
      <c r="Q417" s="336">
        <f t="shared" si="212"/>
        <v>15.209690547154608</v>
      </c>
      <c r="R417" s="692">
        <f t="shared" si="198"/>
        <v>0.10757584783888371</v>
      </c>
      <c r="S417" s="329">
        <f t="shared" si="199"/>
        <v>0.99025498703246806</v>
      </c>
      <c r="T417" s="330">
        <f t="shared" si="200"/>
        <v>0.35193625926150318</v>
      </c>
      <c r="U417" s="331">
        <f t="shared" si="201"/>
        <v>-0.14608730893145272</v>
      </c>
      <c r="V417" s="332">
        <f t="shared" si="202"/>
        <v>-120.06904452263295</v>
      </c>
      <c r="W417" s="334">
        <f t="shared" si="203"/>
        <v>59.93095547736705</v>
      </c>
      <c r="Y417" s="307">
        <f t="shared" si="204"/>
        <v>39811</v>
      </c>
      <c r="Z417" s="307">
        <f t="shared" si="205"/>
        <v>1584915721</v>
      </c>
      <c r="AB417" s="333">
        <f t="shared" si="206"/>
        <v>23.180710282807887</v>
      </c>
      <c r="AC417" s="334">
        <f t="shared" si="207"/>
        <v>-20.818015907186556</v>
      </c>
      <c r="AE417" s="333">
        <f t="shared" si="208"/>
        <v>34.06859083891996</v>
      </c>
      <c r="AF417" s="334">
        <f t="shared" si="209"/>
        <v>-106.1130146887149</v>
      </c>
      <c r="AH417">
        <f t="shared" si="210"/>
        <v>0</v>
      </c>
      <c r="AI417">
        <f t="shared" si="215"/>
        <v>0</v>
      </c>
    </row>
    <row r="418" spans="1:35" x14ac:dyDescent="0.25">
      <c r="A418" s="335">
        <v>40042.75</v>
      </c>
      <c r="B418" s="352">
        <f t="shared" si="211"/>
        <v>40.042749999999998</v>
      </c>
      <c r="C418" s="325">
        <f t="shared" si="186"/>
        <v>48.535610993939002</v>
      </c>
      <c r="D418" s="326">
        <f t="shared" si="187"/>
        <v>1.5501914401302228</v>
      </c>
      <c r="E418" s="326">
        <f t="shared" si="188"/>
        <v>1.0012652107480773</v>
      </c>
      <c r="F418" s="327">
        <f t="shared" si="189"/>
        <v>5.0276798257369901E-2</v>
      </c>
      <c r="G418" s="326">
        <f t="shared" si="190"/>
        <v>1</v>
      </c>
      <c r="H418" s="327">
        <f t="shared" si="191"/>
        <v>0</v>
      </c>
      <c r="I418" s="325">
        <f t="shared" si="192"/>
        <v>53147.374356308035</v>
      </c>
      <c r="J418" s="328">
        <f t="shared" si="193"/>
        <v>1.5707775111899458</v>
      </c>
      <c r="K418" s="336">
        <f t="shared" si="213"/>
        <v>10.343760859312729</v>
      </c>
      <c r="L418" s="337">
        <f t="shared" si="214"/>
        <v>1.4739684582322123</v>
      </c>
      <c r="M418" s="325">
        <f t="shared" si="194"/>
        <v>1.0368624951624004</v>
      </c>
      <c r="N418" s="337">
        <f t="shared" si="195"/>
        <v>0.26744957808665054</v>
      </c>
      <c r="O418" s="343">
        <f t="shared" si="196"/>
        <v>1.0267145675362546</v>
      </c>
      <c r="P418" s="691">
        <f t="shared" si="197"/>
        <v>0.2286179943133177</v>
      </c>
      <c r="Q418" s="336">
        <f t="shared" si="212"/>
        <v>15.210684844453617</v>
      </c>
      <c r="R418" s="692">
        <f t="shared" si="198"/>
        <v>0.10819742174426278</v>
      </c>
      <c r="S418" s="329">
        <f t="shared" si="199"/>
        <v>0.99017023204040633</v>
      </c>
      <c r="T418" s="330">
        <f t="shared" si="200"/>
        <v>0.35410644827276849</v>
      </c>
      <c r="U418" s="331">
        <f t="shared" si="201"/>
        <v>-0.19758050079320816</v>
      </c>
      <c r="V418" s="332">
        <f t="shared" si="202"/>
        <v>-120.19847536623537</v>
      </c>
      <c r="W418" s="334">
        <f t="shared" si="203"/>
        <v>59.801524633764629</v>
      </c>
      <c r="Y418" s="307">
        <f t="shared" si="204"/>
        <v>40042.75</v>
      </c>
      <c r="Z418" s="307">
        <f t="shared" si="205"/>
        <v>1603421827.5625</v>
      </c>
      <c r="AB418" s="333">
        <f t="shared" si="206"/>
        <v>23.176734236568212</v>
      </c>
      <c r="AC418" s="334">
        <f t="shared" si="207"/>
        <v>-20.870482233904234</v>
      </c>
      <c r="AE418" s="333">
        <f t="shared" si="208"/>
        <v>34.019066230874444</v>
      </c>
      <c r="AF418" s="334">
        <f t="shared" si="209"/>
        <v>-106.22758371497075</v>
      </c>
      <c r="AH418">
        <f t="shared" si="210"/>
        <v>0</v>
      </c>
      <c r="AI418">
        <f t="shared" si="215"/>
        <v>0</v>
      </c>
    </row>
    <row r="419" spans="1:35" x14ac:dyDescent="0.25">
      <c r="A419" s="335">
        <v>40274.5</v>
      </c>
      <c r="B419" s="352">
        <f t="shared" si="211"/>
        <v>40.274500000000003</v>
      </c>
      <c r="C419" s="325">
        <f t="shared" si="186"/>
        <v>48.816395074335581</v>
      </c>
      <c r="D419" s="326">
        <f t="shared" si="187"/>
        <v>1.5503099727666554</v>
      </c>
      <c r="E419" s="326">
        <f t="shared" si="188"/>
        <v>1.0012798887180319</v>
      </c>
      <c r="F419" s="327">
        <f t="shared" si="189"/>
        <v>5.0567284114328981E-2</v>
      </c>
      <c r="G419" s="326">
        <f t="shared" si="190"/>
        <v>1</v>
      </c>
      <c r="H419" s="327">
        <f t="shared" si="191"/>
        <v>0</v>
      </c>
      <c r="I419" s="325">
        <f t="shared" si="192"/>
        <v>53454.968215439258</v>
      </c>
      <c r="J419" s="328">
        <f t="shared" si="193"/>
        <v>1.5707776194598548</v>
      </c>
      <c r="K419" s="336">
        <f t="shared" si="213"/>
        <v>10.403068115466358</v>
      </c>
      <c r="L419" s="337">
        <f t="shared" si="214"/>
        <v>1.4745221847782826</v>
      </c>
      <c r="M419" s="325">
        <f t="shared" si="194"/>
        <v>1.0372827261379685</v>
      </c>
      <c r="N419" s="337">
        <f t="shared" si="195"/>
        <v>0.26892409892061064</v>
      </c>
      <c r="O419" s="343">
        <f t="shared" si="196"/>
        <v>1.0270206067499292</v>
      </c>
      <c r="P419" s="691">
        <f t="shared" si="197"/>
        <v>0.22989513121053698</v>
      </c>
      <c r="Q419" s="336">
        <f t="shared" si="212"/>
        <v>15.211684847512634</v>
      </c>
      <c r="R419" s="692">
        <f t="shared" si="198"/>
        <v>0.10881891537460169</v>
      </c>
      <c r="S419" s="329">
        <f t="shared" si="199"/>
        <v>0.99008566701172562</v>
      </c>
      <c r="T419" s="330">
        <f t="shared" si="200"/>
        <v>0.35627868041448951</v>
      </c>
      <c r="U419" s="331">
        <f t="shared" si="201"/>
        <v>-0.24878317465976607</v>
      </c>
      <c r="V419" s="332">
        <f t="shared" si="202"/>
        <v>-120.32828114426336</v>
      </c>
      <c r="W419" s="334">
        <f t="shared" si="203"/>
        <v>59.671718855736643</v>
      </c>
      <c r="Y419" s="307">
        <f t="shared" si="204"/>
        <v>40274.5</v>
      </c>
      <c r="Z419" s="307">
        <f t="shared" si="205"/>
        <v>1622035350.25</v>
      </c>
      <c r="AB419" s="333">
        <f t="shared" si="206"/>
        <v>23.172748816546797</v>
      </c>
      <c r="AC419" s="334">
        <f t="shared" si="207"/>
        <v>-20.923246063869207</v>
      </c>
      <c r="AE419" s="333">
        <f t="shared" si="208"/>
        <v>33.969831327204275</v>
      </c>
      <c r="AF419" s="334">
        <f t="shared" si="209"/>
        <v>-106.34219125513513</v>
      </c>
      <c r="AH419">
        <f t="shared" si="210"/>
        <v>0</v>
      </c>
      <c r="AI419">
        <f t="shared" si="215"/>
        <v>0</v>
      </c>
    </row>
    <row r="420" spans="1:35" x14ac:dyDescent="0.25">
      <c r="A420" s="335">
        <v>40506.25</v>
      </c>
      <c r="B420" s="352">
        <f t="shared" si="211"/>
        <v>40.506250000000001</v>
      </c>
      <c r="C420" s="325">
        <f t="shared" si="186"/>
        <v>49.097179832756929</v>
      </c>
      <c r="D420" s="326">
        <f t="shared" si="187"/>
        <v>1.550427149638143</v>
      </c>
      <c r="E420" s="326">
        <f t="shared" si="188"/>
        <v>1.0012946511755381</v>
      </c>
      <c r="F420" s="327">
        <f t="shared" si="189"/>
        <v>5.0857761430317595E-2</v>
      </c>
      <c r="G420" s="326">
        <f t="shared" si="190"/>
        <v>1</v>
      </c>
      <c r="H420" s="327">
        <f t="shared" si="191"/>
        <v>0</v>
      </c>
      <c r="I420" s="325">
        <f t="shared" si="192"/>
        <v>53762.562074571091</v>
      </c>
      <c r="J420" s="328">
        <f t="shared" si="193"/>
        <v>1.570777726490866</v>
      </c>
      <c r="K420" s="336">
        <f t="shared" si="213"/>
        <v>10.462378525173667</v>
      </c>
      <c r="L420" s="337">
        <f t="shared" si="214"/>
        <v>1.4750696334252249</v>
      </c>
      <c r="M420" s="325">
        <f t="shared" si="194"/>
        <v>1.0377052105563078</v>
      </c>
      <c r="N420" s="337">
        <f t="shared" si="195"/>
        <v>0.27039742230245017</v>
      </c>
      <c r="O420" s="343">
        <f t="shared" si="196"/>
        <v>1.0273283201153505</v>
      </c>
      <c r="P420" s="691">
        <f t="shared" si="197"/>
        <v>0.23117150511264073</v>
      </c>
      <c r="Q420" s="336">
        <f t="shared" si="212"/>
        <v>15.212690555207461</v>
      </c>
      <c r="R420" s="692">
        <f t="shared" si="198"/>
        <v>0.10944032828652764</v>
      </c>
      <c r="S420" s="329">
        <f t="shared" si="199"/>
        <v>0.99000130396302077</v>
      </c>
      <c r="T420" s="330">
        <f t="shared" si="200"/>
        <v>0.35845296517146935</v>
      </c>
      <c r="U420" s="331">
        <f t="shared" si="201"/>
        <v>-0.2996989292072012</v>
      </c>
      <c r="V420" s="332">
        <f t="shared" si="202"/>
        <v>-120.45845744699876</v>
      </c>
      <c r="W420" s="334">
        <f t="shared" si="203"/>
        <v>59.541542553001236</v>
      </c>
      <c r="Y420" s="307">
        <f t="shared" si="204"/>
        <v>40506.25</v>
      </c>
      <c r="Z420" s="307">
        <f t="shared" si="205"/>
        <v>1640756289.0625</v>
      </c>
      <c r="AB420" s="333">
        <f t="shared" si="206"/>
        <v>23.168753883908476</v>
      </c>
      <c r="AC420" s="334">
        <f t="shared" si="207"/>
        <v>-20.976300911022442</v>
      </c>
      <c r="AE420" s="333">
        <f t="shared" si="208"/>
        <v>33.920882691663039</v>
      </c>
      <c r="AF420" s="334">
        <f t="shared" si="209"/>
        <v>-106.45683921124306</v>
      </c>
      <c r="AH420">
        <f t="shared" si="210"/>
        <v>0</v>
      </c>
      <c r="AI420">
        <f t="shared" si="215"/>
        <v>0</v>
      </c>
    </row>
    <row r="421" spans="1:35" x14ac:dyDescent="0.25">
      <c r="A421" s="335">
        <v>40738</v>
      </c>
      <c r="B421" s="352">
        <f t="shared" si="211"/>
        <v>40.738</v>
      </c>
      <c r="C421" s="325">
        <f t="shared" si="186"/>
        <v>49.377965257636383</v>
      </c>
      <c r="D421" s="326">
        <f t="shared" si="187"/>
        <v>1.5505429938699167</v>
      </c>
      <c r="E421" s="326">
        <f t="shared" si="188"/>
        <v>1.0013094981168587</v>
      </c>
      <c r="F421" s="327">
        <f t="shared" si="189"/>
        <v>5.1148230156695361E-2</v>
      </c>
      <c r="G421" s="326">
        <f t="shared" si="190"/>
        <v>1</v>
      </c>
      <c r="H421" s="327">
        <f t="shared" si="191"/>
        <v>0</v>
      </c>
      <c r="I421" s="325">
        <f t="shared" si="192"/>
        <v>54070.155933703536</v>
      </c>
      <c r="J421" s="328">
        <f t="shared" si="193"/>
        <v>1.5707778323041228</v>
      </c>
      <c r="K421" s="336">
        <f t="shared" si="213"/>
        <v>10.521692035105243</v>
      </c>
      <c r="L421" s="337">
        <f t="shared" si="214"/>
        <v>1.4756109100125343</v>
      </c>
      <c r="M421" s="325">
        <f t="shared" si="194"/>
        <v>1.0381299456661897</v>
      </c>
      <c r="N421" s="337">
        <f t="shared" si="195"/>
        <v>0.27186954330182528</v>
      </c>
      <c r="O421" s="343">
        <f t="shared" si="196"/>
        <v>1.0276377061286068</v>
      </c>
      <c r="P421" s="691">
        <f t="shared" si="197"/>
        <v>0.23244711254815356</v>
      </c>
      <c r="Q421" s="336">
        <f t="shared" si="212"/>
        <v>15.213701966407777</v>
      </c>
      <c r="R421" s="692">
        <f t="shared" si="198"/>
        <v>0.1100616600370268</v>
      </c>
      <c r="S421" s="329">
        <f t="shared" si="199"/>
        <v>0.98991715498393551</v>
      </c>
      <c r="T421" s="330">
        <f t="shared" si="200"/>
        <v>0.36062931197806403</v>
      </c>
      <c r="U421" s="331">
        <f t="shared" si="201"/>
        <v>-0.35033130167476978</v>
      </c>
      <c r="V421" s="332">
        <f t="shared" si="202"/>
        <v>-120.58899997084058</v>
      </c>
      <c r="W421" s="334">
        <f t="shared" si="203"/>
        <v>59.411000029159425</v>
      </c>
      <c r="Y421" s="307">
        <f t="shared" si="204"/>
        <v>40738</v>
      </c>
      <c r="Z421" s="307">
        <f t="shared" si="205"/>
        <v>1659584644</v>
      </c>
      <c r="AB421" s="333">
        <f t="shared" si="206"/>
        <v>23.164749305113229</v>
      </c>
      <c r="AC421" s="334">
        <f t="shared" si="207"/>
        <v>-21.029640429931128</v>
      </c>
      <c r="AE421" s="333">
        <f t="shared" si="208"/>
        <v>33.872216944232569</v>
      </c>
      <c r="AF421" s="334">
        <f t="shared" si="209"/>
        <v>-106.57152945160836</v>
      </c>
      <c r="AH421">
        <f t="shared" si="210"/>
        <v>0</v>
      </c>
      <c r="AI421">
        <f t="shared" si="215"/>
        <v>0</v>
      </c>
    </row>
    <row r="422" spans="1:35" x14ac:dyDescent="0.25">
      <c r="A422" s="335">
        <v>40975.25</v>
      </c>
      <c r="B422" s="352">
        <f t="shared" si="211"/>
        <v>40.975250000000003</v>
      </c>
      <c r="C422" s="325">
        <f t="shared" si="186"/>
        <v>49.665415092851227</v>
      </c>
      <c r="D422" s="326">
        <f t="shared" si="187"/>
        <v>1.5506602305116099</v>
      </c>
      <c r="E422" s="326">
        <f t="shared" si="188"/>
        <v>1.001324784923971</v>
      </c>
      <c r="F422" s="327">
        <f t="shared" si="189"/>
        <v>5.1445583474920981E-2</v>
      </c>
      <c r="G422" s="326">
        <f t="shared" si="190"/>
        <v>1</v>
      </c>
      <c r="H422" s="327">
        <f t="shared" si="191"/>
        <v>0</v>
      </c>
      <c r="I422" s="325">
        <f t="shared" si="192"/>
        <v>54385.049754973501</v>
      </c>
      <c r="J422" s="328">
        <f t="shared" si="193"/>
        <v>1.5707779393887149</v>
      </c>
      <c r="K422" s="336">
        <f t="shared" si="213"/>
        <v>10.582416358185935</v>
      </c>
      <c r="L422" s="337">
        <f t="shared" si="214"/>
        <v>1.4761587469427415</v>
      </c>
      <c r="M422" s="325">
        <f t="shared" si="194"/>
        <v>1.0385670893534003</v>
      </c>
      <c r="N422" s="337">
        <f t="shared" si="195"/>
        <v>0.27337535072750724</v>
      </c>
      <c r="O422" s="343">
        <f t="shared" si="196"/>
        <v>1.0279561657223442</v>
      </c>
      <c r="P422" s="691">
        <f t="shared" si="197"/>
        <v>0.23375219572200626</v>
      </c>
      <c r="Q422" s="336">
        <f t="shared" si="212"/>
        <v>15.214743287856949</v>
      </c>
      <c r="R422" s="692">
        <f t="shared" si="198"/>
        <v>0.11069765298917694</v>
      </c>
      <c r="S422" s="329">
        <f t="shared" si="199"/>
        <v>0.98983124339142725</v>
      </c>
      <c r="T422" s="330">
        <f t="shared" si="200"/>
        <v>0.36285945470389774</v>
      </c>
      <c r="U422" s="331">
        <f t="shared" si="201"/>
        <v>-0.40187538566099212</v>
      </c>
      <c r="V422" s="332">
        <f t="shared" si="202"/>
        <v>-120.72301556747747</v>
      </c>
      <c r="W422" s="334">
        <f t="shared" si="203"/>
        <v>59.276984432522525</v>
      </c>
      <c r="Y422" s="307">
        <f t="shared" si="204"/>
        <v>40975.25</v>
      </c>
      <c r="Z422" s="307">
        <f t="shared" si="205"/>
        <v>1678971112.5625</v>
      </c>
      <c r="AB422" s="333">
        <f t="shared" si="206"/>
        <v>23.160639561457891</v>
      </c>
      <c r="AC422" s="334">
        <f t="shared" si="207"/>
        <v>-21.084534231777788</v>
      </c>
      <c r="AE422" s="333">
        <f t="shared" si="208"/>
        <v>33.822685805324411</v>
      </c>
      <c r="AF422" s="334">
        <f t="shared" si="209"/>
        <v>-106.68898729225941</v>
      </c>
      <c r="AH422">
        <f t="shared" si="210"/>
        <v>0</v>
      </c>
      <c r="AI422">
        <f t="shared" si="215"/>
        <v>0</v>
      </c>
    </row>
    <row r="423" spans="1:35" x14ac:dyDescent="0.25">
      <c r="A423" s="335">
        <v>41212.5</v>
      </c>
      <c r="B423" s="352">
        <f t="shared" si="211"/>
        <v>41.212499999999999</v>
      </c>
      <c r="C423" s="325">
        <f t="shared" si="186"/>
        <v>49.952865602832695</v>
      </c>
      <c r="D423" s="326">
        <f t="shared" si="187"/>
        <v>1.5507761178936506</v>
      </c>
      <c r="E423" s="326">
        <f t="shared" si="188"/>
        <v>1.0013401602645076</v>
      </c>
      <c r="F423" s="327">
        <f t="shared" si="189"/>
        <v>5.1742927687857536E-2</v>
      </c>
      <c r="G423" s="326">
        <f t="shared" si="190"/>
        <v>1</v>
      </c>
      <c r="H423" s="327">
        <f t="shared" si="191"/>
        <v>0</v>
      </c>
      <c r="I423" s="325">
        <f t="shared" si="192"/>
        <v>54699.943576244092</v>
      </c>
      <c r="J423" s="328">
        <f t="shared" si="193"/>
        <v>1.570778045240389</v>
      </c>
      <c r="K423" s="336">
        <f t="shared" si="213"/>
        <v>10.643143821075141</v>
      </c>
      <c r="L423" s="337">
        <f t="shared" si="214"/>
        <v>1.4767003323573011</v>
      </c>
      <c r="M423" s="325">
        <f t="shared" si="194"/>
        <v>1.0390065859611095</v>
      </c>
      <c r="N423" s="337">
        <f t="shared" si="195"/>
        <v>0.27487988765839161</v>
      </c>
      <c r="O423" s="343">
        <f t="shared" si="196"/>
        <v>1.0282763750880617</v>
      </c>
      <c r="P423" s="691">
        <f t="shared" si="197"/>
        <v>0.23505646829998642</v>
      </c>
      <c r="Q423" s="336">
        <f t="shared" si="212"/>
        <v>15.215790584323631</v>
      </c>
      <c r="R423" s="692">
        <f t="shared" si="198"/>
        <v>0.11133355994342503</v>
      </c>
      <c r="S423" s="329">
        <f t="shared" si="199"/>
        <v>0.98974558202574536</v>
      </c>
      <c r="T423" s="330">
        <f t="shared" si="200"/>
        <v>0.36509177836100815</v>
      </c>
      <c r="U423" s="331">
        <f t="shared" si="201"/>
        <v>-0.45312978847813262</v>
      </c>
      <c r="V423" s="332">
        <f t="shared" si="202"/>
        <v>-120.85740617432032</v>
      </c>
      <c r="W423" s="334">
        <f t="shared" si="203"/>
        <v>59.142593825679683</v>
      </c>
      <c r="Y423" s="307">
        <f t="shared" si="204"/>
        <v>41212.5</v>
      </c>
      <c r="Z423" s="307">
        <f t="shared" si="205"/>
        <v>1698470156.25</v>
      </c>
      <c r="AB423" s="333">
        <f t="shared" si="206"/>
        <v>23.156519441385846</v>
      </c>
      <c r="AC423" s="334">
        <f t="shared" si="207"/>
        <v>-21.139713354456152</v>
      </c>
      <c r="AE423" s="333">
        <f t="shared" si="208"/>
        <v>33.773444147364991</v>
      </c>
      <c r="AF423" s="334">
        <f t="shared" si="209"/>
        <v>-106.80649330587916</v>
      </c>
      <c r="AH423">
        <f t="shared" si="210"/>
        <v>0</v>
      </c>
      <c r="AI423">
        <f t="shared" si="215"/>
        <v>0</v>
      </c>
    </row>
    <row r="424" spans="1:35" x14ac:dyDescent="0.25">
      <c r="A424" s="335">
        <v>41449.75</v>
      </c>
      <c r="B424" s="352">
        <f t="shared" si="211"/>
        <v>41.449750000000002</v>
      </c>
      <c r="C424" s="325">
        <f t="shared" si="186"/>
        <v>50.240316775998735</v>
      </c>
      <c r="D424" s="326">
        <f t="shared" si="187"/>
        <v>1.5508906791723631</v>
      </c>
      <c r="E424" s="326">
        <f t="shared" si="188"/>
        <v>1.0013556241343899</v>
      </c>
      <c r="F424" s="327">
        <f t="shared" si="189"/>
        <v>5.2040262743347131E-2</v>
      </c>
      <c r="G424" s="326">
        <f t="shared" si="190"/>
        <v>1</v>
      </c>
      <c r="H424" s="327">
        <f t="shared" si="191"/>
        <v>0</v>
      </c>
      <c r="I424" s="325">
        <f t="shared" si="192"/>
        <v>55014.837397515279</v>
      </c>
      <c r="J424" s="328">
        <f t="shared" si="193"/>
        <v>1.5707781498803157</v>
      </c>
      <c r="K424" s="336">
        <f t="shared" si="213"/>
        <v>10.703874370332608</v>
      </c>
      <c r="L424" s="337">
        <f t="shared" si="214"/>
        <v>1.4772357723434015</v>
      </c>
      <c r="M424" s="325">
        <f t="shared" si="194"/>
        <v>1.0394484325047522</v>
      </c>
      <c r="N424" s="337">
        <f t="shared" si="195"/>
        <v>0.27638314889894078</v>
      </c>
      <c r="O424" s="343">
        <f t="shared" si="196"/>
        <v>1.028598332591613</v>
      </c>
      <c r="P424" s="691">
        <f t="shared" si="197"/>
        <v>0.2363599266037392</v>
      </c>
      <c r="Q424" s="336">
        <f t="shared" si="212"/>
        <v>15.216843854575227</v>
      </c>
      <c r="R424" s="692">
        <f t="shared" si="198"/>
        <v>0.11196938042564239</v>
      </c>
      <c r="S424" s="329">
        <f t="shared" si="199"/>
        <v>0.98966018409581524</v>
      </c>
      <c r="T424" s="330">
        <f t="shared" si="200"/>
        <v>0.36732629290349994</v>
      </c>
      <c r="U424" s="331">
        <f t="shared" si="201"/>
        <v>-0.50409811456789411</v>
      </c>
      <c r="V424" s="332">
        <f t="shared" si="202"/>
        <v>-120.99216750021654</v>
      </c>
      <c r="W424" s="334">
        <f t="shared" si="203"/>
        <v>59.007832499783461</v>
      </c>
      <c r="Y424" s="307">
        <f t="shared" si="204"/>
        <v>41449.75</v>
      </c>
      <c r="Z424" s="307">
        <f t="shared" si="205"/>
        <v>1718081775.0625</v>
      </c>
      <c r="AB424" s="333">
        <f t="shared" si="206"/>
        <v>23.152388817749653</v>
      </c>
      <c r="AC424" s="334">
        <f t="shared" si="207"/>
        <v>-21.195171423148665</v>
      </c>
      <c r="AE424" s="333">
        <f t="shared" si="208"/>
        <v>33.724488518744636</v>
      </c>
      <c r="AF424" s="334">
        <f t="shared" si="209"/>
        <v>-106.92404939254388</v>
      </c>
      <c r="AH424">
        <f t="shared" si="210"/>
        <v>0</v>
      </c>
      <c r="AI424">
        <f t="shared" si="215"/>
        <v>0</v>
      </c>
    </row>
    <row r="425" spans="1:35" x14ac:dyDescent="0.25">
      <c r="A425" s="335">
        <v>41687</v>
      </c>
      <c r="B425" s="352">
        <f t="shared" si="211"/>
        <v>41.686999999999998</v>
      </c>
      <c r="C425" s="325">
        <f t="shared" si="186"/>
        <v>50.527768601030829</v>
      </c>
      <c r="D425" s="326">
        <f t="shared" si="187"/>
        <v>1.5510039369772688</v>
      </c>
      <c r="E425" s="326">
        <f t="shared" si="188"/>
        <v>1.0013711765295172</v>
      </c>
      <c r="F425" s="327">
        <f t="shared" si="189"/>
        <v>5.2337588589241556E-2</v>
      </c>
      <c r="G425" s="326">
        <f t="shared" si="190"/>
        <v>1</v>
      </c>
      <c r="H425" s="327">
        <f t="shared" si="191"/>
        <v>0</v>
      </c>
      <c r="I425" s="325">
        <f t="shared" si="192"/>
        <v>55329.73121878707</v>
      </c>
      <c r="J425" s="328">
        <f t="shared" si="193"/>
        <v>1.5707782533291843</v>
      </c>
      <c r="K425" s="336">
        <f t="shared" si="213"/>
        <v>10.764607953721361</v>
      </c>
      <c r="L425" s="337">
        <f t="shared" si="214"/>
        <v>1.4777651706083461</v>
      </c>
      <c r="M425" s="325">
        <f t="shared" si="194"/>
        <v>1.0398926259888905</v>
      </c>
      <c r="N425" s="337">
        <f t="shared" si="195"/>
        <v>0.27788512928548637</v>
      </c>
      <c r="O425" s="343">
        <f t="shared" si="196"/>
        <v>1.0289220365919816</v>
      </c>
      <c r="P425" s="691">
        <f t="shared" si="197"/>
        <v>0.23766256697056873</v>
      </c>
      <c r="Q425" s="336">
        <f t="shared" si="212"/>
        <v>15.217903097372464</v>
      </c>
      <c r="R425" s="692">
        <f t="shared" si="198"/>
        <v>0.11260511396210271</v>
      </c>
      <c r="S425" s="329">
        <f t="shared" si="199"/>
        <v>0.98957506289080954</v>
      </c>
      <c r="T425" s="330">
        <f t="shared" si="200"/>
        <v>0.36956300822754012</v>
      </c>
      <c r="U425" s="331">
        <f t="shared" si="201"/>
        <v>-0.55478390710875447</v>
      </c>
      <c r="V425" s="332">
        <f t="shared" si="202"/>
        <v>-121.12729535779138</v>
      </c>
      <c r="W425" s="334">
        <f t="shared" si="203"/>
        <v>58.872704642208618</v>
      </c>
      <c r="Y425" s="307">
        <f t="shared" si="204"/>
        <v>41687</v>
      </c>
      <c r="Z425" s="307">
        <f t="shared" si="205"/>
        <v>1737805969</v>
      </c>
      <c r="AB425" s="333">
        <f t="shared" si="206"/>
        <v>23.148247568486294</v>
      </c>
      <c r="AC425" s="334">
        <f t="shared" si="207"/>
        <v>-21.250902201193536</v>
      </c>
      <c r="AE425" s="333">
        <f t="shared" si="208"/>
        <v>33.675815524124324</v>
      </c>
      <c r="AF425" s="334">
        <f t="shared" si="209"/>
        <v>-107.04165741882611</v>
      </c>
      <c r="AH425">
        <f t="shared" si="210"/>
        <v>0</v>
      </c>
      <c r="AI425">
        <f t="shared" si="215"/>
        <v>0</v>
      </c>
    </row>
    <row r="426" spans="1:35" x14ac:dyDescent="0.25">
      <c r="A426" s="335">
        <v>41929.75</v>
      </c>
      <c r="B426" s="352">
        <f t="shared" si="211"/>
        <v>41.929749999999999</v>
      </c>
      <c r="C426" s="325">
        <f t="shared" si="186"/>
        <v>50.821884882860317</v>
      </c>
      <c r="D426" s="326">
        <f t="shared" si="187"/>
        <v>1.5511184942744631</v>
      </c>
      <c r="E426" s="326">
        <f t="shared" si="188"/>
        <v>1.0013871810879476</v>
      </c>
      <c r="F426" s="327">
        <f t="shared" si="189"/>
        <v>5.2641797544545635E-2</v>
      </c>
      <c r="G426" s="326">
        <f t="shared" si="190"/>
        <v>1</v>
      </c>
      <c r="H426" s="327">
        <f t="shared" si="191"/>
        <v>0</v>
      </c>
      <c r="I426" s="325">
        <f t="shared" si="192"/>
        <v>55651.925002196433</v>
      </c>
      <c r="J426" s="328">
        <f t="shared" si="193"/>
        <v>1.570778357964528</v>
      </c>
      <c r="K426" s="336">
        <f t="shared" si="213"/>
        <v>10.826752568282968</v>
      </c>
      <c r="L426" s="337">
        <f t="shared" si="214"/>
        <v>1.4783006938490288</v>
      </c>
      <c r="M426" s="325">
        <f t="shared" si="194"/>
        <v>1.0403495429450496</v>
      </c>
      <c r="N426" s="337">
        <f t="shared" si="195"/>
        <v>0.27942059793734886</v>
      </c>
      <c r="O426" s="343">
        <f t="shared" si="196"/>
        <v>1.0292550507736928</v>
      </c>
      <c r="P426" s="691">
        <f t="shared" si="197"/>
        <v>0.2389945551304021</v>
      </c>
      <c r="Q426" s="336">
        <f t="shared" si="212"/>
        <v>15.218993076387868</v>
      </c>
      <c r="R426" s="692">
        <f t="shared" si="198"/>
        <v>0.11325549477610135</v>
      </c>
      <c r="S426" s="329">
        <f t="shared" si="199"/>
        <v>0.98948826874802598</v>
      </c>
      <c r="T426" s="330">
        <f t="shared" si="200"/>
        <v>0.37185386391318459</v>
      </c>
      <c r="U426" s="331">
        <f t="shared" si="201"/>
        <v>-0.60635591156528745</v>
      </c>
      <c r="V426" s="332">
        <f t="shared" si="202"/>
        <v>-121.2659309033897</v>
      </c>
      <c r="W426" s="334">
        <f t="shared" si="203"/>
        <v>58.734069096610298</v>
      </c>
      <c r="Y426" s="307">
        <f t="shared" si="204"/>
        <v>41929.75</v>
      </c>
      <c r="Z426" s="307">
        <f t="shared" si="205"/>
        <v>1758103935.0625</v>
      </c>
      <c r="AB426" s="333">
        <f t="shared" si="206"/>
        <v>23.143999195420619</v>
      </c>
      <c r="AC426" s="334">
        <f t="shared" si="207"/>
        <v>-21.308200848226665</v>
      </c>
      <c r="AE426" s="333">
        <f t="shared" si="208"/>
        <v>33.626303231979612</v>
      </c>
      <c r="AF426" s="334">
        <f t="shared" si="209"/>
        <v>-107.16204754163731</v>
      </c>
      <c r="AH426">
        <f t="shared" si="210"/>
        <v>0</v>
      </c>
      <c r="AI426">
        <f t="shared" si="215"/>
        <v>0</v>
      </c>
    </row>
    <row r="427" spans="1:35" x14ac:dyDescent="0.25">
      <c r="A427" s="335">
        <v>42172.5</v>
      </c>
      <c r="B427" s="352">
        <f t="shared" si="211"/>
        <v>42.172499999999999</v>
      </c>
      <c r="C427" s="325">
        <f t="shared" si="186"/>
        <v>51.116001823969242</v>
      </c>
      <c r="D427" s="326">
        <f t="shared" si="187"/>
        <v>1.551231733268073</v>
      </c>
      <c r="E427" s="326">
        <f t="shared" si="188"/>
        <v>1.001403278314873</v>
      </c>
      <c r="F427" s="327">
        <f t="shared" si="189"/>
        <v>5.2945996747883563E-2</v>
      </c>
      <c r="G427" s="326">
        <f t="shared" si="190"/>
        <v>1</v>
      </c>
      <c r="H427" s="327">
        <f t="shared" si="191"/>
        <v>0</v>
      </c>
      <c r="I427" s="325">
        <f t="shared" si="192"/>
        <v>55974.118785606392</v>
      </c>
      <c r="J427" s="328">
        <f t="shared" si="193"/>
        <v>1.5707784613952842</v>
      </c>
      <c r="K427" s="336">
        <f t="shared" si="213"/>
        <v>10.88890025235496</v>
      </c>
      <c r="L427" s="337">
        <f t="shared" si="214"/>
        <v>1.4788301043125471</v>
      </c>
      <c r="M427" s="325">
        <f t="shared" si="194"/>
        <v>1.0408089105389196</v>
      </c>
      <c r="N427" s="337">
        <f t="shared" si="195"/>
        <v>0.28095471482589279</v>
      </c>
      <c r="O427" s="343">
        <f t="shared" si="196"/>
        <v>1.029589889868785</v>
      </c>
      <c r="P427" s="691">
        <f t="shared" si="197"/>
        <v>0.24032567928293358</v>
      </c>
      <c r="Q427" s="336">
        <f t="shared" si="212"/>
        <v>15.220089305427035</v>
      </c>
      <c r="R427" s="692">
        <f t="shared" si="198"/>
        <v>0.11390578356432325</v>
      </c>
      <c r="S427" s="329">
        <f t="shared" si="199"/>
        <v>0.98940179271381345</v>
      </c>
      <c r="T427" s="330">
        <f t="shared" si="200"/>
        <v>0.37414704437373231</v>
      </c>
      <c r="U427" s="331">
        <f t="shared" si="201"/>
        <v>-0.65763944563131438</v>
      </c>
      <c r="V427" s="332">
        <f t="shared" si="202"/>
        <v>-121.40494162255864</v>
      </c>
      <c r="W427" s="334">
        <f t="shared" si="203"/>
        <v>58.595058377441362</v>
      </c>
      <c r="Y427" s="307">
        <f t="shared" si="204"/>
        <v>42172.5</v>
      </c>
      <c r="Z427" s="307">
        <f t="shared" si="205"/>
        <v>1778519756.25</v>
      </c>
      <c r="AB427" s="333">
        <f t="shared" si="206"/>
        <v>23.139739455410947</v>
      </c>
      <c r="AC427" s="334">
        <f t="shared" si="207"/>
        <v>-21.365772212241897</v>
      </c>
      <c r="AE427" s="333">
        <f t="shared" si="208"/>
        <v>33.577079813228707</v>
      </c>
      <c r="AF427" s="334">
        <f t="shared" si="209"/>
        <v>-107.28249588975383</v>
      </c>
      <c r="AH427">
        <f t="shared" si="210"/>
        <v>0</v>
      </c>
      <c r="AI427">
        <f t="shared" si="215"/>
        <v>0</v>
      </c>
    </row>
    <row r="428" spans="1:35" x14ac:dyDescent="0.25">
      <c r="A428" s="335">
        <v>42415.25</v>
      </c>
      <c r="B428" s="352">
        <f t="shared" si="211"/>
        <v>42.41525</v>
      </c>
      <c r="C428" s="325">
        <f t="shared" si="186"/>
        <v>51.410119413042409</v>
      </c>
      <c r="D428" s="326">
        <f t="shared" si="187"/>
        <v>1.5513436765812361</v>
      </c>
      <c r="E428" s="326">
        <f t="shared" si="188"/>
        <v>1.0014194682058251</v>
      </c>
      <c r="F428" s="327">
        <f t="shared" si="189"/>
        <v>5.3250186143427497E-2</v>
      </c>
      <c r="G428" s="326">
        <f t="shared" si="190"/>
        <v>1</v>
      </c>
      <c r="H428" s="327">
        <f t="shared" si="191"/>
        <v>0</v>
      </c>
      <c r="I428" s="325">
        <f t="shared" si="192"/>
        <v>56296.31256901694</v>
      </c>
      <c r="J428" s="328">
        <f t="shared" si="193"/>
        <v>1.5707785636421354</v>
      </c>
      <c r="K428" s="336">
        <f t="shared" si="213"/>
        <v>10.951050953678523</v>
      </c>
      <c r="L428" s="337">
        <f t="shared" si="214"/>
        <v>1.4793535057754545</v>
      </c>
      <c r="M428" s="325">
        <f t="shared" si="194"/>
        <v>1.0412707255271259</v>
      </c>
      <c r="N428" s="337">
        <f t="shared" si="195"/>
        <v>0.28248747452381451</v>
      </c>
      <c r="O428" s="343">
        <f t="shared" si="196"/>
        <v>1.0299265520973668</v>
      </c>
      <c r="P428" s="691">
        <f t="shared" si="197"/>
        <v>0.24165593555594878</v>
      </c>
      <c r="Q428" s="336">
        <f t="shared" si="212"/>
        <v>15.221191783140792</v>
      </c>
      <c r="R428" s="692">
        <f t="shared" si="198"/>
        <v>0.11455597982064747</v>
      </c>
      <c r="S428" s="329">
        <f t="shared" si="199"/>
        <v>0.9893156492840014</v>
      </c>
      <c r="T428" s="330">
        <f t="shared" si="200"/>
        <v>0.37644256001704302</v>
      </c>
      <c r="U428" s="331">
        <f t="shared" si="201"/>
        <v>-0.70863811489095774</v>
      </c>
      <c r="V428" s="332">
        <f t="shared" si="202"/>
        <v>-121.54432334816168</v>
      </c>
      <c r="W428" s="334">
        <f t="shared" si="203"/>
        <v>58.455676651838317</v>
      </c>
      <c r="Y428" s="307">
        <f t="shared" si="204"/>
        <v>42415.25</v>
      </c>
      <c r="Z428" s="307">
        <f t="shared" si="205"/>
        <v>1799053432.5625</v>
      </c>
      <c r="AB428" s="333">
        <f t="shared" si="206"/>
        <v>23.135468233163419</v>
      </c>
      <c r="AC428" s="334">
        <f t="shared" si="207"/>
        <v>-21.423610037504123</v>
      </c>
      <c r="AE428" s="333">
        <f t="shared" si="208"/>
        <v>33.528141805485475</v>
      </c>
      <c r="AF428" s="334">
        <f t="shared" si="209"/>
        <v>-107.40300435891115</v>
      </c>
      <c r="AH428">
        <f t="shared" si="210"/>
        <v>0</v>
      </c>
      <c r="AI428">
        <f t="shared" si="215"/>
        <v>0</v>
      </c>
    </row>
    <row r="429" spans="1:35" x14ac:dyDescent="0.25">
      <c r="A429" s="335">
        <v>42658</v>
      </c>
      <c r="B429" s="352">
        <f t="shared" si="211"/>
        <v>42.658000000000001</v>
      </c>
      <c r="C429" s="325">
        <f t="shared" si="186"/>
        <v>51.704237639022047</v>
      </c>
      <c r="D429" s="326">
        <f t="shared" si="187"/>
        <v>1.5514543463224575</v>
      </c>
      <c r="E429" s="326">
        <f t="shared" si="188"/>
        <v>1.0014357507563096</v>
      </c>
      <c r="F429" s="327">
        <f t="shared" si="189"/>
        <v>5.3554365675360482E-2</v>
      </c>
      <c r="G429" s="326">
        <f t="shared" si="190"/>
        <v>1</v>
      </c>
      <c r="H429" s="327">
        <f t="shared" si="191"/>
        <v>0</v>
      </c>
      <c r="I429" s="325">
        <f t="shared" si="192"/>
        <v>56618.506352428078</v>
      </c>
      <c r="J429" s="328">
        <f t="shared" si="193"/>
        <v>1.570778664725293</v>
      </c>
      <c r="K429" s="336">
        <f t="shared" si="213"/>
        <v>11.013204621171989</v>
      </c>
      <c r="L429" s="337">
        <f t="shared" si="214"/>
        <v>1.479870999684969</v>
      </c>
      <c r="M429" s="325">
        <f t="shared" si="194"/>
        <v>1.0417349846547814</v>
      </c>
      <c r="N429" s="337">
        <f t="shared" si="195"/>
        <v>0.28401887163891715</v>
      </c>
      <c r="O429" s="343">
        <f t="shared" si="196"/>
        <v>1.0302650356721896</v>
      </c>
      <c r="P429" s="691">
        <f t="shared" si="197"/>
        <v>0.24298532009456719</v>
      </c>
      <c r="Q429" s="336">
        <f t="shared" si="212"/>
        <v>15.222300508172664</v>
      </c>
      <c r="R429" s="692">
        <f t="shared" si="198"/>
        <v>0.11520608303940313</v>
      </c>
      <c r="S429" s="329">
        <f t="shared" si="199"/>
        <v>0.98922985304234912</v>
      </c>
      <c r="T429" s="330">
        <f t="shared" si="200"/>
        <v>0.37874042118455936</v>
      </c>
      <c r="U429" s="331">
        <f t="shared" si="201"/>
        <v>-0.7593554639687663</v>
      </c>
      <c r="V429" s="332">
        <f t="shared" si="202"/>
        <v>-121.68407201424793</v>
      </c>
      <c r="W429" s="334">
        <f t="shared" si="203"/>
        <v>58.315927985752069</v>
      </c>
      <c r="Y429" s="307">
        <f t="shared" si="204"/>
        <v>42658</v>
      </c>
      <c r="Z429" s="307">
        <f t="shared" si="205"/>
        <v>1819704964</v>
      </c>
      <c r="AB429" s="333">
        <f t="shared" si="206"/>
        <v>23.131185418255697</v>
      </c>
      <c r="AC429" s="334">
        <f t="shared" si="207"/>
        <v>-21.481708203723802</v>
      </c>
      <c r="AE429" s="333">
        <f t="shared" si="208"/>
        <v>33.47948580254883</v>
      </c>
      <c r="AF429" s="334">
        <f t="shared" si="209"/>
        <v>-107.52357481155238</v>
      </c>
      <c r="AH429">
        <f t="shared" si="210"/>
        <v>0</v>
      </c>
      <c r="AI429">
        <f t="shared" si="215"/>
        <v>0</v>
      </c>
    </row>
    <row r="430" spans="1:35" x14ac:dyDescent="0.25">
      <c r="A430" s="335">
        <v>42906.5</v>
      </c>
      <c r="B430" s="352">
        <f t="shared" si="211"/>
        <v>42.906500000000001</v>
      </c>
      <c r="C430" s="325">
        <f t="shared" si="186"/>
        <v>52.005323268530155</v>
      </c>
      <c r="D430" s="326">
        <f t="shared" si="187"/>
        <v>1.5515663408652824</v>
      </c>
      <c r="E430" s="326">
        <f t="shared" si="188"/>
        <v>1.0014525149633127</v>
      </c>
      <c r="F430" s="327">
        <f t="shared" si="189"/>
        <v>5.3865740008648279E-2</v>
      </c>
      <c r="G430" s="326">
        <f t="shared" si="190"/>
        <v>1</v>
      </c>
      <c r="H430" s="327">
        <f t="shared" si="191"/>
        <v>0</v>
      </c>
      <c r="I430" s="325">
        <f t="shared" si="192"/>
        <v>56948.3319144376</v>
      </c>
      <c r="J430" s="328">
        <f t="shared" si="193"/>
        <v>1.5707787670180526</v>
      </c>
      <c r="K430" s="336">
        <f t="shared" si="213"/>
        <v>11.076833537922548</v>
      </c>
      <c r="L430" s="337">
        <f t="shared" si="214"/>
        <v>1.4803947358553706</v>
      </c>
      <c r="M430" s="325">
        <f t="shared" si="194"/>
        <v>1.0422127689078493</v>
      </c>
      <c r="N430" s="337">
        <f t="shared" si="195"/>
        <v>0.28558512586540169</v>
      </c>
      <c r="O430" s="343">
        <f t="shared" si="196"/>
        <v>1.0306134215773746</v>
      </c>
      <c r="P430" s="691">
        <f t="shared" si="197"/>
        <v>0.24434528670112102</v>
      </c>
      <c r="Q430" s="336">
        <f t="shared" si="212"/>
        <v>15.223441965102943</v>
      </c>
      <c r="R430" s="692">
        <f t="shared" si="198"/>
        <v>0.11587148830477925</v>
      </c>
      <c r="S430" s="329">
        <f t="shared" si="199"/>
        <v>0.98914239949082716</v>
      </c>
      <c r="T430" s="330">
        <f t="shared" si="200"/>
        <v>0.3810951518527223</v>
      </c>
      <c r="U430" s="331">
        <f t="shared" si="201"/>
        <v>-0.81098639441979303</v>
      </c>
      <c r="V430" s="332">
        <f t="shared" si="202"/>
        <v>-121.82750683523456</v>
      </c>
      <c r="W430" s="334">
        <f t="shared" si="203"/>
        <v>58.172493164765442</v>
      </c>
      <c r="Y430" s="307">
        <f t="shared" si="204"/>
        <v>42906.5</v>
      </c>
      <c r="Z430" s="307">
        <f t="shared" si="205"/>
        <v>1840967742.25</v>
      </c>
      <c r="AB430" s="333">
        <f t="shared" si="206"/>
        <v>23.126789038513735</v>
      </c>
      <c r="AC430" s="334">
        <f t="shared" si="207"/>
        <v>-21.541445949415195</v>
      </c>
      <c r="AE430" s="333">
        <f t="shared" si="208"/>
        <v>33.429965893990307</v>
      </c>
      <c r="AF430" s="334">
        <f t="shared" si="209"/>
        <v>-107.64706732035553</v>
      </c>
      <c r="AH430">
        <f t="shared" si="210"/>
        <v>0</v>
      </c>
      <c r="AI430">
        <f t="shared" si="215"/>
        <v>0</v>
      </c>
    </row>
    <row r="431" spans="1:35" x14ac:dyDescent="0.25">
      <c r="A431" s="335">
        <v>43155</v>
      </c>
      <c r="B431" s="352">
        <f t="shared" si="211"/>
        <v>43.155000000000001</v>
      </c>
      <c r="C431" s="325">
        <f t="shared" si="186"/>
        <v>52.306409542820042</v>
      </c>
      <c r="D431" s="326">
        <f t="shared" si="187"/>
        <v>1.5516770460829954</v>
      </c>
      <c r="E431" s="326">
        <f t="shared" si="188"/>
        <v>1.0014693762618621</v>
      </c>
      <c r="F431" s="327">
        <f t="shared" si="189"/>
        <v>5.4177103887178342E-2</v>
      </c>
      <c r="G431" s="326">
        <f t="shared" si="190"/>
        <v>1</v>
      </c>
      <c r="H431" s="327">
        <f t="shared" si="191"/>
        <v>0</v>
      </c>
      <c r="I431" s="325">
        <f t="shared" si="192"/>
        <v>57278.157476447705</v>
      </c>
      <c r="J431" s="328">
        <f t="shared" si="193"/>
        <v>1.570778868132745</v>
      </c>
      <c r="K431" s="336">
        <f t="shared" si="213"/>
        <v>11.140465458335978</v>
      </c>
      <c r="L431" s="337">
        <f t="shared" si="214"/>
        <v>1.4809124892318095</v>
      </c>
      <c r="M431" s="325">
        <f t="shared" si="194"/>
        <v>1.0426931075208383</v>
      </c>
      <c r="N431" s="337">
        <f t="shared" si="195"/>
        <v>0.28714994087146462</v>
      </c>
      <c r="O431" s="343">
        <f t="shared" si="196"/>
        <v>1.030963712321231</v>
      </c>
      <c r="P431" s="691">
        <f t="shared" si="197"/>
        <v>0.24570433166757699</v>
      </c>
      <c r="Q431" s="336">
        <f t="shared" si="212"/>
        <v>15.224589965915927</v>
      </c>
      <c r="R431" s="692">
        <f t="shared" si="198"/>
        <v>0.11653679500192107</v>
      </c>
      <c r="S431" s="329">
        <f t="shared" si="199"/>
        <v>0.98905534097979253</v>
      </c>
      <c r="T431" s="330">
        <f t="shared" si="200"/>
        <v>0.38345236219214074</v>
      </c>
      <c r="U431" s="331">
        <f t="shared" si="201"/>
        <v>-0.86232984719720829</v>
      </c>
      <c r="V431" s="332">
        <f t="shared" si="202"/>
        <v>-121.97131787567888</v>
      </c>
      <c r="W431" s="334">
        <f t="shared" si="203"/>
        <v>58.028682124321122</v>
      </c>
      <c r="Y431" s="307">
        <f t="shared" si="204"/>
        <v>43155</v>
      </c>
      <c r="Z431" s="307">
        <f t="shared" si="205"/>
        <v>1862354025</v>
      </c>
      <c r="AB431" s="333">
        <f t="shared" si="206"/>
        <v>23.122380291200329</v>
      </c>
      <c r="AC431" s="334">
        <f t="shared" si="207"/>
        <v>-21.601443955196423</v>
      </c>
      <c r="AE431" s="333">
        <f t="shared" si="208"/>
        <v>33.380734459454906</v>
      </c>
      <c r="AF431" s="334">
        <f t="shared" si="209"/>
        <v>-107.77062862998244</v>
      </c>
      <c r="AH431">
        <f t="shared" si="210"/>
        <v>0</v>
      </c>
      <c r="AI431">
        <f t="shared" si="215"/>
        <v>0</v>
      </c>
    </row>
    <row r="432" spans="1:35" x14ac:dyDescent="0.25">
      <c r="A432" s="335">
        <v>43403.5</v>
      </c>
      <c r="B432" s="352">
        <f t="shared" si="211"/>
        <v>43.403500000000001</v>
      </c>
      <c r="C432" s="325">
        <f t="shared" si="186"/>
        <v>52.607496450820946</v>
      </c>
      <c r="D432" s="326">
        <f t="shared" si="187"/>
        <v>1.5517864841103266</v>
      </c>
      <c r="E432" s="326">
        <f t="shared" si="188"/>
        <v>1.0014863346470542</v>
      </c>
      <c r="F432" s="327">
        <f t="shared" si="189"/>
        <v>5.4488457251108374E-2</v>
      </c>
      <c r="G432" s="326">
        <f t="shared" si="190"/>
        <v>1</v>
      </c>
      <c r="H432" s="327">
        <f t="shared" si="191"/>
        <v>0</v>
      </c>
      <c r="I432" s="325">
        <f t="shared" si="192"/>
        <v>57607.983038458391</v>
      </c>
      <c r="J432" s="328">
        <f t="shared" si="193"/>
        <v>1.5707789680896043</v>
      </c>
      <c r="K432" s="336">
        <f t="shared" si="213"/>
        <v>11.204100331235793</v>
      </c>
      <c r="L432" s="337">
        <f t="shared" si="214"/>
        <v>1.4814243614740397</v>
      </c>
      <c r="M432" s="325">
        <f t="shared" si="194"/>
        <v>1.0431759969652232</v>
      </c>
      <c r="N432" s="337">
        <f t="shared" si="195"/>
        <v>0.28871331098716252</v>
      </c>
      <c r="O432" s="343">
        <f t="shared" si="196"/>
        <v>1.0313159059627992</v>
      </c>
      <c r="P432" s="691">
        <f t="shared" si="197"/>
        <v>0.24706245091529866</v>
      </c>
      <c r="Q432" s="336">
        <f t="shared" si="212"/>
        <v>15.225744509132733</v>
      </c>
      <c r="R432" s="692">
        <f t="shared" si="198"/>
        <v>0.11720200258984666</v>
      </c>
      <c r="S432" s="329">
        <f t="shared" si="199"/>
        <v>0.98896869344032146</v>
      </c>
      <c r="T432" s="330">
        <f t="shared" si="200"/>
        <v>0.3858120630754352</v>
      </c>
      <c r="U432" s="331">
        <f t="shared" si="201"/>
        <v>-0.91338943566792297</v>
      </c>
      <c r="V432" s="332">
        <f t="shared" si="202"/>
        <v>-122.11550108450473</v>
      </c>
      <c r="W432" s="334">
        <f t="shared" si="203"/>
        <v>57.884498915495271</v>
      </c>
      <c r="Y432" s="307">
        <f t="shared" si="204"/>
        <v>43403.5</v>
      </c>
      <c r="Z432" s="307">
        <f t="shared" si="205"/>
        <v>1883863812.25</v>
      </c>
      <c r="AB432" s="333">
        <f t="shared" si="206"/>
        <v>23.117959072693953</v>
      </c>
      <c r="AC432" s="334">
        <f t="shared" si="207"/>
        <v>-21.66169607268812</v>
      </c>
      <c r="AE432" s="333">
        <f t="shared" si="208"/>
        <v>33.331788019545463</v>
      </c>
      <c r="AF432" s="334">
        <f t="shared" si="209"/>
        <v>-107.89426063504368</v>
      </c>
      <c r="AH432">
        <f t="shared" si="210"/>
        <v>0</v>
      </c>
      <c r="AI432">
        <f t="shared" si="215"/>
        <v>0</v>
      </c>
    </row>
    <row r="433" spans="1:35" x14ac:dyDescent="0.25">
      <c r="A433" s="335">
        <v>43652</v>
      </c>
      <c r="B433" s="352">
        <f t="shared" si="211"/>
        <v>43.652000000000001</v>
      </c>
      <c r="C433" s="325">
        <f t="shared" si="186"/>
        <v>52.908583981714095</v>
      </c>
      <c r="D433" s="326">
        <f t="shared" si="187"/>
        <v>1.5518946765782795</v>
      </c>
      <c r="E433" s="326">
        <f t="shared" si="188"/>
        <v>1.0015033901139565</v>
      </c>
      <c r="F433" s="327">
        <f t="shared" si="189"/>
        <v>5.479980004060829E-2</v>
      </c>
      <c r="G433" s="326">
        <f t="shared" si="190"/>
        <v>1</v>
      </c>
      <c r="H433" s="327">
        <f t="shared" si="191"/>
        <v>0</v>
      </c>
      <c r="I433" s="325">
        <f t="shared" si="192"/>
        <v>57937.808600469645</v>
      </c>
      <c r="J433" s="328">
        <f t="shared" si="193"/>
        <v>1.5707790669084045</v>
      </c>
      <c r="K433" s="336">
        <f t="shared" si="213"/>
        <v>11.267738106599236</v>
      </c>
      <c r="L433" s="337">
        <f t="shared" si="214"/>
        <v>1.4819304519576935</v>
      </c>
      <c r="M433" s="325">
        <f t="shared" si="194"/>
        <v>1.0436614337002879</v>
      </c>
      <c r="N433" s="337">
        <f t="shared" si="195"/>
        <v>0.29027523058126986</v>
      </c>
      <c r="O433" s="343">
        <f t="shared" si="196"/>
        <v>1.0316700005532342</v>
      </c>
      <c r="P433" s="691">
        <f t="shared" si="197"/>
        <v>0.2484196403848635</v>
      </c>
      <c r="Q433" s="336">
        <f t="shared" si="212"/>
        <v>15.226905593266507</v>
      </c>
      <c r="R433" s="692">
        <f t="shared" si="198"/>
        <v>0.11786711052807809</v>
      </c>
      <c r="S433" s="329">
        <f t="shared" si="199"/>
        <v>0.98888247289998155</v>
      </c>
      <c r="T433" s="330">
        <f t="shared" si="200"/>
        <v>0.3881742652989188</v>
      </c>
      <c r="U433" s="331">
        <f t="shared" si="201"/>
        <v>-0.96416871242162561</v>
      </c>
      <c r="V433" s="332">
        <f t="shared" si="202"/>
        <v>-122.26005250939244</v>
      </c>
      <c r="W433" s="334">
        <f t="shared" si="203"/>
        <v>57.739947490607562</v>
      </c>
      <c r="Y433" s="307">
        <f t="shared" si="204"/>
        <v>43652</v>
      </c>
      <c r="Z433" s="307">
        <f t="shared" si="205"/>
        <v>1905497104</v>
      </c>
      <c r="AB433" s="333">
        <f t="shared" si="206"/>
        <v>23.113525284049668</v>
      </c>
      <c r="AC433" s="334">
        <f t="shared" si="207"/>
        <v>-21.722196286573489</v>
      </c>
      <c r="AE433" s="333">
        <f t="shared" si="208"/>
        <v>33.283123151067834</v>
      </c>
      <c r="AF433" s="334">
        <f t="shared" si="209"/>
        <v>-108.01796519691571</v>
      </c>
      <c r="AH433">
        <f t="shared" si="210"/>
        <v>0</v>
      </c>
      <c r="AI433">
        <f t="shared" si="215"/>
        <v>0</v>
      </c>
    </row>
    <row r="434" spans="1:35" x14ac:dyDescent="0.25">
      <c r="A434" s="335">
        <v>43906</v>
      </c>
      <c r="B434" s="352">
        <f t="shared" si="211"/>
        <v>43.905999999999999</v>
      </c>
      <c r="C434" s="325">
        <f t="shared" si="186"/>
        <v>53.216336054459219</v>
      </c>
      <c r="D434" s="326">
        <f t="shared" si="187"/>
        <v>1.5520039984391347</v>
      </c>
      <c r="E434" s="326">
        <f t="shared" si="188"/>
        <v>1.0015209233894016</v>
      </c>
      <c r="F434" s="327">
        <f t="shared" si="189"/>
        <v>5.5118022726440272E-2</v>
      </c>
      <c r="G434" s="326">
        <f t="shared" si="190"/>
        <v>1</v>
      </c>
      <c r="H434" s="327">
        <f t="shared" si="191"/>
        <v>0</v>
      </c>
      <c r="I434" s="325">
        <f t="shared" si="192"/>
        <v>58274.93412461855</v>
      </c>
      <c r="J434" s="328">
        <f t="shared" si="193"/>
        <v>1.5707791667583377</v>
      </c>
      <c r="K434" s="336">
        <f t="shared" si="213"/>
        <v>11.332787312543092</v>
      </c>
      <c r="L434" s="337">
        <f t="shared" si="214"/>
        <v>1.4824418696473776</v>
      </c>
      <c r="M434" s="325">
        <f t="shared" si="194"/>
        <v>1.0441602432917803</v>
      </c>
      <c r="N434" s="337">
        <f t="shared" si="195"/>
        <v>0.29187021496940208</v>
      </c>
      <c r="O434" s="343">
        <f t="shared" si="196"/>
        <v>1.0320338947346341</v>
      </c>
      <c r="P434" s="691">
        <f t="shared" si="197"/>
        <v>0.2498059031733996</v>
      </c>
      <c r="Q434" s="336">
        <f t="shared" si="212"/>
        <v>15.228099133555409</v>
      </c>
      <c r="R434" s="692">
        <f t="shared" si="198"/>
        <v>0.11854683562060858</v>
      </c>
      <c r="S434" s="329">
        <f t="shared" si="199"/>
        <v>0.98879480212446469</v>
      </c>
      <c r="T434" s="330">
        <f t="shared" si="200"/>
        <v>0.3905913458184026</v>
      </c>
      <c r="U434" s="331">
        <f t="shared" si="201"/>
        <v>-1.0157858264780506</v>
      </c>
      <c r="V434" s="332">
        <f t="shared" si="202"/>
        <v>-122.40817977803717</v>
      </c>
      <c r="W434" s="334">
        <f t="shared" si="203"/>
        <v>57.591820221962834</v>
      </c>
      <c r="Y434" s="307">
        <f t="shared" si="204"/>
        <v>43906</v>
      </c>
      <c r="Z434" s="307">
        <f t="shared" si="205"/>
        <v>1927736836</v>
      </c>
      <c r="AB434" s="333">
        <f t="shared" si="206"/>
        <v>23.10898027445219</v>
      </c>
      <c r="AC434" s="334">
        <f t="shared" si="207"/>
        <v>-21.784285806266197</v>
      </c>
      <c r="AE434" s="333">
        <f t="shared" si="208"/>
        <v>33.233668674983278</v>
      </c>
      <c r="AF434" s="334">
        <f t="shared" si="209"/>
        <v>-108.14448457396202</v>
      </c>
      <c r="AH434">
        <f t="shared" si="210"/>
        <v>0</v>
      </c>
      <c r="AI434">
        <f t="shared" si="215"/>
        <v>0</v>
      </c>
    </row>
    <row r="435" spans="1:35" x14ac:dyDescent="0.25">
      <c r="A435" s="335">
        <v>44160</v>
      </c>
      <c r="B435" s="352">
        <f t="shared" si="211"/>
        <v>44.16</v>
      </c>
      <c r="C435" s="325">
        <f t="shared" si="186"/>
        <v>53.524088755893338</v>
      </c>
      <c r="D435" s="326">
        <f t="shared" si="187"/>
        <v>1.5521120631440235</v>
      </c>
      <c r="E435" s="326">
        <f t="shared" si="188"/>
        <v>1.0015385580809848</v>
      </c>
      <c r="F435" s="327">
        <f t="shared" si="189"/>
        <v>5.5436234238218883E-2</v>
      </c>
      <c r="G435" s="326">
        <f t="shared" si="190"/>
        <v>1</v>
      </c>
      <c r="H435" s="327">
        <f t="shared" si="191"/>
        <v>0</v>
      </c>
      <c r="I435" s="325">
        <f t="shared" si="192"/>
        <v>58612.05964876803</v>
      </c>
      <c r="J435" s="328">
        <f t="shared" si="193"/>
        <v>1.5707792654596349</v>
      </c>
      <c r="K435" s="336">
        <f t="shared" si="213"/>
        <v>11.397839448722179</v>
      </c>
      <c r="L435" s="337">
        <f t="shared" si="214"/>
        <v>1.4829474497277664</v>
      </c>
      <c r="M435" s="325">
        <f t="shared" si="194"/>
        <v>1.0446617066603947</v>
      </c>
      <c r="N435" s="337">
        <f t="shared" si="195"/>
        <v>0.2934636721443743</v>
      </c>
      <c r="O435" s="343">
        <f t="shared" si="196"/>
        <v>1.0323997708005386</v>
      </c>
      <c r="P435" s="691">
        <f t="shared" si="197"/>
        <v>0.2511911860566568</v>
      </c>
      <c r="Q435" s="336">
        <f t="shared" si="212"/>
        <v>15.229299504336348</v>
      </c>
      <c r="R435" s="692">
        <f t="shared" si="198"/>
        <v>0.11922645546336777</v>
      </c>
      <c r="S435" s="329">
        <f t="shared" si="199"/>
        <v>0.98870761162729937</v>
      </c>
      <c r="T435" s="330">
        <f t="shared" si="200"/>
        <v>0.39301106218772985</v>
      </c>
      <c r="U435" s="331">
        <f t="shared" si="201"/>
        <v>-1.0671174005670219</v>
      </c>
      <c r="V435" s="332">
        <f t="shared" si="202"/>
        <v>-122.55668369601256</v>
      </c>
      <c r="W435" s="334">
        <f t="shared" si="203"/>
        <v>57.443316303987444</v>
      </c>
      <c r="Y435" s="307">
        <f t="shared" si="204"/>
        <v>44160</v>
      </c>
      <c r="Z435" s="307">
        <f t="shared" si="205"/>
        <v>1950105600</v>
      </c>
      <c r="AB435" s="333">
        <f t="shared" si="206"/>
        <v>23.104421937392196</v>
      </c>
      <c r="AC435" s="334">
        <f t="shared" si="207"/>
        <v>-21.846622227653757</v>
      </c>
      <c r="AE435" s="333">
        <f t="shared" si="208"/>
        <v>33.184501314356289</v>
      </c>
      <c r="AF435" s="334">
        <f t="shared" si="209"/>
        <v>-108.2710835845749</v>
      </c>
      <c r="AH435">
        <f t="shared" si="210"/>
        <v>0</v>
      </c>
      <c r="AI435">
        <f t="shared" si="215"/>
        <v>0</v>
      </c>
    </row>
    <row r="436" spans="1:35" x14ac:dyDescent="0.25">
      <c r="A436" s="335">
        <v>44414</v>
      </c>
      <c r="B436" s="352">
        <f t="shared" si="211"/>
        <v>44.414000000000001</v>
      </c>
      <c r="C436" s="325">
        <f t="shared" si="186"/>
        <v>53.831842075233943</v>
      </c>
      <c r="D436" s="326">
        <f t="shared" si="187"/>
        <v>1.5522188922516487</v>
      </c>
      <c r="E436" s="326">
        <f t="shared" si="188"/>
        <v>1.0015562941833491</v>
      </c>
      <c r="F436" s="327">
        <f t="shared" si="189"/>
        <v>5.5754434512092783E-2</v>
      </c>
      <c r="G436" s="326">
        <f t="shared" si="190"/>
        <v>1</v>
      </c>
      <c r="H436" s="327">
        <f t="shared" si="191"/>
        <v>0</v>
      </c>
      <c r="I436" s="325">
        <f t="shared" si="192"/>
        <v>58949.185172918071</v>
      </c>
      <c r="J436" s="328">
        <f t="shared" si="193"/>
        <v>1.5707793630320031</v>
      </c>
      <c r="K436" s="336">
        <f t="shared" si="213"/>
        <v>11.462894465249079</v>
      </c>
      <c r="L436" s="337">
        <f t="shared" si="214"/>
        <v>1.4834472913281898</v>
      </c>
      <c r="M436" s="325">
        <f t="shared" si="194"/>
        <v>1.0451658199863394</v>
      </c>
      <c r="N436" s="337">
        <f t="shared" si="195"/>
        <v>0.29505559621835675</v>
      </c>
      <c r="O436" s="343">
        <f t="shared" si="196"/>
        <v>1.0327676266445951</v>
      </c>
      <c r="P436" s="691">
        <f t="shared" si="197"/>
        <v>0.25257548476217734</v>
      </c>
      <c r="Q436" s="336">
        <f t="shared" si="212"/>
        <v>15.230506703995758</v>
      </c>
      <c r="R436" s="692">
        <f t="shared" si="198"/>
        <v>0.11990596948084026</v>
      </c>
      <c r="S436" s="329">
        <f t="shared" si="199"/>
        <v>0.98862091883634517</v>
      </c>
      <c r="T436" s="330">
        <f t="shared" si="200"/>
        <v>0.39543342568319328</v>
      </c>
      <c r="U436" s="331">
        <f t="shared" si="201"/>
        <v>-1.1181670408338631</v>
      </c>
      <c r="V436" s="332">
        <f t="shared" si="202"/>
        <v>-122.70556034419191</v>
      </c>
      <c r="W436" s="334">
        <f t="shared" si="203"/>
        <v>57.294439655808091</v>
      </c>
      <c r="Y436" s="307">
        <f t="shared" si="204"/>
        <v>44414</v>
      </c>
      <c r="Z436" s="307">
        <f t="shared" si="205"/>
        <v>1972603396</v>
      </c>
      <c r="AB436" s="333">
        <f t="shared" si="206"/>
        <v>23.099850181373974</v>
      </c>
      <c r="AC436" s="334">
        <f t="shared" si="207"/>
        <v>-21.909199534825305</v>
      </c>
      <c r="AE436" s="333">
        <f t="shared" si="208"/>
        <v>33.135617587379684</v>
      </c>
      <c r="AF436" s="334">
        <f t="shared" si="209"/>
        <v>-108.39776411371945</v>
      </c>
      <c r="AH436">
        <f t="shared" si="210"/>
        <v>0</v>
      </c>
      <c r="AI436">
        <f t="shared" si="215"/>
        <v>0</v>
      </c>
    </row>
    <row r="437" spans="1:35" x14ac:dyDescent="0.25">
      <c r="A437" s="335">
        <v>44668</v>
      </c>
      <c r="B437" s="352">
        <f t="shared" si="211"/>
        <v>44.667999999999999</v>
      </c>
      <c r="C437" s="325">
        <f t="shared" si="186"/>
        <v>54.139596001943687</v>
      </c>
      <c r="D437" s="326">
        <f t="shared" si="187"/>
        <v>1.5523245068306306</v>
      </c>
      <c r="E437" s="326">
        <f t="shared" si="188"/>
        <v>1.0015741316911073</v>
      </c>
      <c r="F437" s="327">
        <f t="shared" si="189"/>
        <v>5.6072623484224246E-2</v>
      </c>
      <c r="G437" s="326">
        <f t="shared" si="190"/>
        <v>1</v>
      </c>
      <c r="H437" s="327">
        <f t="shared" si="191"/>
        <v>0</v>
      </c>
      <c r="I437" s="325">
        <f t="shared" si="192"/>
        <v>59286.310697068671</v>
      </c>
      <c r="J437" s="328">
        <f t="shared" si="193"/>
        <v>1.5707794594947004</v>
      </c>
      <c r="K437" s="336">
        <f t="shared" si="213"/>
        <v>11.527952313360302</v>
      </c>
      <c r="L437" s="337">
        <f t="shared" si="214"/>
        <v>1.4839414913518565</v>
      </c>
      <c r="M437" s="325">
        <f t="shared" si="194"/>
        <v>1.0456725794370219</v>
      </c>
      <c r="N437" s="337">
        <f t="shared" si="195"/>
        <v>0.29664598134592524</v>
      </c>
      <c r="O437" s="343">
        <f t="shared" si="196"/>
        <v>1.033137460152062</v>
      </c>
      <c r="P437" s="691">
        <f t="shared" si="197"/>
        <v>0.2539587950386597</v>
      </c>
      <c r="Q437" s="336">
        <f t="shared" si="212"/>
        <v>15.231720730911409</v>
      </c>
      <c r="R437" s="692">
        <f t="shared" si="198"/>
        <v>0.12058537709807199</v>
      </c>
      <c r="S437" s="329">
        <f t="shared" si="199"/>
        <v>0.98853474128464713</v>
      </c>
      <c r="T437" s="330">
        <f t="shared" si="200"/>
        <v>0.39785844749392785</v>
      </c>
      <c r="U437" s="331">
        <f t="shared" si="201"/>
        <v>-1.1689382931932428</v>
      </c>
      <c r="V437" s="332">
        <f t="shared" si="202"/>
        <v>-122.85480589914572</v>
      </c>
      <c r="W437" s="334">
        <f t="shared" si="203"/>
        <v>57.145194100854283</v>
      </c>
      <c r="Y437" s="307">
        <f t="shared" si="204"/>
        <v>44668</v>
      </c>
      <c r="Z437" s="307">
        <f t="shared" si="205"/>
        <v>1995230224</v>
      </c>
      <c r="AB437" s="333">
        <f t="shared" si="206"/>
        <v>23.095264919364102</v>
      </c>
      <c r="AC437" s="334">
        <f t="shared" si="207"/>
        <v>-21.9720118418212</v>
      </c>
      <c r="AE437" s="333">
        <f t="shared" si="208"/>
        <v>33.08701406812181</v>
      </c>
      <c r="AF437" s="334">
        <f t="shared" si="209"/>
        <v>-108.52452801328654</v>
      </c>
      <c r="AH437">
        <f t="shared" si="210"/>
        <v>0</v>
      </c>
      <c r="AI437">
        <f t="shared" si="215"/>
        <v>0</v>
      </c>
    </row>
    <row r="438" spans="1:35" x14ac:dyDescent="0.25">
      <c r="A438" s="335">
        <v>44928.25</v>
      </c>
      <c r="B438" s="352">
        <f t="shared" si="211"/>
        <v>44.928249999999998</v>
      </c>
      <c r="C438" s="325">
        <f t="shared" si="186"/>
        <v>54.45492323306005</v>
      </c>
      <c r="D438" s="326">
        <f t="shared" si="187"/>
        <v>1.5524314820005001</v>
      </c>
      <c r="E438" s="326">
        <f t="shared" si="188"/>
        <v>1.001592513287163</v>
      </c>
      <c r="F438" s="327">
        <f t="shared" si="189"/>
        <v>5.6398630120363231E-2</v>
      </c>
      <c r="G438" s="326">
        <f t="shared" si="190"/>
        <v>1</v>
      </c>
      <c r="H438" s="327">
        <f t="shared" si="191"/>
        <v>0</v>
      </c>
      <c r="I438" s="325">
        <f t="shared" si="192"/>
        <v>59631.731632739291</v>
      </c>
      <c r="J438" s="328">
        <f t="shared" si="193"/>
        <v>1.5707795571997052</v>
      </c>
      <c r="K438" s="336">
        <f t="shared" si="213"/>
        <v>11.594613881458427</v>
      </c>
      <c r="L438" s="337">
        <f t="shared" si="214"/>
        <v>1.484442099353912</v>
      </c>
      <c r="M438" s="325">
        <f t="shared" si="194"/>
        <v>1.0461945489340463</v>
      </c>
      <c r="N438" s="337">
        <f t="shared" si="195"/>
        <v>0.29827389768381052</v>
      </c>
      <c r="O438" s="343">
        <f t="shared" si="196"/>
        <v>1.0335184429298623</v>
      </c>
      <c r="P438" s="691">
        <f t="shared" si="197"/>
        <v>0.255375113827705</v>
      </c>
      <c r="Q438" s="336">
        <f t="shared" si="212"/>
        <v>15.232971710144453</v>
      </c>
      <c r="R438" s="692">
        <f t="shared" si="198"/>
        <v>0.12128139146214753</v>
      </c>
      <c r="S438" s="329">
        <f t="shared" si="199"/>
        <v>0.98844699608003295</v>
      </c>
      <c r="T438" s="330">
        <f t="shared" si="200"/>
        <v>0.40034590896186489</v>
      </c>
      <c r="U438" s="331">
        <f t="shared" si="201"/>
        <v>-1.2206737370247713</v>
      </c>
      <c r="V438" s="332">
        <f t="shared" si="202"/>
        <v>-123.00810256895929</v>
      </c>
      <c r="W438" s="334">
        <f t="shared" si="203"/>
        <v>56.991897431040712</v>
      </c>
      <c r="Y438" s="307">
        <f t="shared" si="204"/>
        <v>44928.25</v>
      </c>
      <c r="Z438" s="307">
        <f t="shared" si="205"/>
        <v>2018547648.0625</v>
      </c>
      <c r="AB438" s="333">
        <f t="shared" si="206"/>
        <v>23.090552735973048</v>
      </c>
      <c r="AC438" s="334">
        <f t="shared" si="207"/>
        <v>-22.036607449832388</v>
      </c>
      <c r="AE438" s="333">
        <f t="shared" si="208"/>
        <v>33.037501705852137</v>
      </c>
      <c r="AF438" s="334">
        <f t="shared" si="209"/>
        <v>-108.65449947865146</v>
      </c>
      <c r="AH438">
        <f t="shared" si="210"/>
        <v>0</v>
      </c>
      <c r="AI438">
        <f t="shared" si="215"/>
        <v>0</v>
      </c>
    </row>
    <row r="439" spans="1:35" x14ac:dyDescent="0.25">
      <c r="A439" s="335">
        <v>45188.5</v>
      </c>
      <c r="B439" s="352">
        <f t="shared" si="211"/>
        <v>45.188499999999998</v>
      </c>
      <c r="C439" s="325">
        <f t="shared" si="186"/>
        <v>54.770251080166048</v>
      </c>
      <c r="D439" s="326">
        <f t="shared" si="187"/>
        <v>1.5525372253988685</v>
      </c>
      <c r="E439" s="326">
        <f t="shared" si="188"/>
        <v>1.0016110013288841</v>
      </c>
      <c r="F439" s="327">
        <f t="shared" si="189"/>
        <v>5.6724624756087874E-2</v>
      </c>
      <c r="G439" s="326">
        <f t="shared" si="190"/>
        <v>1</v>
      </c>
      <c r="H439" s="327">
        <f t="shared" si="191"/>
        <v>0</v>
      </c>
      <c r="I439" s="325">
        <f t="shared" si="192"/>
        <v>59977.152568410464</v>
      </c>
      <c r="J439" s="328">
        <f t="shared" si="193"/>
        <v>1.5707796537793028</v>
      </c>
      <c r="K439" s="336">
        <f t="shared" si="213"/>
        <v>11.661278322042547</v>
      </c>
      <c r="L439" s="337">
        <f t="shared" si="214"/>
        <v>1.4849369837920094</v>
      </c>
      <c r="M439" s="325">
        <f t="shared" si="194"/>
        <v>1.0467192881939325</v>
      </c>
      <c r="N439" s="337">
        <f t="shared" si="195"/>
        <v>0.29990018612030089</v>
      </c>
      <c r="O439" s="343">
        <f t="shared" si="196"/>
        <v>1.033901497372864</v>
      </c>
      <c r="P439" s="691">
        <f t="shared" si="197"/>
        <v>0.25679038597836473</v>
      </c>
      <c r="Q439" s="336">
        <f t="shared" si="212"/>
        <v>15.234229853278611</v>
      </c>
      <c r="R439" s="692">
        <f t="shared" si="198"/>
        <v>0.12197729290510018</v>
      </c>
      <c r="S439" s="329">
        <f t="shared" si="199"/>
        <v>0.98835982938719913</v>
      </c>
      <c r="T439" s="330">
        <f t="shared" si="200"/>
        <v>0.4028361846745156</v>
      </c>
      <c r="U439" s="331">
        <f t="shared" si="201"/>
        <v>-1.2721242732138589</v>
      </c>
      <c r="V439" s="332">
        <f t="shared" si="202"/>
        <v>-123.16177869313914</v>
      </c>
      <c r="W439" s="334">
        <f t="shared" si="203"/>
        <v>56.838221306860859</v>
      </c>
      <c r="Y439" s="307">
        <f t="shared" si="204"/>
        <v>45188.5</v>
      </c>
      <c r="Z439" s="307">
        <f t="shared" si="205"/>
        <v>2042000532.25</v>
      </c>
      <c r="AB439" s="333">
        <f t="shared" si="206"/>
        <v>23.085826202493873</v>
      </c>
      <c r="AC439" s="334">
        <f t="shared" si="207"/>
        <v>-22.101437657541929</v>
      </c>
      <c r="AE439" s="333">
        <f t="shared" si="208"/>
        <v>32.988276403322857</v>
      </c>
      <c r="AF439" s="334">
        <f t="shared" si="209"/>
        <v>-108.78456230062585</v>
      </c>
      <c r="AH439">
        <f t="shared" si="210"/>
        <v>0</v>
      </c>
      <c r="AI439">
        <f t="shared" si="215"/>
        <v>0</v>
      </c>
    </row>
    <row r="440" spans="1:35" x14ac:dyDescent="0.25">
      <c r="A440" s="335">
        <v>45448.75</v>
      </c>
      <c r="B440" s="352">
        <f t="shared" si="211"/>
        <v>45.448749999999997</v>
      </c>
      <c r="C440" s="325">
        <f t="shared" si="186"/>
        <v>55.085579532683298</v>
      </c>
      <c r="D440" s="326">
        <f t="shared" si="187"/>
        <v>1.5526417581765786</v>
      </c>
      <c r="E440" s="326">
        <f t="shared" si="188"/>
        <v>1.0016295958103771</v>
      </c>
      <c r="F440" s="327">
        <f t="shared" si="189"/>
        <v>5.7050607322776101E-2</v>
      </c>
      <c r="G440" s="326">
        <f t="shared" si="190"/>
        <v>1</v>
      </c>
      <c r="H440" s="327">
        <f t="shared" si="191"/>
        <v>0</v>
      </c>
      <c r="I440" s="325">
        <f t="shared" si="192"/>
        <v>60322.573504082196</v>
      </c>
      <c r="J440" s="328">
        <f t="shared" si="193"/>
        <v>1.5707797492528264</v>
      </c>
      <c r="K440" s="336">
        <f t="shared" si="213"/>
        <v>11.727945586128977</v>
      </c>
      <c r="L440" s="337">
        <f t="shared" si="214"/>
        <v>1.4854262420280959</v>
      </c>
      <c r="M440" s="325">
        <f t="shared" si="194"/>
        <v>1.0472467930531826</v>
      </c>
      <c r="N440" s="337">
        <f t="shared" si="195"/>
        <v>0.30152484050647849</v>
      </c>
      <c r="O440" s="343">
        <f t="shared" si="196"/>
        <v>1.0342866211793047</v>
      </c>
      <c r="P440" s="691">
        <f t="shared" si="197"/>
        <v>0.25820460698712044</v>
      </c>
      <c r="Q440" s="336">
        <f t="shared" si="212"/>
        <v>15.235495158540699</v>
      </c>
      <c r="R440" s="692">
        <f t="shared" si="198"/>
        <v>0.12267308081033255</v>
      </c>
      <c r="S440" s="329">
        <f t="shared" si="199"/>
        <v>0.98827326040886743</v>
      </c>
      <c r="T440" s="330">
        <f t="shared" si="200"/>
        <v>0.40532928637617283</v>
      </c>
      <c r="U440" s="331">
        <f t="shared" si="201"/>
        <v>-1.3232935284390799</v>
      </c>
      <c r="V440" s="332">
        <f t="shared" si="202"/>
        <v>-123.31583045344571</v>
      </c>
      <c r="W440" s="334">
        <f t="shared" si="203"/>
        <v>56.684169546554287</v>
      </c>
      <c r="Y440" s="307">
        <f t="shared" si="204"/>
        <v>45448.75</v>
      </c>
      <c r="Z440" s="307">
        <f t="shared" si="205"/>
        <v>2065588876.5625</v>
      </c>
      <c r="AB440" s="333">
        <f t="shared" si="206"/>
        <v>23.081085238939785</v>
      </c>
      <c r="AC440" s="334">
        <f t="shared" si="207"/>
        <v>-22.166496535321858</v>
      </c>
      <c r="AE440" s="333">
        <f t="shared" si="208"/>
        <v>32.939334649626758</v>
      </c>
      <c r="AF440" s="334">
        <f t="shared" si="209"/>
        <v>-108.91471836789391</v>
      </c>
      <c r="AH440">
        <f t="shared" si="210"/>
        <v>0</v>
      </c>
      <c r="AI440">
        <f t="shared" si="215"/>
        <v>0</v>
      </c>
    </row>
    <row r="441" spans="1:35" x14ac:dyDescent="0.25">
      <c r="A441" s="335">
        <v>45709</v>
      </c>
      <c r="B441" s="352">
        <f t="shared" si="211"/>
        <v>45.709000000000003</v>
      </c>
      <c r="C441" s="325">
        <f t="shared" si="186"/>
        <v>55.400908580274233</v>
      </c>
      <c r="D441" s="326">
        <f t="shared" si="187"/>
        <v>1.5527451010030371</v>
      </c>
      <c r="E441" s="326">
        <f t="shared" si="188"/>
        <v>1.0016482967257139</v>
      </c>
      <c r="F441" s="327">
        <f t="shared" si="189"/>
        <v>5.7376577751821145E-2</v>
      </c>
      <c r="G441" s="326">
        <f t="shared" si="190"/>
        <v>1</v>
      </c>
      <c r="H441" s="327">
        <f t="shared" si="191"/>
        <v>0</v>
      </c>
      <c r="I441" s="325">
        <f t="shared" si="192"/>
        <v>60667.994439754475</v>
      </c>
      <c r="J441" s="328">
        <f t="shared" si="193"/>
        <v>1.5707798436391689</v>
      </c>
      <c r="K441" s="336">
        <f t="shared" si="213"/>
        <v>11.794615625839469</v>
      </c>
      <c r="L441" s="337">
        <f t="shared" si="214"/>
        <v>1.485909969233647</v>
      </c>
      <c r="M441" s="325">
        <f t="shared" si="194"/>
        <v>1.0477770593347615</v>
      </c>
      <c r="N441" s="337">
        <f t="shared" si="195"/>
        <v>0.30314785474028028</v>
      </c>
      <c r="O441" s="343">
        <f t="shared" si="196"/>
        <v>1.0346738120384245</v>
      </c>
      <c r="P441" s="691">
        <f t="shared" si="197"/>
        <v>0.25961777237395928</v>
      </c>
      <c r="Q441" s="336">
        <f t="shared" si="212"/>
        <v>15.236767624148015</v>
      </c>
      <c r="R441" s="692">
        <f t="shared" si="198"/>
        <v>0.1233687545618784</v>
      </c>
      <c r="S441" s="329">
        <f t="shared" si="199"/>
        <v>0.98818730846346448</v>
      </c>
      <c r="T441" s="330">
        <f t="shared" si="200"/>
        <v>0.40782522571059171</v>
      </c>
      <c r="U441" s="331">
        <f t="shared" si="201"/>
        <v>-1.3741850691112159</v>
      </c>
      <c r="V441" s="332">
        <f t="shared" si="202"/>
        <v>-123.47025412514738</v>
      </c>
      <c r="W441" s="334">
        <f t="shared" si="203"/>
        <v>56.529745874852622</v>
      </c>
      <c r="Y441" s="307">
        <f t="shared" si="204"/>
        <v>45709</v>
      </c>
      <c r="Z441" s="307">
        <f t="shared" si="205"/>
        <v>2089312681</v>
      </c>
      <c r="AB441" s="333">
        <f t="shared" si="206"/>
        <v>23.076329769622635</v>
      </c>
      <c r="AC441" s="334">
        <f t="shared" si="207"/>
        <v>-22.231778281708277</v>
      </c>
      <c r="AE441" s="333">
        <f t="shared" si="208"/>
        <v>32.890672989938651</v>
      </c>
      <c r="AF441" s="334">
        <f t="shared" si="209"/>
        <v>-109.04496953579431</v>
      </c>
      <c r="AH441">
        <f t="shared" si="210"/>
        <v>0</v>
      </c>
      <c r="AI441">
        <f t="shared" si="215"/>
        <v>0</v>
      </c>
    </row>
    <row r="442" spans="1:35" x14ac:dyDescent="0.25">
      <c r="A442" s="335">
        <v>45975.25</v>
      </c>
      <c r="B442" s="352">
        <f t="shared" si="211"/>
        <v>45.975250000000003</v>
      </c>
      <c r="C442" s="325">
        <f t="shared" si="186"/>
        <v>55.723508067091544</v>
      </c>
      <c r="D442" s="326">
        <f t="shared" si="187"/>
        <v>1.5528496160179821</v>
      </c>
      <c r="E442" s="326">
        <f t="shared" si="188"/>
        <v>1.0016675389226952</v>
      </c>
      <c r="F442" s="327">
        <f t="shared" si="189"/>
        <v>5.7710050717117704E-2</v>
      </c>
      <c r="G442" s="326">
        <f t="shared" si="190"/>
        <v>1</v>
      </c>
      <c r="H442" s="327">
        <f t="shared" si="191"/>
        <v>0</v>
      </c>
      <c r="I442" s="325">
        <f t="shared" si="192"/>
        <v>61021.378970486032</v>
      </c>
      <c r="J442" s="328">
        <f t="shared" si="193"/>
        <v>1.5707799390957506</v>
      </c>
      <c r="K442" s="336">
        <f t="shared" si="213"/>
        <v>11.862825550532248</v>
      </c>
      <c r="L442" s="337">
        <f t="shared" si="214"/>
        <v>1.4863992218879942</v>
      </c>
      <c r="M442" s="325">
        <f t="shared" si="194"/>
        <v>1.0483224040577896</v>
      </c>
      <c r="N442" s="337">
        <f t="shared" si="195"/>
        <v>0.30480658354737367</v>
      </c>
      <c r="O442" s="343">
        <f t="shared" si="196"/>
        <v>1.0350720661540325</v>
      </c>
      <c r="P442" s="691">
        <f t="shared" si="197"/>
        <v>0.26106242088745041</v>
      </c>
      <c r="Q442" s="336">
        <f t="shared" si="212"/>
        <v>15.238076834137443</v>
      </c>
      <c r="R442" s="692">
        <f t="shared" si="198"/>
        <v>0.12408034812798918</v>
      </c>
      <c r="S442" s="329">
        <f t="shared" si="199"/>
        <v>0.98810003371878863</v>
      </c>
      <c r="T442" s="330">
        <f t="shared" si="200"/>
        <v>0.41038165686871053</v>
      </c>
      <c r="U442" s="331">
        <f t="shared" si="201"/>
        <v>-1.4259661668250267</v>
      </c>
      <c r="V442" s="332">
        <f t="shared" si="202"/>
        <v>-123.62861907947992</v>
      </c>
      <c r="W442" s="334">
        <f t="shared" si="203"/>
        <v>56.371380920520082</v>
      </c>
      <c r="Y442" s="307">
        <f t="shared" si="204"/>
        <v>45975.25</v>
      </c>
      <c r="Z442" s="307">
        <f t="shared" si="205"/>
        <v>2113723612.5625</v>
      </c>
      <c r="AB442" s="333">
        <f t="shared" si="206"/>
        <v>23.071449578298065</v>
      </c>
      <c r="AC442" s="334">
        <f t="shared" si="207"/>
        <v>-22.298789798837671</v>
      </c>
      <c r="AE442" s="333">
        <f t="shared" si="208"/>
        <v>32.841175757062388</v>
      </c>
      <c r="AF442" s="334">
        <f t="shared" si="209"/>
        <v>-109.17832392768153</v>
      </c>
      <c r="AH442">
        <f t="shared" si="210"/>
        <v>0</v>
      </c>
      <c r="AI442">
        <f t="shared" si="215"/>
        <v>0</v>
      </c>
    </row>
    <row r="443" spans="1:35" x14ac:dyDescent="0.25">
      <c r="A443" s="335">
        <v>46241.5</v>
      </c>
      <c r="B443" s="352">
        <f t="shared" si="211"/>
        <v>46.241500000000002</v>
      </c>
      <c r="C443" s="325">
        <f t="shared" si="186"/>
        <v>56.04610815559117</v>
      </c>
      <c r="D443" s="326">
        <f t="shared" si="187"/>
        <v>1.5529529278620788</v>
      </c>
      <c r="E443" s="326">
        <f t="shared" si="188"/>
        <v>1.0016868925050457</v>
      </c>
      <c r="F443" s="327">
        <f t="shared" si="189"/>
        <v>5.804351083343965E-2</v>
      </c>
      <c r="G443" s="326">
        <f t="shared" si="190"/>
        <v>1</v>
      </c>
      <c r="H443" s="327">
        <f t="shared" si="191"/>
        <v>0</v>
      </c>
      <c r="I443" s="325">
        <f t="shared" si="192"/>
        <v>61374.763501218134</v>
      </c>
      <c r="J443" s="328">
        <f t="shared" si="193"/>
        <v>1.5707800334530897</v>
      </c>
      <c r="K443" s="336">
        <f t="shared" si="213"/>
        <v>11.931038282339479</v>
      </c>
      <c r="L443" s="337">
        <f t="shared" si="214"/>
        <v>1.4868828802972756</v>
      </c>
      <c r="M443" s="325">
        <f t="shared" si="194"/>
        <v>1.0488706301114696</v>
      </c>
      <c r="N443" s="337">
        <f t="shared" si="195"/>
        <v>0.30646358293335563</v>
      </c>
      <c r="O443" s="343">
        <f t="shared" si="196"/>
        <v>1.0354724788103911</v>
      </c>
      <c r="P443" s="691">
        <f t="shared" si="197"/>
        <v>0.26250595513321323</v>
      </c>
      <c r="Q443" s="336">
        <f t="shared" si="212"/>
        <v>15.239393534632896</v>
      </c>
      <c r="R443" s="692">
        <f t="shared" si="198"/>
        <v>0.12479182091394883</v>
      </c>
      <c r="S443" s="329">
        <f t="shared" si="199"/>
        <v>0.98801344606165131</v>
      </c>
      <c r="T443" s="330">
        <f t="shared" si="200"/>
        <v>0.41294108233719057</v>
      </c>
      <c r="U443" s="331">
        <f t="shared" si="201"/>
        <v>-1.4774639616512202</v>
      </c>
      <c r="V443" s="332">
        <f t="shared" si="202"/>
        <v>-123.78736569250384</v>
      </c>
      <c r="W443" s="334">
        <f t="shared" si="203"/>
        <v>56.21263430749616</v>
      </c>
      <c r="Y443" s="307">
        <f t="shared" si="204"/>
        <v>46241.5</v>
      </c>
      <c r="Z443" s="307">
        <f t="shared" si="205"/>
        <v>2138276322.25</v>
      </c>
      <c r="AB443" s="333">
        <f t="shared" si="206"/>
        <v>23.066554057553684</v>
      </c>
      <c r="AC443" s="334">
        <f t="shared" si="207"/>
        <v>-22.366022691086499</v>
      </c>
      <c r="AE443" s="333">
        <f t="shared" si="208"/>
        <v>32.791964540967669</v>
      </c>
      <c r="AF443" s="334">
        <f t="shared" si="209"/>
        <v>-109.3117816804955</v>
      </c>
      <c r="AH443">
        <f t="shared" si="210"/>
        <v>0</v>
      </c>
      <c r="AI443">
        <f t="shared" si="215"/>
        <v>0</v>
      </c>
    </row>
    <row r="444" spans="1:35" x14ac:dyDescent="0.25">
      <c r="A444" s="335">
        <v>46507.75</v>
      </c>
      <c r="B444" s="352">
        <f t="shared" si="211"/>
        <v>46.507750000000001</v>
      </c>
      <c r="C444" s="325">
        <f t="shared" si="186"/>
        <v>56.36870883544276</v>
      </c>
      <c r="D444" s="326">
        <f t="shared" si="187"/>
        <v>1.5530550571905068</v>
      </c>
      <c r="E444" s="326">
        <f t="shared" si="188"/>
        <v>1.0017063574663094</v>
      </c>
      <c r="F444" s="327">
        <f t="shared" si="189"/>
        <v>5.8376958027375241E-2</v>
      </c>
      <c r="G444" s="326">
        <f t="shared" si="190"/>
        <v>1</v>
      </c>
      <c r="H444" s="327">
        <f t="shared" si="191"/>
        <v>0</v>
      </c>
      <c r="I444" s="325">
        <f t="shared" si="192"/>
        <v>61728.148031950783</v>
      </c>
      <c r="J444" s="328">
        <f t="shared" si="193"/>
        <v>1.5707801267300652</v>
      </c>
      <c r="K444" s="336">
        <f t="shared" si="213"/>
        <v>11.999253773387951</v>
      </c>
      <c r="L444" s="337">
        <f t="shared" si="214"/>
        <v>1.4873610396427357</v>
      </c>
      <c r="M444" s="325">
        <f t="shared" si="194"/>
        <v>1.0494217329801128</v>
      </c>
      <c r="N444" s="337">
        <f t="shared" si="195"/>
        <v>0.30811884651669824</v>
      </c>
      <c r="O444" s="343">
        <f t="shared" si="196"/>
        <v>1.035875047504379</v>
      </c>
      <c r="P444" s="691">
        <f t="shared" si="197"/>
        <v>0.26394837039084623</v>
      </c>
      <c r="Q444" s="336">
        <f t="shared" si="212"/>
        <v>15.240717723694718</v>
      </c>
      <c r="R444" s="692">
        <f t="shared" si="198"/>
        <v>0.12550317226226917</v>
      </c>
      <c r="S444" s="329">
        <f t="shared" si="199"/>
        <v>0.98792756655315983</v>
      </c>
      <c r="T444" s="330">
        <f t="shared" si="200"/>
        <v>0.41550351424955551</v>
      </c>
      <c r="U444" s="331">
        <f t="shared" si="201"/>
        <v>-1.5286820857997887</v>
      </c>
      <c r="V444" s="332">
        <f t="shared" si="202"/>
        <v>-123.94649026183095</v>
      </c>
      <c r="W444" s="334">
        <f t="shared" si="203"/>
        <v>56.053509738169055</v>
      </c>
      <c r="Y444" s="307">
        <f t="shared" si="204"/>
        <v>46507.75</v>
      </c>
      <c r="Z444" s="307">
        <f t="shared" si="205"/>
        <v>2162970810.0625</v>
      </c>
      <c r="AB444" s="333">
        <f t="shared" si="206"/>
        <v>23.061643139404566</v>
      </c>
      <c r="AC444" s="334">
        <f t="shared" si="207"/>
        <v>-22.433471140418213</v>
      </c>
      <c r="AE444" s="333">
        <f t="shared" si="208"/>
        <v>32.743035816225515</v>
      </c>
      <c r="AF444" s="334">
        <f t="shared" si="209"/>
        <v>-109.44534467709671</v>
      </c>
      <c r="AH444">
        <f t="shared" si="210"/>
        <v>0</v>
      </c>
      <c r="AI444">
        <f t="shared" si="215"/>
        <v>0</v>
      </c>
    </row>
    <row r="445" spans="1:35" x14ac:dyDescent="0.25">
      <c r="A445" s="335">
        <v>46774</v>
      </c>
      <c r="B445" s="352">
        <f t="shared" si="211"/>
        <v>46.774000000000001</v>
      </c>
      <c r="C445" s="325">
        <f t="shared" si="186"/>
        <v>56.691310096551121</v>
      </c>
      <c r="D445" s="326">
        <f t="shared" si="187"/>
        <v>1.5531560241883935</v>
      </c>
      <c r="E445" s="326">
        <f t="shared" si="188"/>
        <v>1.0017259337999933</v>
      </c>
      <c r="F445" s="327">
        <f t="shared" si="189"/>
        <v>5.871039222552997E-2</v>
      </c>
      <c r="G445" s="326">
        <f t="shared" si="190"/>
        <v>1</v>
      </c>
      <c r="H445" s="327">
        <f t="shared" si="191"/>
        <v>0</v>
      </c>
      <c r="I445" s="325">
        <f t="shared" si="192"/>
        <v>62081.532562683962</v>
      </c>
      <c r="J445" s="328">
        <f t="shared" si="193"/>
        <v>1.5707802189451261</v>
      </c>
      <c r="K445" s="336">
        <f t="shared" si="213"/>
        <v>12.067471976885013</v>
      </c>
      <c r="L445" s="337">
        <f t="shared" si="214"/>
        <v>1.4878337929635459</v>
      </c>
      <c r="M445" s="325">
        <f t="shared" si="194"/>
        <v>1.0499757081338401</v>
      </c>
      <c r="N445" s="337">
        <f t="shared" si="195"/>
        <v>0.30977236796728391</v>
      </c>
      <c r="O445" s="343">
        <f t="shared" si="196"/>
        <v>1.0362797697232966</v>
      </c>
      <c r="P445" s="691">
        <f t="shared" si="197"/>
        <v>0.2653896619658882</v>
      </c>
      <c r="Q445" s="336">
        <f t="shared" si="212"/>
        <v>15.242049399372899</v>
      </c>
      <c r="R445" s="692">
        <f t="shared" si="198"/>
        <v>0.12621440151616717</v>
      </c>
      <c r="S445" s="329">
        <f t="shared" si="199"/>
        <v>0.98784241638083548</v>
      </c>
      <c r="T445" s="330">
        <f t="shared" si="200"/>
        <v>0.41806896462403886</v>
      </c>
      <c r="U445" s="331">
        <f t="shared" si="201"/>
        <v>-1.579624111544335</v>
      </c>
      <c r="V445" s="332">
        <f t="shared" si="202"/>
        <v>-124.10598917574121</v>
      </c>
      <c r="W445" s="334">
        <f t="shared" si="203"/>
        <v>55.894010824258785</v>
      </c>
      <c r="Y445" s="307">
        <f t="shared" si="204"/>
        <v>46774</v>
      </c>
      <c r="Z445" s="307">
        <f t="shared" si="205"/>
        <v>2187807076</v>
      </c>
      <c r="AB445" s="333">
        <f t="shared" si="206"/>
        <v>23.05671675998077</v>
      </c>
      <c r="AC445" s="334">
        <f t="shared" si="207"/>
        <v>-22.501129454449014</v>
      </c>
      <c r="AE445" s="333">
        <f t="shared" si="208"/>
        <v>32.694386113346177</v>
      </c>
      <c r="AF445" s="334">
        <f t="shared" si="209"/>
        <v>-109.57901476680702</v>
      </c>
      <c r="AH445">
        <f t="shared" si="210"/>
        <v>0</v>
      </c>
      <c r="AI445">
        <f t="shared" si="215"/>
        <v>0</v>
      </c>
    </row>
    <row r="446" spans="1:35" x14ac:dyDescent="0.25">
      <c r="A446" s="335">
        <v>47046.25</v>
      </c>
      <c r="B446" s="352">
        <f t="shared" si="211"/>
        <v>47.046250000000001</v>
      </c>
      <c r="C446" s="325">
        <f t="shared" si="186"/>
        <v>57.021181836008083</v>
      </c>
      <c r="D446" s="326">
        <f t="shared" si="187"/>
        <v>1.5532580851340587</v>
      </c>
      <c r="E446" s="326">
        <f t="shared" si="188"/>
        <v>1.0017460664490911</v>
      </c>
      <c r="F446" s="327">
        <f t="shared" si="189"/>
        <v>5.9051326918963122E-2</v>
      </c>
      <c r="G446" s="326">
        <f t="shared" si="190"/>
        <v>1</v>
      </c>
      <c r="H446" s="327">
        <f t="shared" si="191"/>
        <v>0</v>
      </c>
      <c r="I446" s="325">
        <f t="shared" si="192"/>
        <v>62442.880688476449</v>
      </c>
      <c r="J446" s="328">
        <f t="shared" si="193"/>
        <v>1.5707803121589763</v>
      </c>
      <c r="K446" s="336">
        <f t="shared" si="213"/>
        <v>12.137230249186448</v>
      </c>
      <c r="L446" s="337">
        <f t="shared" si="214"/>
        <v>1.4883117044932617</v>
      </c>
      <c r="M446" s="325">
        <f t="shared" si="194"/>
        <v>1.0505451326063937</v>
      </c>
      <c r="N446" s="337">
        <f t="shared" si="195"/>
        <v>0.31146134386798913</v>
      </c>
      <c r="O446" s="343">
        <f t="shared" si="196"/>
        <v>1.0366958366821273</v>
      </c>
      <c r="P446" s="691">
        <f t="shared" si="197"/>
        <v>0.26686226653594181</v>
      </c>
      <c r="Q446" s="336">
        <f t="shared" si="212"/>
        <v>15.243418824187492</v>
      </c>
      <c r="R446" s="692">
        <f t="shared" si="198"/>
        <v>0.12694153153549134</v>
      </c>
      <c r="S446" s="329">
        <f t="shared" si="199"/>
        <v>0.98775612371237687</v>
      </c>
      <c r="T446" s="330">
        <f t="shared" si="200"/>
        <v>0.42069536162449445</v>
      </c>
      <c r="U446" s="331">
        <f t="shared" si="201"/>
        <v>-1.6314322855757781</v>
      </c>
      <c r="V446" s="332">
        <f t="shared" si="202"/>
        <v>-124.26946585424172</v>
      </c>
      <c r="W446" s="334">
        <f t="shared" si="203"/>
        <v>55.730534145758284</v>
      </c>
      <c r="Y446" s="307">
        <f t="shared" si="204"/>
        <v>47046.25</v>
      </c>
      <c r="Z446" s="307">
        <f t="shared" si="205"/>
        <v>2213349639.0625</v>
      </c>
      <c r="AB446" s="333">
        <f t="shared" si="206"/>
        <v>23.051663313347419</v>
      </c>
      <c r="AC446" s="334">
        <f t="shared" si="207"/>
        <v>-22.57052367246488</v>
      </c>
      <c r="AE446" s="333">
        <f t="shared" si="208"/>
        <v>32.644925046218844</v>
      </c>
      <c r="AF446" s="334">
        <f t="shared" si="209"/>
        <v>-109.71580977283168</v>
      </c>
      <c r="AH446">
        <f t="shared" si="210"/>
        <v>0</v>
      </c>
      <c r="AI446">
        <f t="shared" si="215"/>
        <v>0</v>
      </c>
    </row>
    <row r="447" spans="1:35" x14ac:dyDescent="0.25">
      <c r="A447" s="335">
        <v>47318.5</v>
      </c>
      <c r="B447" s="352">
        <f t="shared" si="211"/>
        <v>47.3185</v>
      </c>
      <c r="C447" s="325">
        <f t="shared" si="186"/>
        <v>57.351054162589911</v>
      </c>
      <c r="D447" s="326">
        <f t="shared" si="187"/>
        <v>1.5533589720105725</v>
      </c>
      <c r="E447" s="326">
        <f t="shared" si="188"/>
        <v>1.0017663155329228</v>
      </c>
      <c r="F447" s="327">
        <f t="shared" si="189"/>
        <v>5.9392247869136931E-2</v>
      </c>
      <c r="G447" s="326">
        <f t="shared" si="190"/>
        <v>1</v>
      </c>
      <c r="H447" s="327">
        <f t="shared" si="191"/>
        <v>0</v>
      </c>
      <c r="I447" s="325">
        <f t="shared" si="192"/>
        <v>62804.228814269482</v>
      </c>
      <c r="J447" s="328">
        <f t="shared" si="193"/>
        <v>1.5707804043002029</v>
      </c>
      <c r="K447" s="336">
        <f t="shared" si="213"/>
        <v>12.206991261940594</v>
      </c>
      <c r="L447" s="337">
        <f t="shared" si="214"/>
        <v>1.4887841537531596</v>
      </c>
      <c r="M447" s="325">
        <f t="shared" si="194"/>
        <v>1.0511175506536468</v>
      </c>
      <c r="N447" s="337">
        <f t="shared" si="195"/>
        <v>0.31314848501069992</v>
      </c>
      <c r="O447" s="343">
        <f t="shared" si="196"/>
        <v>1.0371141499758056</v>
      </c>
      <c r="P447" s="691">
        <f t="shared" si="197"/>
        <v>0.26833368636364074</v>
      </c>
      <c r="Q447" s="336">
        <f t="shared" si="212"/>
        <v>15.244796072688578</v>
      </c>
      <c r="R447" s="692">
        <f t="shared" si="198"/>
        <v>0.12766853250890103</v>
      </c>
      <c r="S447" s="329">
        <f t="shared" si="199"/>
        <v>0.98767063883168393</v>
      </c>
      <c r="T447" s="330">
        <f t="shared" si="200"/>
        <v>0.42332493970388363</v>
      </c>
      <c r="U447" s="331">
        <f t="shared" si="201"/>
        <v>-1.6829591457716231</v>
      </c>
      <c r="V447" s="332">
        <f t="shared" si="202"/>
        <v>-124.43332657997466</v>
      </c>
      <c r="W447" s="334">
        <f t="shared" si="203"/>
        <v>55.566673420025339</v>
      </c>
      <c r="Y447" s="307">
        <f t="shared" si="204"/>
        <v>47318.5</v>
      </c>
      <c r="Z447" s="307">
        <f t="shared" si="205"/>
        <v>2239040442.25</v>
      </c>
      <c r="AB447" s="333">
        <f t="shared" si="206"/>
        <v>23.046593578262655</v>
      </c>
      <c r="AC447" s="334">
        <f t="shared" si="207"/>
        <v>-22.640125670141781</v>
      </c>
      <c r="AE447" s="333">
        <f t="shared" si="208"/>
        <v>32.595748554773429</v>
      </c>
      <c r="AF447" s="334">
        <f t="shared" si="209"/>
        <v>-109.85272055947719</v>
      </c>
      <c r="AH447">
        <f t="shared" si="210"/>
        <v>0</v>
      </c>
      <c r="AI447">
        <f t="shared" si="215"/>
        <v>0</v>
      </c>
    </row>
    <row r="448" spans="1:35" x14ac:dyDescent="0.25">
      <c r="A448" s="335">
        <v>47590.75</v>
      </c>
      <c r="B448" s="352">
        <f t="shared" si="211"/>
        <v>47.59075</v>
      </c>
      <c r="C448" s="325">
        <f t="shared" si="186"/>
        <v>57.680927066223468</v>
      </c>
      <c r="D448" s="326">
        <f t="shared" si="187"/>
        <v>1.5534587049591038</v>
      </c>
      <c r="E448" s="326">
        <f t="shared" si="188"/>
        <v>1.0017866810444276</v>
      </c>
      <c r="F448" s="327">
        <f t="shared" si="189"/>
        <v>5.9733154997638697E-2</v>
      </c>
      <c r="G448" s="326">
        <f t="shared" si="190"/>
        <v>1</v>
      </c>
      <c r="H448" s="327">
        <f t="shared" si="191"/>
        <v>0</v>
      </c>
      <c r="I448" s="325">
        <f t="shared" si="192"/>
        <v>63165.576940063038</v>
      </c>
      <c r="J448" s="328">
        <f t="shared" si="193"/>
        <v>1.570780495387214</v>
      </c>
      <c r="K448" s="336">
        <f t="shared" si="213"/>
        <v>12.276754968430692</v>
      </c>
      <c r="L448" s="337">
        <f t="shared" si="214"/>
        <v>1.4892512336499537</v>
      </c>
      <c r="M448" s="325">
        <f t="shared" si="194"/>
        <v>1.0516929573875486</v>
      </c>
      <c r="N448" s="337">
        <f t="shared" si="195"/>
        <v>0.31483378479445345</v>
      </c>
      <c r="O448" s="343">
        <f t="shared" si="196"/>
        <v>1.0375347068872993</v>
      </c>
      <c r="P448" s="691">
        <f t="shared" si="197"/>
        <v>0.26980391651437341</v>
      </c>
      <c r="Q448" s="336">
        <f t="shared" si="212"/>
        <v>15.246181142757827</v>
      </c>
      <c r="R448" s="692">
        <f t="shared" si="198"/>
        <v>0.1283954037365119</v>
      </c>
      <c r="S448" s="329">
        <f t="shared" si="199"/>
        <v>0.98758598480055015</v>
      </c>
      <c r="T448" s="330">
        <f t="shared" si="200"/>
        <v>0.42595771132872756</v>
      </c>
      <c r="U448" s="331">
        <f t="shared" si="201"/>
        <v>-1.7342083261496042</v>
      </c>
      <c r="V448" s="332">
        <f t="shared" si="202"/>
        <v>-124.59756776803255</v>
      </c>
      <c r="W448" s="334">
        <f t="shared" si="203"/>
        <v>55.402432231967452</v>
      </c>
      <c r="Y448" s="307">
        <f t="shared" si="204"/>
        <v>47590.75</v>
      </c>
      <c r="Z448" s="307">
        <f t="shared" si="205"/>
        <v>2264879485.5625</v>
      </c>
      <c r="AB448" s="333">
        <f t="shared" si="206"/>
        <v>23.041507498919152</v>
      </c>
      <c r="AC448" s="334">
        <f t="shared" si="207"/>
        <v>-22.709929747164541</v>
      </c>
      <c r="AE448" s="333">
        <f t="shared" si="208"/>
        <v>32.546853102776417</v>
      </c>
      <c r="AF448" s="334">
        <f t="shared" si="209"/>
        <v>-109.98974899951928</v>
      </c>
      <c r="AH448">
        <f t="shared" si="210"/>
        <v>0</v>
      </c>
      <c r="AI448">
        <f t="shared" si="215"/>
        <v>0</v>
      </c>
    </row>
    <row r="449" spans="1:35" x14ac:dyDescent="0.25">
      <c r="A449" s="335">
        <v>47863</v>
      </c>
      <c r="B449" s="352">
        <f t="shared" si="211"/>
        <v>47.863</v>
      </c>
      <c r="C449" s="325">
        <f t="shared" si="186"/>
        <v>58.010800537064696</v>
      </c>
      <c r="D449" s="326">
        <f t="shared" si="187"/>
        <v>1.5535573036627905</v>
      </c>
      <c r="E449" s="326">
        <f t="shared" si="188"/>
        <v>1.0018071629765051</v>
      </c>
      <c r="F449" s="327">
        <f t="shared" si="189"/>
        <v>6.0074048226074907E-2</v>
      </c>
      <c r="G449" s="326">
        <f t="shared" si="190"/>
        <v>1</v>
      </c>
      <c r="H449" s="327">
        <f t="shared" si="191"/>
        <v>0</v>
      </c>
      <c r="I449" s="325">
        <f t="shared" si="192"/>
        <v>63526.925065857111</v>
      </c>
      <c r="J449" s="328">
        <f t="shared" si="193"/>
        <v>1.5707805854379995</v>
      </c>
      <c r="K449" s="336">
        <f t="shared" si="213"/>
        <v>12.346521322994077</v>
      </c>
      <c r="L449" s="337">
        <f t="shared" si="214"/>
        <v>1.4897130349999026</v>
      </c>
      <c r="M449" s="325">
        <f t="shared" si="194"/>
        <v>1.0522713479052468</v>
      </c>
      <c r="N449" s="337">
        <f t="shared" si="195"/>
        <v>0.31651723667452664</v>
      </c>
      <c r="O449" s="343">
        <f t="shared" si="196"/>
        <v>1.0379575046894187</v>
      </c>
      <c r="P449" s="691">
        <f t="shared" si="197"/>
        <v>0.27127295208207691</v>
      </c>
      <c r="Q449" s="336">
        <f t="shared" si="212"/>
        <v>15.247574032265652</v>
      </c>
      <c r="R449" s="692">
        <f t="shared" si="198"/>
        <v>0.12912214451922538</v>
      </c>
      <c r="S449" s="329">
        <f t="shared" si="199"/>
        <v>0.98750218481848939</v>
      </c>
      <c r="T449" s="330">
        <f t="shared" si="200"/>
        <v>0.42859368883359666</v>
      </c>
      <c r="U449" s="331">
        <f t="shared" si="201"/>
        <v>-1.7851834012404244</v>
      </c>
      <c r="V449" s="332">
        <f t="shared" si="202"/>
        <v>-124.76218592108532</v>
      </c>
      <c r="W449" s="334">
        <f t="shared" si="203"/>
        <v>55.237814078914681</v>
      </c>
      <c r="Y449" s="307">
        <f t="shared" si="204"/>
        <v>47863</v>
      </c>
      <c r="Z449" s="307">
        <f t="shared" si="205"/>
        <v>2290866769</v>
      </c>
      <c r="AB449" s="333">
        <f t="shared" si="206"/>
        <v>23.036405023440064</v>
      </c>
      <c r="AC449" s="334">
        <f t="shared" si="207"/>
        <v>-22.779930326190513</v>
      </c>
      <c r="AE449" s="333">
        <f t="shared" si="208"/>
        <v>32.498235209673062</v>
      </c>
      <c r="AF449" s="334">
        <f t="shared" si="209"/>
        <v>-110.12689693192915</v>
      </c>
      <c r="AH449">
        <f t="shared" si="210"/>
        <v>0</v>
      </c>
      <c r="AI449">
        <f t="shared" si="215"/>
        <v>0</v>
      </c>
    </row>
    <row r="450" spans="1:35" x14ac:dyDescent="0.25">
      <c r="A450" s="335">
        <v>48141.75</v>
      </c>
      <c r="B450" s="352">
        <f t="shared" si="211"/>
        <v>48.141750000000002</v>
      </c>
      <c r="C450" s="325">
        <f t="shared" si="186"/>
        <v>58.348550352522373</v>
      </c>
      <c r="D450" s="326">
        <f t="shared" si="187"/>
        <v>1.553657101321811</v>
      </c>
      <c r="E450" s="326">
        <f t="shared" si="188"/>
        <v>1.0018282545326902</v>
      </c>
      <c r="F450" s="327">
        <f t="shared" si="189"/>
        <v>6.0423065835794036E-2</v>
      </c>
      <c r="G450" s="326">
        <f t="shared" si="190"/>
        <v>1</v>
      </c>
      <c r="H450" s="327">
        <f t="shared" si="191"/>
        <v>0</v>
      </c>
      <c r="I450" s="325">
        <f t="shared" si="192"/>
        <v>63896.900419632097</v>
      </c>
      <c r="J450" s="328">
        <f t="shared" si="193"/>
        <v>1.5707806765834862</v>
      </c>
      <c r="K450" s="336">
        <f t="shared" si="213"/>
        <v>12.417956054332107</v>
      </c>
      <c r="L450" s="337">
        <f t="shared" si="214"/>
        <v>1.4901804855286789</v>
      </c>
      <c r="M450" s="325">
        <f t="shared" si="194"/>
        <v>1.0528666339188</v>
      </c>
      <c r="N450" s="337">
        <f t="shared" si="195"/>
        <v>0.31823895977689554</v>
      </c>
      <c r="O450" s="343">
        <f t="shared" si="196"/>
        <v>1.0383927157604695</v>
      </c>
      <c r="P450" s="691">
        <f t="shared" si="197"/>
        <v>0.27277581824429858</v>
      </c>
      <c r="Q450" s="336">
        <f t="shared" si="212"/>
        <v>15.249008276636708</v>
      </c>
      <c r="R450" s="692">
        <f t="shared" si="198"/>
        <v>0.12986610043861946</v>
      </c>
      <c r="S450" s="329">
        <f t="shared" si="199"/>
        <v>0.9874172933533002</v>
      </c>
      <c r="T450" s="330">
        <f t="shared" si="200"/>
        <v>0.43129593495012897</v>
      </c>
      <c r="U450" s="331">
        <f t="shared" si="201"/>
        <v>-1.8370951842836325</v>
      </c>
      <c r="V450" s="332">
        <f t="shared" si="202"/>
        <v>-124.93112136075008</v>
      </c>
      <c r="W450" s="334">
        <f t="shared" si="203"/>
        <v>55.068878639249917</v>
      </c>
      <c r="Y450" s="307">
        <f t="shared" si="204"/>
        <v>48141.75</v>
      </c>
      <c r="Z450" s="307">
        <f t="shared" si="205"/>
        <v>2317628093.0625</v>
      </c>
      <c r="AB450" s="333">
        <f t="shared" si="206"/>
        <v>23.031163687589782</v>
      </c>
      <c r="AC450" s="334">
        <f t="shared" si="207"/>
        <v>-22.851800073350219</v>
      </c>
      <c r="AE450" s="333">
        <f t="shared" si="208"/>
        <v>32.448740559159546</v>
      </c>
      <c r="AF450" s="334">
        <f t="shared" si="209"/>
        <v>-110.26744497842718</v>
      </c>
      <c r="AH450">
        <f t="shared" si="210"/>
        <v>0</v>
      </c>
      <c r="AI450">
        <f t="shared" si="215"/>
        <v>0</v>
      </c>
    </row>
    <row r="451" spans="1:35" x14ac:dyDescent="0.25">
      <c r="A451" s="335">
        <v>48420.5</v>
      </c>
      <c r="B451" s="352">
        <f t="shared" si="211"/>
        <v>48.420499999999997</v>
      </c>
      <c r="C451" s="325">
        <f t="shared" si="186"/>
        <v>58.686300742417714</v>
      </c>
      <c r="D451" s="326">
        <f t="shared" si="187"/>
        <v>1.5537557502742589</v>
      </c>
      <c r="E451" s="326">
        <f t="shared" si="188"/>
        <v>1.0018494681197256</v>
      </c>
      <c r="F451" s="327">
        <f t="shared" si="189"/>
        <v>6.0772068707530026E-2</v>
      </c>
      <c r="G451" s="326">
        <f t="shared" si="190"/>
        <v>1</v>
      </c>
      <c r="H451" s="327">
        <f t="shared" si="191"/>
        <v>0</v>
      </c>
      <c r="I451" s="325">
        <f t="shared" si="192"/>
        <v>64266.875773407621</v>
      </c>
      <c r="J451" s="328">
        <f t="shared" si="193"/>
        <v>1.5707807666795495</v>
      </c>
      <c r="K451" s="336">
        <f t="shared" si="213"/>
        <v>12.489393468077493</v>
      </c>
      <c r="L451" s="337">
        <f t="shared" si="214"/>
        <v>1.4906425886669097</v>
      </c>
      <c r="M451" s="325">
        <f t="shared" si="194"/>
        <v>1.0534650374443288</v>
      </c>
      <c r="N451" s="337">
        <f t="shared" si="195"/>
        <v>0.31995873197931929</v>
      </c>
      <c r="O451" s="343">
        <f t="shared" si="196"/>
        <v>1.0388302701840653</v>
      </c>
      <c r="P451" s="691">
        <f t="shared" si="197"/>
        <v>0.27427742178378645</v>
      </c>
      <c r="Q451" s="336">
        <f t="shared" si="212"/>
        <v>15.250450713729196</v>
      </c>
      <c r="R451" s="692">
        <f t="shared" si="198"/>
        <v>0.13060991812927084</v>
      </c>
      <c r="S451" s="329">
        <f t="shared" si="199"/>
        <v>0.98733334686850149</v>
      </c>
      <c r="T451" s="330">
        <f t="shared" si="200"/>
        <v>0.43400156759510322</v>
      </c>
      <c r="U451" s="331">
        <f t="shared" si="201"/>
        <v>-1.8887270161651271</v>
      </c>
      <c r="V451" s="332">
        <f t="shared" si="202"/>
        <v>-125.10044483006722</v>
      </c>
      <c r="W451" s="334">
        <f t="shared" si="203"/>
        <v>54.899555169932782</v>
      </c>
      <c r="Y451" s="307">
        <f t="shared" si="204"/>
        <v>48420.5</v>
      </c>
      <c r="Z451" s="307">
        <f t="shared" si="205"/>
        <v>2344544820.25</v>
      </c>
      <c r="AB451" s="333">
        <f t="shared" si="206"/>
        <v>23.025905065341551</v>
      </c>
      <c r="AC451" s="334">
        <f t="shared" si="207"/>
        <v>-22.923864364959165</v>
      </c>
      <c r="AE451" s="333">
        <f t="shared" si="208"/>
        <v>32.39952966799634</v>
      </c>
      <c r="AF451" s="334">
        <f t="shared" si="209"/>
        <v>-110.40812208709801</v>
      </c>
      <c r="AH451">
        <f t="shared" si="210"/>
        <v>0</v>
      </c>
      <c r="AI451">
        <f t="shared" si="215"/>
        <v>0</v>
      </c>
    </row>
    <row r="452" spans="1:35" x14ac:dyDescent="0.25">
      <c r="A452" s="335">
        <v>48699.25</v>
      </c>
      <c r="B452" s="352">
        <f t="shared" si="211"/>
        <v>48.699249999999999</v>
      </c>
      <c r="C452" s="325">
        <f t="shared" si="186"/>
        <v>59.024051696889472</v>
      </c>
      <c r="D452" s="326">
        <f t="shared" si="187"/>
        <v>1.5538532702377896</v>
      </c>
      <c r="E452" s="326">
        <f t="shared" si="188"/>
        <v>1.0018708037298603</v>
      </c>
      <c r="F452" s="327">
        <f t="shared" si="189"/>
        <v>6.1121056757202585E-2</v>
      </c>
      <c r="G452" s="326">
        <f t="shared" si="190"/>
        <v>1</v>
      </c>
      <c r="H452" s="327">
        <f t="shared" si="191"/>
        <v>0</v>
      </c>
      <c r="I452" s="325">
        <f t="shared" si="192"/>
        <v>64636.851127183654</v>
      </c>
      <c r="J452" s="328">
        <f t="shared" si="193"/>
        <v>1.5707808557442096</v>
      </c>
      <c r="K452" s="336">
        <f t="shared" si="213"/>
        <v>12.560833518463143</v>
      </c>
      <c r="L452" s="337">
        <f t="shared" si="214"/>
        <v>1.4910994354557845</v>
      </c>
      <c r="M452" s="325">
        <f t="shared" si="194"/>
        <v>1.054066553172311</v>
      </c>
      <c r="N452" s="337">
        <f t="shared" si="195"/>
        <v>0.32167654644026822</v>
      </c>
      <c r="O452" s="343">
        <f t="shared" si="196"/>
        <v>1.0392701650004048</v>
      </c>
      <c r="P452" s="691">
        <f t="shared" si="197"/>
        <v>0.27577775752793304</v>
      </c>
      <c r="Q452" s="336">
        <f t="shared" si="212"/>
        <v>15.251901341220735</v>
      </c>
      <c r="R452" s="692">
        <f t="shared" si="198"/>
        <v>0.13135359684338851</v>
      </c>
      <c r="S452" s="329">
        <f t="shared" si="199"/>
        <v>0.98725037071308075</v>
      </c>
      <c r="T452" s="330">
        <f t="shared" si="200"/>
        <v>0.43671059956783398</v>
      </c>
      <c r="U452" s="331">
        <f t="shared" si="201"/>
        <v>-1.9400825489032678</v>
      </c>
      <c r="V452" s="332">
        <f t="shared" si="202"/>
        <v>-125.27015284322832</v>
      </c>
      <c r="W452" s="334">
        <f t="shared" si="203"/>
        <v>54.729847156771683</v>
      </c>
      <c r="Y452" s="307">
        <f t="shared" si="204"/>
        <v>48699.25</v>
      </c>
      <c r="Z452" s="307">
        <f t="shared" si="205"/>
        <v>2371616950.5625</v>
      </c>
      <c r="AB452" s="333">
        <f t="shared" si="206"/>
        <v>23.020629112985652</v>
      </c>
      <c r="AC452" s="334">
        <f t="shared" si="207"/>
        <v>-22.996117593783136</v>
      </c>
      <c r="AE452" s="333">
        <f t="shared" si="208"/>
        <v>32.350598973449358</v>
      </c>
      <c r="AF452" s="334">
        <f t="shared" si="209"/>
        <v>-110.54893012584421</v>
      </c>
      <c r="AH452">
        <f t="shared" si="210"/>
        <v>0</v>
      </c>
      <c r="AI452">
        <f t="shared" si="215"/>
        <v>0</v>
      </c>
    </row>
    <row r="453" spans="1:35" x14ac:dyDescent="0.25">
      <c r="A453" s="335">
        <v>48978</v>
      </c>
      <c r="B453" s="352">
        <f t="shared" si="211"/>
        <v>48.978000000000002</v>
      </c>
      <c r="C453" s="325">
        <f t="shared" si="186"/>
        <v>59.361803206300856</v>
      </c>
      <c r="D453" s="326">
        <f t="shared" si="187"/>
        <v>1.5539496804813946</v>
      </c>
      <c r="E453" s="326">
        <f t="shared" si="188"/>
        <v>1.0018922613552983</v>
      </c>
      <c r="F453" s="327">
        <f t="shared" si="189"/>
        <v>6.1470029900752995E-2</v>
      </c>
      <c r="G453" s="326">
        <f t="shared" si="190"/>
        <v>1</v>
      </c>
      <c r="H453" s="327">
        <f t="shared" si="191"/>
        <v>0</v>
      </c>
      <c r="I453" s="325">
        <f t="shared" si="192"/>
        <v>65006.826480960197</v>
      </c>
      <c r="J453" s="328">
        <f t="shared" si="193"/>
        <v>1.5707809437950768</v>
      </c>
      <c r="K453" s="336">
        <f t="shared" si="213"/>
        <v>12.632276160755625</v>
      </c>
      <c r="L453" s="337">
        <f t="shared" si="214"/>
        <v>1.4915511148858263</v>
      </c>
      <c r="M453" s="325">
        <f t="shared" si="194"/>
        <v>1.0546711757777534</v>
      </c>
      <c r="N453" s="337">
        <f t="shared" si="195"/>
        <v>0.32339239637999656</v>
      </c>
      <c r="O453" s="343">
        <f t="shared" si="196"/>
        <v>1.0397123972388784</v>
      </c>
      <c r="P453" s="691">
        <f t="shared" si="197"/>
        <v>0.27727682033569218</v>
      </c>
      <c r="Q453" s="336">
        <f t="shared" si="212"/>
        <v>15.253360156776663</v>
      </c>
      <c r="R453" s="692">
        <f t="shared" si="198"/>
        <v>0.13209713583406188</v>
      </c>
      <c r="S453" s="329">
        <f t="shared" si="199"/>
        <v>0.98716839038670789</v>
      </c>
      <c r="T453" s="330">
        <f t="shared" si="200"/>
        <v>0.4394230435158174</v>
      </c>
      <c r="U453" s="331">
        <f t="shared" si="201"/>
        <v>-1.9911653751669256</v>
      </c>
      <c r="V453" s="332">
        <f t="shared" si="202"/>
        <v>-125.44024199927179</v>
      </c>
      <c r="W453" s="334">
        <f t="shared" si="203"/>
        <v>54.559758000728209</v>
      </c>
      <c r="Y453" s="307">
        <f t="shared" si="204"/>
        <v>48978</v>
      </c>
      <c r="Z453" s="307">
        <f t="shared" si="205"/>
        <v>2398844484</v>
      </c>
      <c r="AB453" s="333">
        <f t="shared" si="206"/>
        <v>23.015335790585109</v>
      </c>
      <c r="AC453" s="334">
        <f t="shared" si="207"/>
        <v>-23.068554273598924</v>
      </c>
      <c r="AE453" s="333">
        <f t="shared" si="208"/>
        <v>32.301944968488264</v>
      </c>
      <c r="AF453" s="334">
        <f t="shared" si="209"/>
        <v>-110.68987092816205</v>
      </c>
      <c r="AH453">
        <f t="shared" si="210"/>
        <v>0</v>
      </c>
      <c r="AI453">
        <f t="shared" si="215"/>
        <v>0</v>
      </c>
    </row>
    <row r="454" spans="1:35" x14ac:dyDescent="0.25">
      <c r="A454" s="335">
        <v>49263.25</v>
      </c>
      <c r="B454" s="352">
        <f t="shared" si="211"/>
        <v>49.263249999999999</v>
      </c>
      <c r="C454" s="325">
        <f t="shared" si="186"/>
        <v>59.707431100338326</v>
      </c>
      <c r="D454" s="326">
        <f t="shared" si="187"/>
        <v>1.5540472096651183</v>
      </c>
      <c r="E454" s="326">
        <f t="shared" si="188"/>
        <v>1.0019143456460182</v>
      </c>
      <c r="F454" s="327">
        <f t="shared" si="189"/>
        <v>6.1827125015416137E-2</v>
      </c>
      <c r="G454" s="326">
        <f t="shared" si="190"/>
        <v>1</v>
      </c>
      <c r="H454" s="327">
        <f t="shared" si="191"/>
        <v>0</v>
      </c>
      <c r="I454" s="325">
        <f t="shared" si="192"/>
        <v>65385.429062717689</v>
      </c>
      <c r="J454" s="328">
        <f t="shared" si="193"/>
        <v>1.570781032867574</v>
      </c>
      <c r="K454" s="336">
        <f t="shared" si="213"/>
        <v>12.705387367787003</v>
      </c>
      <c r="L454" s="337">
        <f t="shared" si="214"/>
        <v>1.4920080679975563</v>
      </c>
      <c r="M454" s="325">
        <f t="shared" si="194"/>
        <v>1.0552931080279049</v>
      </c>
      <c r="N454" s="337">
        <f t="shared" si="195"/>
        <v>0.32514621639235508</v>
      </c>
      <c r="O454" s="343">
        <f t="shared" si="196"/>
        <v>1.0401673583237452</v>
      </c>
      <c r="P454" s="691">
        <f t="shared" si="197"/>
        <v>0.27880951573094936</v>
      </c>
      <c r="Q454" s="336">
        <f t="shared" si="212"/>
        <v>15.254861463796841</v>
      </c>
      <c r="R454" s="692">
        <f t="shared" si="198"/>
        <v>0.13285786752672593</v>
      </c>
      <c r="S454" s="329">
        <f t="shared" si="199"/>
        <v>0.98708555610457716</v>
      </c>
      <c r="T454" s="330">
        <f t="shared" si="200"/>
        <v>0.44220228255727195</v>
      </c>
      <c r="U454" s="331">
        <f t="shared" si="201"/>
        <v>-2.0431607386738584</v>
      </c>
      <c r="V454" s="332">
        <f t="shared" si="202"/>
        <v>-125.61468847583474</v>
      </c>
      <c r="W454" s="334">
        <f t="shared" si="203"/>
        <v>54.38531152416526</v>
      </c>
      <c r="Y454" s="307">
        <f t="shared" si="204"/>
        <v>49263.25</v>
      </c>
      <c r="Z454" s="307">
        <f t="shared" si="205"/>
        <v>2426867800.5625</v>
      </c>
      <c r="AB454" s="333">
        <f t="shared" si="206"/>
        <v>23.009901016282942</v>
      </c>
      <c r="AC454" s="334">
        <f t="shared" si="207"/>
        <v>-23.142864377158222</v>
      </c>
      <c r="AE454" s="333">
        <f t="shared" si="208"/>
        <v>32.252439271640519</v>
      </c>
      <c r="AF454" s="334">
        <f t="shared" si="209"/>
        <v>-110.83423756331214</v>
      </c>
      <c r="AH454">
        <f t="shared" si="210"/>
        <v>0</v>
      </c>
      <c r="AI454">
        <f t="shared" si="215"/>
        <v>0</v>
      </c>
    </row>
    <row r="455" spans="1:35" x14ac:dyDescent="0.25">
      <c r="A455" s="335">
        <v>49548.5</v>
      </c>
      <c r="B455" s="352">
        <f t="shared" si="211"/>
        <v>49.548499999999997</v>
      </c>
      <c r="C455" s="325">
        <f t="shared" si="186"/>
        <v>60.053059555772052</v>
      </c>
      <c r="D455" s="326">
        <f t="shared" si="187"/>
        <v>1.5541436162138218</v>
      </c>
      <c r="E455" s="326">
        <f t="shared" si="188"/>
        <v>1.0019365576921289</v>
      </c>
      <c r="F455" s="327">
        <f t="shared" si="189"/>
        <v>6.2184204342646397E-2</v>
      </c>
      <c r="G455" s="326">
        <f t="shared" si="190"/>
        <v>1</v>
      </c>
      <c r="H455" s="327">
        <f t="shared" si="191"/>
        <v>0</v>
      </c>
      <c r="I455" s="325">
        <f t="shared" si="192"/>
        <v>65764.03164447569</v>
      </c>
      <c r="J455" s="328">
        <f t="shared" si="193"/>
        <v>1.5707811209144931</v>
      </c>
      <c r="K455" s="336">
        <f t="shared" si="213"/>
        <v>12.778501197423587</v>
      </c>
      <c r="L455" s="337">
        <f t="shared" si="214"/>
        <v>1.4924597921713179</v>
      </c>
      <c r="M455" s="325">
        <f t="shared" si="194"/>
        <v>1.0559182824083746</v>
      </c>
      <c r="N455" s="337">
        <f t="shared" si="195"/>
        <v>0.32689796502964485</v>
      </c>
      <c r="O455" s="343">
        <f t="shared" si="196"/>
        <v>1.0406247607831884</v>
      </c>
      <c r="P455" s="691">
        <f t="shared" si="197"/>
        <v>0.28034086734067554</v>
      </c>
      <c r="Q455" s="336">
        <f t="shared" si="212"/>
        <v>15.2563713402125</v>
      </c>
      <c r="R455" s="692">
        <f t="shared" si="198"/>
        <v>0.13361845132402406</v>
      </c>
      <c r="S455" s="329">
        <f t="shared" si="199"/>
        <v>0.98700381914581281</v>
      </c>
      <c r="T455" s="330">
        <f t="shared" si="200"/>
        <v>0.44498512085557668</v>
      </c>
      <c r="U455" s="331">
        <f t="shared" si="201"/>
        <v>-2.0948779570600018</v>
      </c>
      <c r="V455" s="332">
        <f t="shared" si="202"/>
        <v>-125.78952713265535</v>
      </c>
      <c r="W455" s="334">
        <f t="shared" si="203"/>
        <v>54.210472867344649</v>
      </c>
      <c r="Y455" s="307">
        <f t="shared" si="204"/>
        <v>49548.5</v>
      </c>
      <c r="Z455" s="307">
        <f t="shared" si="205"/>
        <v>2455053852.25</v>
      </c>
      <c r="AB455" s="333">
        <f t="shared" si="206"/>
        <v>23.004447979354701</v>
      </c>
      <c r="AC455" s="334">
        <f t="shared" si="207"/>
        <v>-23.217355336984127</v>
      </c>
      <c r="AE455" s="333">
        <f t="shared" si="208"/>
        <v>32.203216061234777</v>
      </c>
      <c r="AF455" s="334">
        <f t="shared" si="209"/>
        <v>-110.97874700299396</v>
      </c>
      <c r="AH455">
        <f t="shared" si="210"/>
        <v>0</v>
      </c>
      <c r="AI455">
        <f t="shared" si="215"/>
        <v>0</v>
      </c>
    </row>
    <row r="456" spans="1:35" x14ac:dyDescent="0.25">
      <c r="A456" s="335">
        <v>49833.75</v>
      </c>
      <c r="B456" s="352">
        <f t="shared" si="211"/>
        <v>49.833750000000002</v>
      </c>
      <c r="C456" s="325">
        <f t="shared" si="186"/>
        <v>60.398688562964352</v>
      </c>
      <c r="D456" s="326">
        <f t="shared" si="187"/>
        <v>1.5542389193983959</v>
      </c>
      <c r="E456" s="326">
        <f t="shared" si="188"/>
        <v>1.0019588974851337</v>
      </c>
      <c r="F456" s="327">
        <f t="shared" si="189"/>
        <v>6.2541267792437516E-2</v>
      </c>
      <c r="G456" s="326">
        <f t="shared" si="190"/>
        <v>1</v>
      </c>
      <c r="H456" s="327">
        <f t="shared" si="191"/>
        <v>0</v>
      </c>
      <c r="I456" s="325">
        <f t="shared" si="192"/>
        <v>66142.634226234208</v>
      </c>
      <c r="J456" s="328">
        <f t="shared" si="193"/>
        <v>1.5707812079534453</v>
      </c>
      <c r="K456" s="336">
        <f t="shared" si="213"/>
        <v>12.851617604904774</v>
      </c>
      <c r="L456" s="337">
        <f t="shared" si="214"/>
        <v>1.4929063764677901</v>
      </c>
      <c r="M456" s="325">
        <f t="shared" si="194"/>
        <v>1.0565466931639129</v>
      </c>
      <c r="N456" s="337">
        <f t="shared" si="195"/>
        <v>0.32864763522751478</v>
      </c>
      <c r="O456" s="343">
        <f t="shared" si="196"/>
        <v>1.0410846013993411</v>
      </c>
      <c r="P456" s="691">
        <f t="shared" si="197"/>
        <v>0.28187086975865022</v>
      </c>
      <c r="Q456" s="336">
        <f t="shared" si="212"/>
        <v>15.257889783481925</v>
      </c>
      <c r="R456" s="692">
        <f t="shared" si="198"/>
        <v>0.13437888642845863</v>
      </c>
      <c r="S456" s="329">
        <f t="shared" si="199"/>
        <v>0.98692320732460725</v>
      </c>
      <c r="T456" s="330">
        <f t="shared" si="200"/>
        <v>0.44777157145849955</v>
      </c>
      <c r="U456" s="331">
        <f t="shared" si="201"/>
        <v>-2.1463206963099015</v>
      </c>
      <c r="V456" s="332">
        <f t="shared" si="202"/>
        <v>-125.96475458412424</v>
      </c>
      <c r="W456" s="334">
        <f t="shared" si="203"/>
        <v>54.035245415875764</v>
      </c>
      <c r="Y456" s="307">
        <f t="shared" si="204"/>
        <v>49833.75</v>
      </c>
      <c r="Z456" s="307">
        <f t="shared" si="205"/>
        <v>2483402639.0625</v>
      </c>
      <c r="AB456" s="333">
        <f t="shared" si="206"/>
        <v>22.998976648470951</v>
      </c>
      <c r="AC456" s="334">
        <f t="shared" si="207"/>
        <v>-23.292021646527147</v>
      </c>
      <c r="AE456" s="333">
        <f t="shared" si="208"/>
        <v>32.154271751990585</v>
      </c>
      <c r="AF456" s="334">
        <f t="shared" si="209"/>
        <v>-111.12340110408725</v>
      </c>
      <c r="AH456">
        <f t="shared" si="210"/>
        <v>0</v>
      </c>
      <c r="AI456">
        <f t="shared" si="215"/>
        <v>0</v>
      </c>
    </row>
    <row r="457" spans="1:35" x14ac:dyDescent="0.25">
      <c r="A457" s="335">
        <v>50119</v>
      </c>
      <c r="B457" s="352">
        <f t="shared" si="211"/>
        <v>50.119</v>
      </c>
      <c r="C457" s="325">
        <f t="shared" si="186"/>
        <v>60.74431811249687</v>
      </c>
      <c r="D457" s="326">
        <f t="shared" si="187"/>
        <v>1.5543331380512133</v>
      </c>
      <c r="E457" s="326">
        <f t="shared" si="188"/>
        <v>1.0019813650164882</v>
      </c>
      <c r="F457" s="327">
        <f t="shared" si="189"/>
        <v>6.2898315274807451E-2</v>
      </c>
      <c r="G457" s="326">
        <f t="shared" si="190"/>
        <v>1</v>
      </c>
      <c r="H457" s="327">
        <f t="shared" si="191"/>
        <v>0</v>
      </c>
      <c r="I457" s="325">
        <f t="shared" si="192"/>
        <v>66521.23680799322</v>
      </c>
      <c r="J457" s="328">
        <f t="shared" si="193"/>
        <v>1.570781294001641</v>
      </c>
      <c r="K457" s="336">
        <f t="shared" si="213"/>
        <v>12.92473654648127</v>
      </c>
      <c r="L457" s="337">
        <f t="shared" si="214"/>
        <v>1.4933479079405927</v>
      </c>
      <c r="M457" s="325">
        <f t="shared" si="194"/>
        <v>1.0571783345231958</v>
      </c>
      <c r="N457" s="337">
        <f t="shared" si="195"/>
        <v>0.33039521998926968</v>
      </c>
      <c r="O457" s="343">
        <f t="shared" si="196"/>
        <v>1.0415468769428811</v>
      </c>
      <c r="P457" s="691">
        <f t="shared" si="197"/>
        <v>0.28339951761344145</v>
      </c>
      <c r="Q457" s="336">
        <f t="shared" si="212"/>
        <v>15.259416791049993</v>
      </c>
      <c r="R457" s="692">
        <f t="shared" si="198"/>
        <v>0.13513917204351622</v>
      </c>
      <c r="S457" s="329">
        <f t="shared" si="199"/>
        <v>0.98684374861948299</v>
      </c>
      <c r="T457" s="330">
        <f t="shared" si="200"/>
        <v>0.45056164723950742</v>
      </c>
      <c r="U457" s="331">
        <f t="shared" si="201"/>
        <v>-2.1974925633284466</v>
      </c>
      <c r="V457" s="332">
        <f t="shared" si="202"/>
        <v>-126.14036752643121</v>
      </c>
      <c r="W457" s="334">
        <f t="shared" si="203"/>
        <v>53.859632473568794</v>
      </c>
      <c r="Y457" s="307">
        <f t="shared" si="204"/>
        <v>50119</v>
      </c>
      <c r="Z457" s="307">
        <f t="shared" si="205"/>
        <v>2511914161</v>
      </c>
      <c r="AB457" s="333">
        <f t="shared" si="206"/>
        <v>22.99348699591382</v>
      </c>
      <c r="AC457" s="334">
        <f t="shared" si="207"/>
        <v>-23.366857918087259</v>
      </c>
      <c r="AE457" s="333">
        <f t="shared" si="208"/>
        <v>32.105602814226607</v>
      </c>
      <c r="AF457" s="334">
        <f t="shared" si="209"/>
        <v>-111.26820168835839</v>
      </c>
      <c r="AH457">
        <f t="shared" si="210"/>
        <v>0</v>
      </c>
      <c r="AI457">
        <f t="shared" si="215"/>
        <v>0</v>
      </c>
    </row>
    <row r="458" spans="1:35" x14ac:dyDescent="0.25">
      <c r="A458" s="335">
        <v>50410.75</v>
      </c>
      <c r="B458" s="352">
        <f t="shared" si="211"/>
        <v>50.41075</v>
      </c>
      <c r="C458" s="325">
        <f t="shared" si="186"/>
        <v>61.097824083996052</v>
      </c>
      <c r="D458" s="326">
        <f t="shared" si="187"/>
        <v>1.5544284009663083</v>
      </c>
      <c r="E458" s="326">
        <f t="shared" si="188"/>
        <v>1.002004476644853</v>
      </c>
      <c r="F458" s="327">
        <f t="shared" si="189"/>
        <v>6.3263482197380219E-2</v>
      </c>
      <c r="G458" s="326">
        <f t="shared" si="190"/>
        <v>1</v>
      </c>
      <c r="H458" s="327">
        <f t="shared" si="191"/>
        <v>0</v>
      </c>
      <c r="I458" s="325">
        <f t="shared" si="192"/>
        <v>66908.466617733211</v>
      </c>
      <c r="J458" s="328">
        <f t="shared" si="193"/>
        <v>1.5707813810032714</v>
      </c>
      <c r="K458" s="336">
        <f t="shared" si="213"/>
        <v>12.99952422829462</v>
      </c>
      <c r="L458" s="337">
        <f t="shared" si="214"/>
        <v>1.4937943624510417</v>
      </c>
      <c r="M458" s="325">
        <f t="shared" si="194"/>
        <v>1.0578277049466309</v>
      </c>
      <c r="N458" s="337">
        <f t="shared" si="195"/>
        <v>0.33218046253489442</v>
      </c>
      <c r="O458" s="343">
        <f t="shared" si="196"/>
        <v>1.0420222017814806</v>
      </c>
      <c r="P458" s="691">
        <f t="shared" si="197"/>
        <v>0.28496159203442389</v>
      </c>
      <c r="Q458" s="336">
        <f t="shared" si="212"/>
        <v>15.260987451160974</v>
      </c>
      <c r="R458" s="692">
        <f t="shared" si="198"/>
        <v>0.1359166268418896</v>
      </c>
      <c r="S458" s="329">
        <f t="shared" si="199"/>
        <v>0.98676370145006742</v>
      </c>
      <c r="T458" s="330">
        <f t="shared" si="200"/>
        <v>0.45341906382101971</v>
      </c>
      <c r="U458" s="331">
        <f t="shared" si="201"/>
        <v>-2.2495539830655291</v>
      </c>
      <c r="V458" s="332">
        <f t="shared" si="202"/>
        <v>-126.32037757257191</v>
      </c>
      <c r="W458" s="334">
        <f t="shared" si="203"/>
        <v>53.679622427428086</v>
      </c>
      <c r="Y458" s="307">
        <f t="shared" si="204"/>
        <v>50410.75</v>
      </c>
      <c r="Z458" s="307">
        <f t="shared" si="205"/>
        <v>2541243715.5625</v>
      </c>
      <c r="AB458" s="333">
        <f t="shared" si="206"/>
        <v>22.98785327257875</v>
      </c>
      <c r="AC458" s="334">
        <f t="shared" si="207"/>
        <v>-23.443569807079331</v>
      </c>
      <c r="AE458" s="333">
        <f t="shared" si="208"/>
        <v>32.056106089235442</v>
      </c>
      <c r="AF458" s="334">
        <f t="shared" si="209"/>
        <v>-111.41645523845702</v>
      </c>
      <c r="AH458">
        <f t="shared" si="210"/>
        <v>0</v>
      </c>
      <c r="AI458">
        <f t="shared" si="215"/>
        <v>0</v>
      </c>
    </row>
    <row r="459" spans="1:35" x14ac:dyDescent="0.25">
      <c r="A459" s="335">
        <v>50702.5</v>
      </c>
      <c r="B459" s="352">
        <f t="shared" si="211"/>
        <v>50.702500000000001</v>
      </c>
      <c r="C459" s="325">
        <f t="shared" si="186"/>
        <v>61.451330603580153</v>
      </c>
      <c r="D459" s="326">
        <f t="shared" si="187"/>
        <v>1.5545225678584131</v>
      </c>
      <c r="E459" s="326">
        <f t="shared" si="188"/>
        <v>1.0020277218812161</v>
      </c>
      <c r="F459" s="327">
        <f t="shared" si="189"/>
        <v>6.3628632226214413E-2</v>
      </c>
      <c r="G459" s="326">
        <f t="shared" si="190"/>
        <v>1</v>
      </c>
      <c r="H459" s="327">
        <f t="shared" si="191"/>
        <v>0</v>
      </c>
      <c r="I459" s="325">
        <f t="shared" si="192"/>
        <v>67295.696427473711</v>
      </c>
      <c r="J459" s="328">
        <f t="shared" si="193"/>
        <v>1.5707814670036599</v>
      </c>
      <c r="K459" s="336">
        <f t="shared" si="213"/>
        <v>13.074314471550968</v>
      </c>
      <c r="L459" s="337">
        <f t="shared" si="214"/>
        <v>1.4942357092563168</v>
      </c>
      <c r="M459" s="325">
        <f t="shared" si="194"/>
        <v>1.0584804426202514</v>
      </c>
      <c r="N459" s="337">
        <f t="shared" si="195"/>
        <v>0.33396350893107196</v>
      </c>
      <c r="O459" s="343">
        <f t="shared" si="196"/>
        <v>1.0425000669117521</v>
      </c>
      <c r="P459" s="691">
        <f t="shared" si="197"/>
        <v>0.28652223820141831</v>
      </c>
      <c r="Q459" s="336">
        <f t="shared" si="212"/>
        <v>15.262567064877897</v>
      </c>
      <c r="R459" s="692">
        <f t="shared" si="198"/>
        <v>0.13669392357815632</v>
      </c>
      <c r="S459" s="329">
        <f t="shared" si="199"/>
        <v>0.98668492027598576</v>
      </c>
      <c r="T459" s="330">
        <f t="shared" si="200"/>
        <v>0.4562802993508529</v>
      </c>
      <c r="U459" s="331">
        <f t="shared" si="201"/>
        <v>-2.3013394943002057</v>
      </c>
      <c r="V459" s="332">
        <f t="shared" si="202"/>
        <v>-126.50078413790433</v>
      </c>
      <c r="W459" s="334">
        <f t="shared" si="203"/>
        <v>53.499215862095667</v>
      </c>
      <c r="Y459" s="307">
        <f t="shared" si="204"/>
        <v>50702.5</v>
      </c>
      <c r="Z459" s="307">
        <f t="shared" si="205"/>
        <v>2570743506.25</v>
      </c>
      <c r="AB459" s="333">
        <f t="shared" si="206"/>
        <v>22.982200335463375</v>
      </c>
      <c r="AC459" s="334">
        <f t="shared" si="207"/>
        <v>-23.520448458559613</v>
      </c>
      <c r="AE459" s="333">
        <f t="shared" si="208"/>
        <v>32.006890132147177</v>
      </c>
      <c r="AF459" s="334">
        <f t="shared" si="209"/>
        <v>-111.56486576862511</v>
      </c>
      <c r="AH459">
        <f t="shared" si="210"/>
        <v>0</v>
      </c>
      <c r="AI459">
        <f t="shared" si="215"/>
        <v>0</v>
      </c>
    </row>
    <row r="460" spans="1:35" x14ac:dyDescent="0.25">
      <c r="A460" s="335">
        <v>50994.25</v>
      </c>
      <c r="B460" s="352">
        <f t="shared" si="211"/>
        <v>50.994250000000001</v>
      </c>
      <c r="C460" s="325">
        <f t="shared" si="186"/>
        <v>61.804837661844481</v>
      </c>
      <c r="D460" s="326">
        <f t="shared" si="187"/>
        <v>1.5546156575327141</v>
      </c>
      <c r="E460" s="326">
        <f t="shared" si="188"/>
        <v>1.0020511007162789</v>
      </c>
      <c r="F460" s="327">
        <f t="shared" si="189"/>
        <v>6.3993765265114896E-2</v>
      </c>
      <c r="G460" s="326">
        <f t="shared" si="190"/>
        <v>1</v>
      </c>
      <c r="H460" s="327">
        <f t="shared" si="191"/>
        <v>0</v>
      </c>
      <c r="I460" s="325">
        <f t="shared" si="192"/>
        <v>67682.926237214691</v>
      </c>
      <c r="J460" s="328">
        <f t="shared" si="193"/>
        <v>1.5707815520199921</v>
      </c>
      <c r="K460" s="336">
        <f t="shared" si="213"/>
        <v>13.149107232542947</v>
      </c>
      <c r="L460" s="337">
        <f t="shared" si="214"/>
        <v>1.4946720353416223</v>
      </c>
      <c r="M460" s="325">
        <f t="shared" si="194"/>
        <v>1.0591365413184266</v>
      </c>
      <c r="N460" s="337">
        <f t="shared" si="195"/>
        <v>0.33574435191120888</v>
      </c>
      <c r="O460" s="343">
        <f t="shared" si="196"/>
        <v>1.0429804688420188</v>
      </c>
      <c r="P460" s="691">
        <f t="shared" si="197"/>
        <v>0.28808145048055755</v>
      </c>
      <c r="Q460" s="336">
        <f t="shared" si="212"/>
        <v>15.264155629423575</v>
      </c>
      <c r="R460" s="692">
        <f t="shared" si="198"/>
        <v>0.13747106140332765</v>
      </c>
      <c r="S460" s="329">
        <f t="shared" si="199"/>
        <v>0.98660743556406272</v>
      </c>
      <c r="T460" s="330">
        <f t="shared" si="200"/>
        <v>0.45914536702369513</v>
      </c>
      <c r="U460" s="331">
        <f t="shared" si="201"/>
        <v>-2.3528527734255493</v>
      </c>
      <c r="V460" s="332">
        <f t="shared" si="202"/>
        <v>-126.68158393630559</v>
      </c>
      <c r="W460" s="334">
        <f t="shared" si="203"/>
        <v>53.318416063694414</v>
      </c>
      <c r="Y460" s="307">
        <f t="shared" si="204"/>
        <v>50994.25</v>
      </c>
      <c r="Z460" s="307">
        <f t="shared" si="205"/>
        <v>2600413533.0625</v>
      </c>
      <c r="AB460" s="333">
        <f t="shared" si="206"/>
        <v>22.976528165865577</v>
      </c>
      <c r="AC460" s="334">
        <f t="shared" si="207"/>
        <v>-23.597488473282546</v>
      </c>
      <c r="AE460" s="333">
        <f t="shared" si="208"/>
        <v>31.957951338650346</v>
      </c>
      <c r="AF460" s="334">
        <f t="shared" si="209"/>
        <v>-111.71343511783201</v>
      </c>
      <c r="AH460">
        <f t="shared" si="210"/>
        <v>0</v>
      </c>
      <c r="AI460">
        <f t="shared" si="215"/>
        <v>0</v>
      </c>
    </row>
    <row r="461" spans="1:35" x14ac:dyDescent="0.25">
      <c r="A461" s="335">
        <v>51286</v>
      </c>
      <c r="B461" s="352">
        <f t="shared" si="211"/>
        <v>51.286000000000001</v>
      </c>
      <c r="C461" s="325">
        <f t="shared" ref="C461:C524" si="216">SQRT(1+(A461/pole1)^2)</f>
        <v>62.158345249598298</v>
      </c>
      <c r="D461" s="326">
        <f t="shared" ref="D461:D524" si="217">ATAN(A461/pole1)</f>
        <v>1.5547076883666771</v>
      </c>
      <c r="E461" s="326">
        <f t="shared" ref="E461:E524" si="218">SQRT(1+(A461/Zero1)^2)</f>
        <v>1.0020746131406908</v>
      </c>
      <c r="F461" s="327">
        <f t="shared" ref="F461:F524" si="219">ATAN(A461/Zero1)</f>
        <v>6.4358881217913597E-2</v>
      </c>
      <c r="G461" s="326">
        <f t="shared" ref="G461:G524" si="220">IF(VIN_nom&gt;Vout, 1, SQRT(1+(A461/z_RHP)^2))</f>
        <v>1</v>
      </c>
      <c r="H461" s="327">
        <f t="shared" ref="H461:H524" si="221">IF(VIN_nom&gt;Vout, 0, -ATAN(A461/z_RHP))</f>
        <v>0</v>
      </c>
      <c r="I461" s="325">
        <f t="shared" ref="I461:I524" si="222">SQRT(1+(A461/Pole2)^2)</f>
        <v>68070.156046956166</v>
      </c>
      <c r="J461" s="328">
        <f t="shared" ref="J461:J524" si="223">ATAN(A461/Pole2)</f>
        <v>1.5707816360690616</v>
      </c>
      <c r="K461" s="336">
        <f t="shared" si="213"/>
        <v>13.223902468550556</v>
      </c>
      <c r="L461" s="337">
        <f t="shared" si="214"/>
        <v>1.4951034257319342</v>
      </c>
      <c r="M461" s="325">
        <f t="shared" ref="M461:M524" si="224">SQRT(1+(A461/pole4)^2)</f>
        <v>1.0597959947989253</v>
      </c>
      <c r="N461" s="337">
        <f t="shared" ref="N461:N524" si="225">ATAN(A461/pole4)</f>
        <v>0.33752298428256255</v>
      </c>
      <c r="O461" s="343">
        <f t="shared" ref="O461:O524" si="226">IF(VOUT_setting=1,1,SQRT(1+(A461*zterm1)^2))</f>
        <v>1.0434634040685153</v>
      </c>
      <c r="P461" s="691">
        <f t="shared" ref="P461:P524" si="227">IF(VOUT_setting=1,0,ATAN(((A461*zterm1))))</f>
        <v>0.28963922327620983</v>
      </c>
      <c r="Q461" s="336">
        <f t="shared" si="212"/>
        <v>15.26575314200624</v>
      </c>
      <c r="R461" s="692">
        <f t="shared" ref="R461:R524" si="228">IF(VOUT_setting=1,0,ATAN(A461*$Q$4/(1+Afbr-$Q$5*(A461)^2)))</f>
        <v>0.13824803946951239</v>
      </c>
      <c r="S461" s="329">
        <f t="shared" ref="S461:S524" si="229">SQRT((1-(Z461/pterm2))^2+(A461/pterm1)^2)</f>
        <v>0.98653127795974238</v>
      </c>
      <c r="T461" s="330">
        <f t="shared" ref="T461:T524" si="230">IF((ATAN((A461/pterm1)/(1-A461^2/pterm2))&gt;0),ATAN((A461/pterm1)/(1-A461^2/pterm2)),PI()+ATAN((A461/pterm1)/(1-A461^2/pterm2)))</f>
        <v>0.46201427983455134</v>
      </c>
      <c r="U461" s="331">
        <f t="shared" ref="U461:U524" si="231">20*LOG10(((E461*K461*G461*O461)/(C461*I461*S461*M461*Q461))*Adc)</f>
        <v>-2.4040974381465259</v>
      </c>
      <c r="V461" s="332">
        <f t="shared" ref="V461:V524" si="232">((F461+L461+H461+P461)-(D461+J461+T461+N461+R461))*radconv</f>
        <v>-126.8627737600975</v>
      </c>
      <c r="W461" s="334">
        <f t="shared" ref="W461:W524" si="233">IF(V461&gt;0,V461,V461+180)</f>
        <v>53.137226239902503</v>
      </c>
      <c r="Y461" s="307">
        <f t="shared" ref="Y461:Y524" si="234">IF(U461&lt;0,A461,1000000000)</f>
        <v>51286</v>
      </c>
      <c r="Z461" s="307">
        <f t="shared" ref="Z461:Z524" si="235">A461^2</f>
        <v>2630253796</v>
      </c>
      <c r="AB461" s="333">
        <f t="shared" ref="AB461:AB524" si="236">20*LOG10((K461/(I461*M461))*AEA)</f>
        <v>22.970836748531308</v>
      </c>
      <c r="AC461" s="334">
        <f t="shared" ref="AC461:AC524" si="237">(L461-(J461+N461))*radconv</f>
        <v>-23.674684568524238</v>
      </c>
      <c r="AE461" s="333">
        <f t="shared" ref="AE461:AE524" si="238">20*LOG10((E461*G461/(C461*S461))*Acs*Am)</f>
        <v>31.909286159807799</v>
      </c>
      <c r="AF461" s="334">
        <f t="shared" ref="AF461:AF524" si="239">(F461+H461-(D461+T461))*radconv</f>
        <v>-111.86216508909793</v>
      </c>
      <c r="AH461">
        <f t="shared" ref="AH461:AH524" si="240">SUM((U462&lt;0)*(U461&gt;0))*A461</f>
        <v>0</v>
      </c>
      <c r="AI461">
        <f t="shared" si="215"/>
        <v>0</v>
      </c>
    </row>
    <row r="462" spans="1:35" x14ac:dyDescent="0.25">
      <c r="A462" s="335">
        <v>51584.75</v>
      </c>
      <c r="B462" s="352">
        <f t="shared" ref="B462:B525" si="241">A462/1000</f>
        <v>51.58475</v>
      </c>
      <c r="C462" s="325">
        <f t="shared" si="216"/>
        <v>62.520335135414712</v>
      </c>
      <c r="D462" s="326">
        <f t="shared" si="217"/>
        <v>1.5548008488170595</v>
      </c>
      <c r="E462" s="326">
        <f t="shared" si="218"/>
        <v>1.0020988281279277</v>
      </c>
      <c r="F462" s="327">
        <f t="shared" si="219"/>
        <v>6.4732739644273368E-2</v>
      </c>
      <c r="G462" s="326">
        <f t="shared" si="220"/>
        <v>1</v>
      </c>
      <c r="H462" s="327">
        <f t="shared" si="221"/>
        <v>0</v>
      </c>
      <c r="I462" s="325">
        <f t="shared" si="222"/>
        <v>68466.676717600247</v>
      </c>
      <c r="J462" s="328">
        <f t="shared" si="223"/>
        <v>1.5707817211495232</v>
      </c>
      <c r="K462" s="336">
        <f t="shared" si="213"/>
        <v>13.300494798674837</v>
      </c>
      <c r="L462" s="337">
        <f t="shared" si="214"/>
        <v>1.4955401385965599</v>
      </c>
      <c r="M462" s="325">
        <f t="shared" si="224"/>
        <v>1.0604747405902974</v>
      </c>
      <c r="N462" s="337">
        <f t="shared" si="225"/>
        <v>0.33934199339796928</v>
      </c>
      <c r="O462" s="343">
        <f t="shared" si="226"/>
        <v>1.0439605479553593</v>
      </c>
      <c r="P462" s="691">
        <f t="shared" si="227"/>
        <v>0.2912328744309276</v>
      </c>
      <c r="Q462" s="336">
        <f t="shared" si="212"/>
        <v>15.267398253658044</v>
      </c>
      <c r="R462" s="692">
        <f t="shared" si="228"/>
        <v>0.13904349324378715</v>
      </c>
      <c r="S462" s="329">
        <f t="shared" si="229"/>
        <v>0.98645470054532525</v>
      </c>
      <c r="T462" s="330">
        <f t="shared" si="230"/>
        <v>0.46495602487803583</v>
      </c>
      <c r="U462" s="331">
        <f t="shared" si="231"/>
        <v>-2.4562969831866273</v>
      </c>
      <c r="V462" s="332">
        <f t="shared" si="232"/>
        <v>-127.04871180120392</v>
      </c>
      <c r="W462" s="334">
        <f t="shared" si="233"/>
        <v>52.951288198796078</v>
      </c>
      <c r="Y462" s="307">
        <f t="shared" si="234"/>
        <v>51584.75</v>
      </c>
      <c r="Z462" s="307">
        <f t="shared" si="235"/>
        <v>2660986432.5625</v>
      </c>
      <c r="AB462" s="333">
        <f t="shared" si="236"/>
        <v>22.964988817766809</v>
      </c>
      <c r="AC462" s="334">
        <f t="shared" si="237"/>
        <v>-23.753889184572628</v>
      </c>
      <c r="AE462" s="333">
        <f t="shared" si="238"/>
        <v>31.859733240741022</v>
      </c>
      <c r="AF462" s="334">
        <f t="shared" si="239"/>
        <v>-112.01463185532597</v>
      </c>
      <c r="AH462">
        <f t="shared" si="240"/>
        <v>0</v>
      </c>
      <c r="AI462">
        <f t="shared" si="215"/>
        <v>0</v>
      </c>
    </row>
    <row r="463" spans="1:35" x14ac:dyDescent="0.25">
      <c r="A463" s="335">
        <v>51883.5</v>
      </c>
      <c r="B463" s="352">
        <f t="shared" si="241"/>
        <v>51.883499999999998</v>
      </c>
      <c r="C463" s="325">
        <f t="shared" si="216"/>
        <v>62.882325557589802</v>
      </c>
      <c r="D463" s="326">
        <f t="shared" si="217"/>
        <v>1.5548929366873305</v>
      </c>
      <c r="E463" s="326">
        <f t="shared" si="218"/>
        <v>1.0021231831718609</v>
      </c>
      <c r="F463" s="327">
        <f t="shared" si="219"/>
        <v>6.510657995078864E-2</v>
      </c>
      <c r="G463" s="326">
        <f t="shared" si="220"/>
        <v>1</v>
      </c>
      <c r="H463" s="327">
        <f t="shared" si="221"/>
        <v>0</v>
      </c>
      <c r="I463" s="325">
        <f t="shared" si="222"/>
        <v>68863.197388244822</v>
      </c>
      <c r="J463" s="328">
        <f t="shared" si="223"/>
        <v>1.5707818052501825</v>
      </c>
      <c r="K463" s="336">
        <f t="shared" si="213"/>
        <v>13.377089636396473</v>
      </c>
      <c r="L463" s="337">
        <f t="shared" si="214"/>
        <v>1.4959718504622468</v>
      </c>
      <c r="M463" s="325">
        <f t="shared" si="224"/>
        <v>1.0611569907787599</v>
      </c>
      <c r="N463" s="337">
        <f t="shared" si="225"/>
        <v>0.34115866952509988</v>
      </c>
      <c r="O463" s="343">
        <f t="shared" si="226"/>
        <v>1.0444603406859312</v>
      </c>
      <c r="P463" s="691">
        <f t="shared" si="227"/>
        <v>0.29282500444551907</v>
      </c>
      <c r="Q463" s="336">
        <f t="shared" ref="Q463:Q526" si="242">IF(VOUT_setting=1,1,SQRT((1+Afbr-$Q$5*(A463)^2)^2+(A463*$Q$4)^2))</f>
        <v>15.2690527419094</v>
      </c>
      <c r="R463" s="692">
        <f t="shared" si="228"/>
        <v>0.13983877770495007</v>
      </c>
      <c r="S463" s="329">
        <f t="shared" si="229"/>
        <v>0.98637958029619577</v>
      </c>
      <c r="T463" s="330">
        <f t="shared" si="230"/>
        <v>0.46790182871454111</v>
      </c>
      <c r="U463" s="331">
        <f t="shared" si="231"/>
        <v>-2.5082223645920934</v>
      </c>
      <c r="V463" s="332">
        <f t="shared" si="232"/>
        <v>-127.23505224149251</v>
      </c>
      <c r="W463" s="334">
        <f t="shared" si="233"/>
        <v>52.764947758507489</v>
      </c>
      <c r="Y463" s="307">
        <f t="shared" si="234"/>
        <v>51883.5</v>
      </c>
      <c r="Z463" s="307">
        <f t="shared" si="235"/>
        <v>2691897572.25</v>
      </c>
      <c r="AB463" s="333">
        <f t="shared" si="236"/>
        <v>22.959120682769019</v>
      </c>
      <c r="AC463" s="334">
        <f t="shared" si="237"/>
        <v>-23.833246610233317</v>
      </c>
      <c r="AE463" s="333">
        <f t="shared" si="238"/>
        <v>31.810459864162389</v>
      </c>
      <c r="AF463" s="334">
        <f t="shared" si="239"/>
        <v>-112.16727075714127</v>
      </c>
      <c r="AH463">
        <f t="shared" si="240"/>
        <v>0</v>
      </c>
      <c r="AI463">
        <f t="shared" si="215"/>
        <v>0</v>
      </c>
    </row>
    <row r="464" spans="1:35" x14ac:dyDescent="0.25">
      <c r="A464" s="335">
        <v>52182.25</v>
      </c>
      <c r="B464" s="352">
        <f t="shared" si="241"/>
        <v>52.182250000000003</v>
      </c>
      <c r="C464" s="325">
        <f t="shared" si="216"/>
        <v>63.244316506913719</v>
      </c>
      <c r="D464" s="326">
        <f t="shared" si="217"/>
        <v>1.5549839703932673</v>
      </c>
      <c r="E464" s="326">
        <f t="shared" si="218"/>
        <v>1.0021476782622787</v>
      </c>
      <c r="F464" s="327">
        <f t="shared" si="219"/>
        <v>6.5480402034291021E-2</v>
      </c>
      <c r="G464" s="326">
        <f t="shared" si="220"/>
        <v>1</v>
      </c>
      <c r="H464" s="327">
        <f t="shared" si="221"/>
        <v>0</v>
      </c>
      <c r="I464" s="325">
        <f t="shared" si="222"/>
        <v>69259.718058889863</v>
      </c>
      <c r="J464" s="328">
        <f t="shared" si="223"/>
        <v>1.5707818883878679</v>
      </c>
      <c r="K464" s="336">
        <f t="shared" si="213"/>
        <v>13.453686938886531</v>
      </c>
      <c r="L464" s="337">
        <f t="shared" si="214"/>
        <v>1.4963986465848369</v>
      </c>
      <c r="M464" s="325">
        <f t="shared" si="224"/>
        <v>1.0618427386094271</v>
      </c>
      <c r="N464" s="337">
        <f t="shared" si="225"/>
        <v>0.34297300518129098</v>
      </c>
      <c r="O464" s="343">
        <f t="shared" si="226"/>
        <v>1.0449627784595032</v>
      </c>
      <c r="P464" s="691">
        <f t="shared" si="227"/>
        <v>0.29441560743671169</v>
      </c>
      <c r="Q464" s="336">
        <f t="shared" si="242"/>
        <v>15.270716603715377</v>
      </c>
      <c r="R464" s="692">
        <f t="shared" si="228"/>
        <v>0.14063389194621492</v>
      </c>
      <c r="S464" s="329">
        <f t="shared" si="229"/>
        <v>0.98630595069697125</v>
      </c>
      <c r="T464" s="330">
        <f t="shared" si="230"/>
        <v>0.47085170463101506</v>
      </c>
      <c r="U464" s="331">
        <f t="shared" si="231"/>
        <v>-2.5598772844836071</v>
      </c>
      <c r="V464" s="332">
        <f t="shared" si="232"/>
        <v>-127.42179187587767</v>
      </c>
      <c r="W464" s="334">
        <f t="shared" si="233"/>
        <v>52.578208124122327</v>
      </c>
      <c r="Y464" s="307">
        <f t="shared" si="234"/>
        <v>52182.25</v>
      </c>
      <c r="Z464" s="307">
        <f t="shared" si="235"/>
        <v>2722987215.0625</v>
      </c>
      <c r="AB464" s="333">
        <f t="shared" si="236"/>
        <v>22.953232337656736</v>
      </c>
      <c r="AC464" s="334">
        <f t="shared" si="237"/>
        <v>-23.912751532945538</v>
      </c>
      <c r="AE464" s="333">
        <f t="shared" si="238"/>
        <v>31.761462391713636</v>
      </c>
      <c r="AF464" s="334">
        <f t="shared" si="239"/>
        <v>-112.32008361688726</v>
      </c>
      <c r="AH464">
        <f t="shared" si="240"/>
        <v>0</v>
      </c>
      <c r="AI464">
        <f t="shared" si="215"/>
        <v>0</v>
      </c>
    </row>
    <row r="465" spans="1:35" x14ac:dyDescent="0.25">
      <c r="A465" s="335">
        <v>52481</v>
      </c>
      <c r="B465" s="352">
        <f t="shared" si="241"/>
        <v>52.481000000000002</v>
      </c>
      <c r="C465" s="325">
        <f t="shared" si="216"/>
        <v>63.606307974386276</v>
      </c>
      <c r="D465" s="326">
        <f t="shared" si="217"/>
        <v>1.555073967931492</v>
      </c>
      <c r="E465" s="326">
        <f t="shared" si="218"/>
        <v>1.0021723133889122</v>
      </c>
      <c r="F465" s="327">
        <f t="shared" si="219"/>
        <v>6.5854205791642598E-2</v>
      </c>
      <c r="G465" s="326">
        <f t="shared" si="220"/>
        <v>1</v>
      </c>
      <c r="H465" s="327">
        <f t="shared" si="221"/>
        <v>0</v>
      </c>
      <c r="I465" s="325">
        <f t="shared" si="222"/>
        <v>69656.238729535384</v>
      </c>
      <c r="J465" s="328">
        <f t="shared" si="223"/>
        <v>1.5707819705790247</v>
      </c>
      <c r="K465" s="336">
        <f t="shared" si="213"/>
        <v>13.530286664284564</v>
      </c>
      <c r="L465" s="337">
        <f t="shared" si="214"/>
        <v>1.4968206102967752</v>
      </c>
      <c r="M465" s="325">
        <f t="shared" si="224"/>
        <v>1.0625319773102655</v>
      </c>
      <c r="N465" s="337">
        <f t="shared" si="225"/>
        <v>0.3447849929647816</v>
      </c>
      <c r="O465" s="343">
        <f t="shared" si="226"/>
        <v>1.04546785746256</v>
      </c>
      <c r="P465" s="691">
        <f t="shared" si="227"/>
        <v>0.29600467756342014</v>
      </c>
      <c r="Q465" s="336">
        <f t="shared" si="242"/>
        <v>15.272389836015114</v>
      </c>
      <c r="R465" s="692">
        <f t="shared" si="228"/>
        <v>0.14142883506202489</v>
      </c>
      <c r="S465" s="329">
        <f t="shared" si="229"/>
        <v>0.98623384542706516</v>
      </c>
      <c r="T465" s="330">
        <f t="shared" si="230"/>
        <v>0.47380566568459415</v>
      </c>
      <c r="U465" s="331">
        <f t="shared" si="231"/>
        <v>-2.6112653864096518</v>
      </c>
      <c r="V465" s="332">
        <f t="shared" si="232"/>
        <v>-127.60892757455817</v>
      </c>
      <c r="W465" s="334">
        <f t="shared" si="233"/>
        <v>52.391072425441834</v>
      </c>
      <c r="Y465" s="307">
        <f t="shared" si="234"/>
        <v>52481</v>
      </c>
      <c r="Z465" s="307">
        <f t="shared" si="235"/>
        <v>2754255361</v>
      </c>
      <c r="AB465" s="333">
        <f t="shared" si="236"/>
        <v>22.947323779853473</v>
      </c>
      <c r="AC465" s="334">
        <f t="shared" si="237"/>
        <v>-23.992398754964483</v>
      </c>
      <c r="AE465" s="333">
        <f t="shared" si="238"/>
        <v>31.712737240441307</v>
      </c>
      <c r="AF465" s="334">
        <f t="shared" si="239"/>
        <v>-112.47307221972262</v>
      </c>
      <c r="AH465">
        <f t="shared" si="240"/>
        <v>0</v>
      </c>
      <c r="AI465">
        <f t="shared" si="215"/>
        <v>0</v>
      </c>
    </row>
    <row r="466" spans="1:35" x14ac:dyDescent="0.25">
      <c r="A466" s="335">
        <v>52786.5</v>
      </c>
      <c r="B466" s="352">
        <f t="shared" si="241"/>
        <v>52.786499999999997</v>
      </c>
      <c r="C466" s="325">
        <f t="shared" si="216"/>
        <v>63.976478855248992</v>
      </c>
      <c r="D466" s="326">
        <f t="shared" si="217"/>
        <v>1.5551649456623153</v>
      </c>
      <c r="E466" s="326">
        <f t="shared" si="218"/>
        <v>1.0021976499322984</v>
      </c>
      <c r="F466" s="327">
        <f t="shared" si="219"/>
        <v>6.6236436264909895E-2</v>
      </c>
      <c r="G466" s="326">
        <f t="shared" si="220"/>
        <v>1</v>
      </c>
      <c r="H466" s="327">
        <f t="shared" si="221"/>
        <v>0</v>
      </c>
      <c r="I466" s="325">
        <f t="shared" si="222"/>
        <v>70061.718444622733</v>
      </c>
      <c r="J466" s="328">
        <f t="shared" si="223"/>
        <v>1.5707820536651158</v>
      </c>
      <c r="K466" s="336">
        <f t="shared" si="213"/>
        <v>13.608619557787305</v>
      </c>
      <c r="L466" s="337">
        <f t="shared" si="214"/>
        <v>1.497247195364753</v>
      </c>
      <c r="M466" s="325">
        <f t="shared" si="224"/>
        <v>1.0632403917657023</v>
      </c>
      <c r="N466" s="337">
        <f t="shared" si="225"/>
        <v>0.34663548538630468</v>
      </c>
      <c r="O466" s="343">
        <f t="shared" si="226"/>
        <v>1.0459870757238852</v>
      </c>
      <c r="P466" s="691">
        <f t="shared" si="227"/>
        <v>0.29762806011845555</v>
      </c>
      <c r="Q466" s="336">
        <f t="shared" si="242"/>
        <v>15.274110560820557</v>
      </c>
      <c r="R466" s="692">
        <f t="shared" si="228"/>
        <v>0.14224156132466112</v>
      </c>
      <c r="S466" s="329">
        <f t="shared" si="229"/>
        <v>0.98616172267560909</v>
      </c>
      <c r="T466" s="330">
        <f t="shared" si="230"/>
        <v>0.47683060694564877</v>
      </c>
      <c r="U466" s="331">
        <f t="shared" si="231"/>
        <v>-2.6635423660046325</v>
      </c>
      <c r="V466" s="332">
        <f t="shared" si="232"/>
        <v>-127.80069784746499</v>
      </c>
      <c r="W466" s="334">
        <f t="shared" si="233"/>
        <v>52.199302152535012</v>
      </c>
      <c r="Y466" s="307">
        <f t="shared" si="234"/>
        <v>52786.5</v>
      </c>
      <c r="Z466" s="307">
        <f t="shared" si="235"/>
        <v>2786414582.25</v>
      </c>
      <c r="AB466" s="333">
        <f t="shared" si="236"/>
        <v>22.941260821032451</v>
      </c>
      <c r="AC466" s="334">
        <f t="shared" si="237"/>
        <v>-24.073987397315861</v>
      </c>
      <c r="AE466" s="333">
        <f t="shared" si="238"/>
        <v>31.66318912964417</v>
      </c>
      <c r="AF466" s="334">
        <f t="shared" si="239"/>
        <v>-112.62970103452136</v>
      </c>
      <c r="AH466">
        <f t="shared" si="240"/>
        <v>0</v>
      </c>
      <c r="AI466">
        <f t="shared" si="215"/>
        <v>0</v>
      </c>
    </row>
    <row r="467" spans="1:35" x14ac:dyDescent="0.25">
      <c r="A467" s="335">
        <v>53092</v>
      </c>
      <c r="B467" s="352">
        <f t="shared" si="241"/>
        <v>53.091999999999999</v>
      </c>
      <c r="C467" s="325">
        <f t="shared" si="216"/>
        <v>64.346650259549122</v>
      </c>
      <c r="D467" s="326">
        <f t="shared" si="217"/>
        <v>1.5552548766461667</v>
      </c>
      <c r="E467" s="326">
        <f t="shared" si="218"/>
        <v>1.0022231328894804</v>
      </c>
      <c r="F467" s="327">
        <f t="shared" si="219"/>
        <v>6.6618647356502539E-2</v>
      </c>
      <c r="G467" s="326">
        <f t="shared" si="220"/>
        <v>1</v>
      </c>
      <c r="H467" s="327">
        <f t="shared" si="221"/>
        <v>0</v>
      </c>
      <c r="I467" s="325">
        <f t="shared" si="222"/>
        <v>70467.198159710577</v>
      </c>
      <c r="J467" s="328">
        <f t="shared" si="223"/>
        <v>1.5707821357950251</v>
      </c>
      <c r="K467" s="336">
        <f t="shared" si="213"/>
        <v>13.686954899369825</v>
      </c>
      <c r="L467" s="337">
        <f t="shared" si="214"/>
        <v>1.4976688975106942</v>
      </c>
      <c r="M467" s="325">
        <f t="shared" si="224"/>
        <v>1.0639524422431199</v>
      </c>
      <c r="N467" s="337">
        <f t="shared" si="225"/>
        <v>0.34848350724384086</v>
      </c>
      <c r="O467" s="343">
        <f t="shared" si="226"/>
        <v>1.0465090478095966</v>
      </c>
      <c r="P467" s="691">
        <f t="shared" si="227"/>
        <v>0.29924982754007962</v>
      </c>
      <c r="Q467" s="336">
        <f t="shared" si="242"/>
        <v>15.27584107781527</v>
      </c>
      <c r="R467" s="692">
        <f t="shared" si="228"/>
        <v>0.14305410673030319</v>
      </c>
      <c r="S467" s="329">
        <f t="shared" si="229"/>
        <v>0.98609126576774597</v>
      </c>
      <c r="T467" s="330">
        <f t="shared" si="230"/>
        <v>0.47985984689895678</v>
      </c>
      <c r="U467" s="331">
        <f t="shared" si="231"/>
        <v>-2.7155478590776152</v>
      </c>
      <c r="V467" s="332">
        <f t="shared" si="232"/>
        <v>-127.99287589473542</v>
      </c>
      <c r="W467" s="334">
        <f t="shared" si="233"/>
        <v>52.00712410526458</v>
      </c>
      <c r="Y467" s="307">
        <f t="shared" si="234"/>
        <v>53092</v>
      </c>
      <c r="Z467" s="307">
        <f t="shared" si="235"/>
        <v>2818760464</v>
      </c>
      <c r="AB467" s="333">
        <f t="shared" si="236"/>
        <v>22.935176730476687</v>
      </c>
      <c r="AC467" s="334">
        <f t="shared" si="237"/>
        <v>-24.15571420281713</v>
      </c>
      <c r="AE467" s="333">
        <f t="shared" si="238"/>
        <v>31.613918378557496</v>
      </c>
      <c r="AF467" s="334">
        <f t="shared" si="239"/>
        <v>-112.7865172825483</v>
      </c>
      <c r="AH467">
        <f t="shared" si="240"/>
        <v>0</v>
      </c>
      <c r="AI467">
        <f t="shared" si="215"/>
        <v>0</v>
      </c>
    </row>
    <row r="468" spans="1:35" x14ac:dyDescent="0.25">
      <c r="A468" s="335">
        <v>53397.5</v>
      </c>
      <c r="B468" s="352">
        <f t="shared" si="241"/>
        <v>53.397500000000001</v>
      </c>
      <c r="C468" s="325">
        <f t="shared" si="216"/>
        <v>64.716822178304739</v>
      </c>
      <c r="D468" s="326">
        <f t="shared" si="217"/>
        <v>1.555343778843354</v>
      </c>
      <c r="E468" s="326">
        <f t="shared" si="218"/>
        <v>1.0022487622492906</v>
      </c>
      <c r="F468" s="327">
        <f t="shared" si="219"/>
        <v>6.7000838956232336E-2</v>
      </c>
      <c r="G468" s="326">
        <f t="shared" si="220"/>
        <v>1</v>
      </c>
      <c r="H468" s="327">
        <f t="shared" si="221"/>
        <v>0</v>
      </c>
      <c r="I468" s="325">
        <f t="shared" si="222"/>
        <v>70872.677874798886</v>
      </c>
      <c r="J468" s="328">
        <f t="shared" si="223"/>
        <v>1.5707822169851644</v>
      </c>
      <c r="K468" s="336">
        <f t="shared" si="213"/>
        <v>13.765292647237622</v>
      </c>
      <c r="L468" s="337">
        <f t="shared" si="214"/>
        <v>1.498085799948879</v>
      </c>
      <c r="M468" s="325">
        <f t="shared" si="224"/>
        <v>1.0646681214471994</v>
      </c>
      <c r="N468" s="337">
        <f t="shared" si="225"/>
        <v>0.35032905088436039</v>
      </c>
      <c r="O468" s="343">
        <f t="shared" si="226"/>
        <v>1.0470337696011471</v>
      </c>
      <c r="P468" s="691">
        <f t="shared" si="227"/>
        <v>0.3008699737193275</v>
      </c>
      <c r="Q468" s="336">
        <f t="shared" si="242"/>
        <v>15.277581383674734</v>
      </c>
      <c r="R468" s="692">
        <f t="shared" si="228"/>
        <v>0.14386647031464248</v>
      </c>
      <c r="S468" s="329">
        <f t="shared" si="229"/>
        <v>0.98602251134672103</v>
      </c>
      <c r="T468" s="330">
        <f t="shared" si="230"/>
        <v>0.48289339874403614</v>
      </c>
      <c r="U468" s="331">
        <f t="shared" si="231"/>
        <v>-2.7672855807182528</v>
      </c>
      <c r="V468" s="332">
        <f t="shared" si="232"/>
        <v>-128.18545859740323</v>
      </c>
      <c r="W468" s="334">
        <f t="shared" si="233"/>
        <v>51.814541402596774</v>
      </c>
      <c r="Y468" s="307">
        <f t="shared" si="234"/>
        <v>53397.5</v>
      </c>
      <c r="Z468" s="307">
        <f t="shared" si="235"/>
        <v>2851293006.25</v>
      </c>
      <c r="AB468" s="333">
        <f t="shared" si="236"/>
        <v>22.929071515438931</v>
      </c>
      <c r="AC468" s="334">
        <f t="shared" si="237"/>
        <v>-24.237573966095262</v>
      </c>
      <c r="AE468" s="333">
        <f t="shared" si="238"/>
        <v>31.564921327308241</v>
      </c>
      <c r="AF468" s="334">
        <f t="shared" si="239"/>
        <v>-112.94352275544328</v>
      </c>
      <c r="AH468">
        <f t="shared" si="240"/>
        <v>0</v>
      </c>
      <c r="AI468">
        <f t="shared" si="215"/>
        <v>0</v>
      </c>
    </row>
    <row r="469" spans="1:35" x14ac:dyDescent="0.25">
      <c r="A469" s="335">
        <v>53703</v>
      </c>
      <c r="B469" s="352">
        <f t="shared" si="241"/>
        <v>53.703000000000003</v>
      </c>
      <c r="C469" s="325">
        <f t="shared" si="216"/>
        <v>65.086994602738145</v>
      </c>
      <c r="D469" s="326">
        <f t="shared" si="217"/>
        <v>1.5554316698056645</v>
      </c>
      <c r="E469" s="326">
        <f t="shared" si="218"/>
        <v>1.0022745380004974</v>
      </c>
      <c r="F469" s="327">
        <f t="shared" si="219"/>
        <v>6.7383010953945083E-2</v>
      </c>
      <c r="G469" s="326">
        <f t="shared" si="220"/>
        <v>1</v>
      </c>
      <c r="H469" s="327">
        <f t="shared" si="221"/>
        <v>0</v>
      </c>
      <c r="I469" s="325">
        <f t="shared" si="222"/>
        <v>71278.157589887676</v>
      </c>
      <c r="J469" s="328">
        <f t="shared" si="223"/>
        <v>1.5707822972515717</v>
      </c>
      <c r="K469" s="336">
        <f t="shared" si="213"/>
        <v>13.843632760540949</v>
      </c>
      <c r="L469" s="337">
        <f t="shared" si="214"/>
        <v>1.4984979840167358</v>
      </c>
      <c r="M469" s="325">
        <f t="shared" si="224"/>
        <v>1.0653874220650963</v>
      </c>
      <c r="N469" s="337">
        <f t="shared" si="225"/>
        <v>0.3521721087428718</v>
      </c>
      <c r="O469" s="343">
        <f t="shared" si="226"/>
        <v>1.0475612369665661</v>
      </c>
      <c r="P469" s="691">
        <f t="shared" si="227"/>
        <v>0.30248849259348654</v>
      </c>
      <c r="Q469" s="336">
        <f t="shared" si="242"/>
        <v>15.279331475057139</v>
      </c>
      <c r="R469" s="692">
        <f t="shared" si="228"/>
        <v>0.14467865111474013</v>
      </c>
      <c r="S469" s="329">
        <f t="shared" si="229"/>
        <v>0.98595549626672019</v>
      </c>
      <c r="T469" s="330">
        <f t="shared" si="230"/>
        <v>0.48593127541741626</v>
      </c>
      <c r="U469" s="331">
        <f t="shared" si="231"/>
        <v>-2.818759187879682</v>
      </c>
      <c r="V469" s="332">
        <f t="shared" si="232"/>
        <v>-128.37844290801274</v>
      </c>
      <c r="W469" s="334">
        <f t="shared" si="233"/>
        <v>51.621557091987256</v>
      </c>
      <c r="Y469" s="307">
        <f t="shared" si="234"/>
        <v>53703</v>
      </c>
      <c r="Z469" s="307">
        <f t="shared" si="235"/>
        <v>2884012209</v>
      </c>
      <c r="AB469" s="333">
        <f t="shared" si="236"/>
        <v>22.922945186318643</v>
      </c>
      <c r="AC469" s="334">
        <f t="shared" si="237"/>
        <v>-24.319561594335713</v>
      </c>
      <c r="AE469" s="333">
        <f t="shared" si="238"/>
        <v>31.516194371151887</v>
      </c>
      <c r="AF469" s="334">
        <f t="shared" si="239"/>
        <v>-113.10071920636953</v>
      </c>
      <c r="AH469">
        <f t="shared" si="240"/>
        <v>0</v>
      </c>
      <c r="AI469">
        <f t="shared" si="215"/>
        <v>0</v>
      </c>
    </row>
    <row r="470" spans="1:35" x14ac:dyDescent="0.25">
      <c r="A470" s="335">
        <v>54015.75</v>
      </c>
      <c r="B470" s="352">
        <f t="shared" si="241"/>
        <v>54.015749999999997</v>
      </c>
      <c r="C470" s="325">
        <f t="shared" si="216"/>
        <v>65.465952321339827</v>
      </c>
      <c r="D470" s="326">
        <f t="shared" si="217"/>
        <v>1.5555206169515778</v>
      </c>
      <c r="E470" s="326">
        <f t="shared" si="218"/>
        <v>1.0023010770831793</v>
      </c>
      <c r="F470" s="327">
        <f t="shared" si="219"/>
        <v>6.7774232079594598E-2</v>
      </c>
      <c r="G470" s="326">
        <f t="shared" si="220"/>
        <v>1</v>
      </c>
      <c r="H470" s="327">
        <f t="shared" si="221"/>
        <v>0</v>
      </c>
      <c r="I470" s="325">
        <f t="shared" si="222"/>
        <v>71693.259982339892</v>
      </c>
      <c r="J470" s="328">
        <f t="shared" si="223"/>
        <v>1.5707823784823178</v>
      </c>
      <c r="K470" s="336">
        <f t="shared" si="213"/>
        <v>13.923834417721773</v>
      </c>
      <c r="L470" s="337">
        <f t="shared" si="214"/>
        <v>1.4989151452127294</v>
      </c>
      <c r="M470" s="325">
        <f t="shared" si="224"/>
        <v>1.0661275365217966</v>
      </c>
      <c r="N470" s="337">
        <f t="shared" si="225"/>
        <v>0.35405632251494157</v>
      </c>
      <c r="O470" s="343">
        <f t="shared" si="226"/>
        <v>1.0481040617241724</v>
      </c>
      <c r="P470" s="691">
        <f t="shared" si="227"/>
        <v>0.30414372951758462</v>
      </c>
      <c r="Q470" s="336">
        <f t="shared" si="242"/>
        <v>15.281133231996694</v>
      </c>
      <c r="R470" s="692">
        <f t="shared" si="228"/>
        <v>0.14550991590832427</v>
      </c>
      <c r="S470" s="329">
        <f t="shared" si="229"/>
        <v>0.98588873125869281</v>
      </c>
      <c r="T470" s="330">
        <f t="shared" si="230"/>
        <v>0.48904573895310621</v>
      </c>
      <c r="U470" s="331">
        <f t="shared" si="231"/>
        <v>-2.8711845133513139</v>
      </c>
      <c r="V470" s="332">
        <f t="shared" si="232"/>
        <v>-128.57641995058287</v>
      </c>
      <c r="W470" s="334">
        <f t="shared" si="233"/>
        <v>51.423580049417126</v>
      </c>
      <c r="Y470" s="307">
        <f t="shared" si="234"/>
        <v>54015.75</v>
      </c>
      <c r="Z470" s="307">
        <f t="shared" si="235"/>
        <v>2917701248.0625</v>
      </c>
      <c r="AB470" s="333">
        <f t="shared" si="236"/>
        <v>22.916651612097819</v>
      </c>
      <c r="AC470" s="334">
        <f t="shared" si="237"/>
        <v>-24.403622169543652</v>
      </c>
      <c r="AE470" s="333">
        <f t="shared" si="238"/>
        <v>31.466587125726718</v>
      </c>
      <c r="AF470" s="334">
        <f t="shared" si="239"/>
        <v>-113.26184579930057</v>
      </c>
      <c r="AH470">
        <f t="shared" si="240"/>
        <v>0</v>
      </c>
      <c r="AI470">
        <f t="shared" si="215"/>
        <v>0</v>
      </c>
    </row>
    <row r="471" spans="1:35" x14ac:dyDescent="0.25">
      <c r="A471" s="335">
        <v>54328.5</v>
      </c>
      <c r="B471" s="352">
        <f t="shared" si="241"/>
        <v>54.328499999999998</v>
      </c>
      <c r="C471" s="325">
        <f t="shared" si="216"/>
        <v>65.844910551919767</v>
      </c>
      <c r="D471" s="326">
        <f t="shared" si="217"/>
        <v>1.555608540260415</v>
      </c>
      <c r="E471" s="326">
        <f t="shared" si="218"/>
        <v>1.0023277695638817</v>
      </c>
      <c r="F471" s="327">
        <f t="shared" si="219"/>
        <v>6.8165432428294884E-2</v>
      </c>
      <c r="G471" s="326">
        <f t="shared" si="220"/>
        <v>1</v>
      </c>
      <c r="H471" s="327">
        <f t="shared" si="221"/>
        <v>0</v>
      </c>
      <c r="I471" s="325">
        <f t="shared" si="222"/>
        <v>72108.362374792589</v>
      </c>
      <c r="J471" s="328">
        <f t="shared" si="223"/>
        <v>1.5707824587778303</v>
      </c>
      <c r="K471" s="336">
        <f t="shared" ref="K471:K534" si="243">SQRT(1+(A471/Zero2)^2)</f>
        <v>14.004038470222174</v>
      </c>
      <c r="L471" s="337">
        <f t="shared" ref="L471:L534" si="244">ATAN(A471/Zero2)</f>
        <v>1.4993275281412501</v>
      </c>
      <c r="M471" s="325">
        <f t="shared" si="224"/>
        <v>1.0668714307507172</v>
      </c>
      <c r="N471" s="337">
        <f t="shared" si="225"/>
        <v>0.35593791535929231</v>
      </c>
      <c r="O471" s="343">
        <f t="shared" si="226"/>
        <v>1.0486497551094964</v>
      </c>
      <c r="P471" s="691">
        <f t="shared" si="227"/>
        <v>0.3057972482730979</v>
      </c>
      <c r="Q471" s="336">
        <f t="shared" si="242"/>
        <v>15.282945237279181</v>
      </c>
      <c r="R471" s="692">
        <f t="shared" si="228"/>
        <v>0.14634098710130886</v>
      </c>
      <c r="S471" s="329">
        <f t="shared" si="229"/>
        <v>0.98582386796563815</v>
      </c>
      <c r="T471" s="330">
        <f t="shared" si="230"/>
        <v>0.49216476160298633</v>
      </c>
      <c r="U471" s="331">
        <f t="shared" si="231"/>
        <v>-2.9233406152778811</v>
      </c>
      <c r="V471" s="332">
        <f t="shared" si="232"/>
        <v>-128.77481164423213</v>
      </c>
      <c r="W471" s="334">
        <f t="shared" si="233"/>
        <v>51.22518835576787</v>
      </c>
      <c r="Y471" s="307">
        <f t="shared" si="234"/>
        <v>54328.5</v>
      </c>
      <c r="Z471" s="307">
        <f t="shared" si="235"/>
        <v>2951585912.25</v>
      </c>
      <c r="AB471" s="333">
        <f t="shared" si="236"/>
        <v>22.910335941463565</v>
      </c>
      <c r="AC471" s="334">
        <f t="shared" si="237"/>
        <v>-24.487806297629653</v>
      </c>
      <c r="AE471" s="333">
        <f t="shared" si="238"/>
        <v>31.41725547320593</v>
      </c>
      <c r="AF471" s="334">
        <f t="shared" si="239"/>
        <v>-113.42317613912137</v>
      </c>
      <c r="AH471">
        <f t="shared" si="240"/>
        <v>0</v>
      </c>
      <c r="AI471">
        <f t="shared" si="215"/>
        <v>0</v>
      </c>
    </row>
    <row r="472" spans="1:35" x14ac:dyDescent="0.25">
      <c r="A472" s="335">
        <v>54641.25</v>
      </c>
      <c r="B472" s="352">
        <f t="shared" si="241"/>
        <v>54.641249999999999</v>
      </c>
      <c r="C472" s="325">
        <f t="shared" si="216"/>
        <v>66.223869285688792</v>
      </c>
      <c r="D472" s="326">
        <f t="shared" si="217"/>
        <v>1.5556954573071866</v>
      </c>
      <c r="E472" s="326">
        <f t="shared" si="218"/>
        <v>1.0023546154303502</v>
      </c>
      <c r="F472" s="327">
        <f t="shared" si="219"/>
        <v>6.8556611881973734E-2</v>
      </c>
      <c r="G472" s="326">
        <f t="shared" si="220"/>
        <v>1</v>
      </c>
      <c r="H472" s="327">
        <f t="shared" si="221"/>
        <v>0</v>
      </c>
      <c r="I472" s="325">
        <f t="shared" si="222"/>
        <v>72523.464767245765</v>
      </c>
      <c r="J472" s="328">
        <f t="shared" si="223"/>
        <v>1.5707825381541685</v>
      </c>
      <c r="K472" s="336">
        <f t="shared" si="243"/>
        <v>14.084244877121032</v>
      </c>
      <c r="L472" s="337">
        <f t="shared" si="244"/>
        <v>1.499735214294099</v>
      </c>
      <c r="M472" s="325">
        <f t="shared" si="224"/>
        <v>1.0676190968508643</v>
      </c>
      <c r="N472" s="337">
        <f t="shared" si="225"/>
        <v>0.35781687944535695</v>
      </c>
      <c r="O472" s="343">
        <f t="shared" si="226"/>
        <v>1.0491983126465747</v>
      </c>
      <c r="P472" s="691">
        <f t="shared" si="227"/>
        <v>0.30744904250613719</v>
      </c>
      <c r="Q472" s="336">
        <f t="shared" si="242"/>
        <v>15.284767487263098</v>
      </c>
      <c r="R472" s="692">
        <f t="shared" si="228"/>
        <v>0.14717186366506119</v>
      </c>
      <c r="S472" s="329">
        <f t="shared" si="229"/>
        <v>0.98576094661149827</v>
      </c>
      <c r="T472" s="330">
        <f t="shared" si="230"/>
        <v>0.49528835637041274</v>
      </c>
      <c r="U472" s="331">
        <f t="shared" si="231"/>
        <v>-2.9752312367898726</v>
      </c>
      <c r="V472" s="332">
        <f t="shared" si="232"/>
        <v>-128.973614935977</v>
      </c>
      <c r="W472" s="334">
        <f t="shared" si="233"/>
        <v>51.026385064023003</v>
      </c>
      <c r="Y472" s="307">
        <f t="shared" si="234"/>
        <v>54641.25</v>
      </c>
      <c r="Z472" s="307">
        <f t="shared" si="235"/>
        <v>2985666201.5625</v>
      </c>
      <c r="AB472" s="333">
        <f t="shared" si="236"/>
        <v>22.903998195134115</v>
      </c>
      <c r="AC472" s="334">
        <f t="shared" si="237"/>
        <v>-24.572108861719148</v>
      </c>
      <c r="AE472" s="333">
        <f t="shared" si="238"/>
        <v>31.368195717345966</v>
      </c>
      <c r="AF472" s="334">
        <f t="shared" si="239"/>
        <v>-113.58471198460838</v>
      </c>
      <c r="AH472">
        <f t="shared" si="240"/>
        <v>0</v>
      </c>
      <c r="AI472">
        <f t="shared" si="215"/>
        <v>0</v>
      </c>
    </row>
    <row r="473" spans="1:35" x14ac:dyDescent="0.25">
      <c r="A473" s="335">
        <v>54954</v>
      </c>
      <c r="B473" s="352">
        <f t="shared" si="241"/>
        <v>54.954000000000001</v>
      </c>
      <c r="C473" s="325">
        <f t="shared" si="216"/>
        <v>66.602828514057691</v>
      </c>
      <c r="D473" s="326">
        <f t="shared" si="217"/>
        <v>1.5557813852669689</v>
      </c>
      <c r="E473" s="326">
        <f t="shared" si="218"/>
        <v>1.0023816146702607</v>
      </c>
      <c r="F473" s="327">
        <f t="shared" si="219"/>
        <v>6.8947770322597232E-2</v>
      </c>
      <c r="G473" s="326">
        <f t="shared" si="220"/>
        <v>1</v>
      </c>
      <c r="H473" s="327">
        <f t="shared" si="221"/>
        <v>0</v>
      </c>
      <c r="I473" s="325">
        <f t="shared" si="222"/>
        <v>72938.567159699378</v>
      </c>
      <c r="J473" s="328">
        <f t="shared" si="223"/>
        <v>1.5707826166270256</v>
      </c>
      <c r="K473" s="336">
        <f t="shared" si="243"/>
        <v>14.164453598422909</v>
      </c>
      <c r="L473" s="337">
        <f t="shared" si="244"/>
        <v>1.5001382833235561</v>
      </c>
      <c r="M473" s="325">
        <f t="shared" si="224"/>
        <v>1.068370526903355</v>
      </c>
      <c r="N473" s="337">
        <f t="shared" si="225"/>
        <v>0.3596932070386793</v>
      </c>
      <c r="O473" s="343">
        <f t="shared" si="226"/>
        <v>1.0497497298453311</v>
      </c>
      <c r="P473" s="691">
        <f t="shared" si="227"/>
        <v>0.30909910591370121</v>
      </c>
      <c r="Q473" s="336">
        <f t="shared" si="242"/>
        <v>15.286599978288081</v>
      </c>
      <c r="R473" s="692">
        <f t="shared" si="228"/>
        <v>0.14800254457248058</v>
      </c>
      <c r="S473" s="329">
        <f t="shared" si="229"/>
        <v>0.98570000764923549</v>
      </c>
      <c r="T473" s="330">
        <f t="shared" si="230"/>
        <v>0.4984165359565359</v>
      </c>
      <c r="U473" s="331">
        <f t="shared" si="231"/>
        <v>-3.0268600630556768</v>
      </c>
      <c r="V473" s="332">
        <f t="shared" si="232"/>
        <v>-129.17282684065688</v>
      </c>
      <c r="W473" s="334">
        <f t="shared" si="233"/>
        <v>50.827173159343118</v>
      </c>
      <c r="Y473" s="307">
        <f t="shared" si="234"/>
        <v>54954</v>
      </c>
      <c r="Z473" s="307">
        <f t="shared" si="235"/>
        <v>3019942116</v>
      </c>
      <c r="AB473" s="333">
        <f t="shared" si="236"/>
        <v>22.897638396833369</v>
      </c>
      <c r="AC473" s="334">
        <f t="shared" si="237"/>
        <v>-24.656524855820109</v>
      </c>
      <c r="AE473" s="333">
        <f t="shared" si="238"/>
        <v>31.319404216999427</v>
      </c>
      <c r="AF473" s="334">
        <f t="shared" si="239"/>
        <v>-113.74645505430608</v>
      </c>
      <c r="AH473">
        <f t="shared" si="240"/>
        <v>0</v>
      </c>
      <c r="AI473">
        <f t="shared" si="215"/>
        <v>0</v>
      </c>
    </row>
    <row r="474" spans="1:35" x14ac:dyDescent="0.25">
      <c r="A474" s="335">
        <v>55274</v>
      </c>
      <c r="B474" s="352">
        <f t="shared" si="241"/>
        <v>55.274000000000001</v>
      </c>
      <c r="C474" s="325">
        <f t="shared" si="216"/>
        <v>66.990573071839904</v>
      </c>
      <c r="D474" s="326">
        <f t="shared" si="217"/>
        <v>1.5558682989230361</v>
      </c>
      <c r="E474" s="326">
        <f t="shared" si="218"/>
        <v>1.002409398526686</v>
      </c>
      <c r="F474" s="327">
        <f t="shared" si="219"/>
        <v>6.9347974512500923E-2</v>
      </c>
      <c r="G474" s="326">
        <f t="shared" si="220"/>
        <v>1</v>
      </c>
      <c r="H474" s="327">
        <f t="shared" si="221"/>
        <v>0</v>
      </c>
      <c r="I474" s="325">
        <f t="shared" si="222"/>
        <v>73363.292229516475</v>
      </c>
      <c r="J474" s="328">
        <f t="shared" si="223"/>
        <v>1.5707826959998541</v>
      </c>
      <c r="K474" s="336">
        <f t="shared" si="243"/>
        <v>14.246524029303758</v>
      </c>
      <c r="L474" s="337">
        <f t="shared" si="244"/>
        <v>1.5005459983730012</v>
      </c>
      <c r="M474" s="325">
        <f t="shared" si="224"/>
        <v>1.0691432637640788</v>
      </c>
      <c r="N474" s="337">
        <f t="shared" si="225"/>
        <v>0.36161029379093318</v>
      </c>
      <c r="O474" s="343">
        <f t="shared" si="226"/>
        <v>1.0503168848657334</v>
      </c>
      <c r="P474" s="691">
        <f t="shared" si="227"/>
        <v>0.31078562219564104</v>
      </c>
      <c r="Q474" s="336">
        <f t="shared" si="242"/>
        <v>15.288485545179446</v>
      </c>
      <c r="R474" s="692">
        <f t="shared" si="228"/>
        <v>0.14885227828984623</v>
      </c>
      <c r="S474" s="329">
        <f t="shared" si="229"/>
        <v>0.9856397503232871</v>
      </c>
      <c r="T474" s="330">
        <f t="shared" si="230"/>
        <v>0.50162198969836103</v>
      </c>
      <c r="U474" s="331">
        <f t="shared" si="231"/>
        <v>-3.0794185362691398</v>
      </c>
      <c r="V474" s="332">
        <f t="shared" si="232"/>
        <v>-129.3770766530663</v>
      </c>
      <c r="W474" s="334">
        <f t="shared" si="233"/>
        <v>50.622923346933703</v>
      </c>
      <c r="Y474" s="307">
        <f t="shared" si="234"/>
        <v>55274</v>
      </c>
      <c r="Z474" s="307">
        <f t="shared" si="235"/>
        <v>3055215076</v>
      </c>
      <c r="AB474" s="333">
        <f t="shared" si="236"/>
        <v>22.891108372252852</v>
      </c>
      <c r="AC474" s="334">
        <f t="shared" si="237"/>
        <v>-24.743010031934432</v>
      </c>
      <c r="AE474" s="333">
        <f t="shared" si="238"/>
        <v>31.269755572703296</v>
      </c>
      <c r="AF474" s="334">
        <f t="shared" si="239"/>
        <v>-113.91216379997618</v>
      </c>
      <c r="AH474">
        <f t="shared" si="240"/>
        <v>0</v>
      </c>
      <c r="AI474">
        <f t="shared" ref="AI474:AI537" si="245">IF(AH474&gt;0,W474,0)</f>
        <v>0</v>
      </c>
    </row>
    <row r="475" spans="1:35" x14ac:dyDescent="0.25">
      <c r="A475" s="335">
        <v>55594</v>
      </c>
      <c r="B475" s="352">
        <f t="shared" si="241"/>
        <v>55.594000000000001</v>
      </c>
      <c r="C475" s="325">
        <f t="shared" si="216"/>
        <v>67.378318129843464</v>
      </c>
      <c r="D475" s="326">
        <f t="shared" si="217"/>
        <v>1.5559542122478427</v>
      </c>
      <c r="E475" s="326">
        <f t="shared" si="218"/>
        <v>1.0024373429234879</v>
      </c>
      <c r="F475" s="327">
        <f t="shared" si="219"/>
        <v>6.9748156453950133E-2</v>
      </c>
      <c r="G475" s="326">
        <f t="shared" si="220"/>
        <v>1</v>
      </c>
      <c r="H475" s="327">
        <f t="shared" si="221"/>
        <v>0</v>
      </c>
      <c r="I475" s="325">
        <f t="shared" si="222"/>
        <v>73788.017299334053</v>
      </c>
      <c r="J475" s="328">
        <f t="shared" si="223"/>
        <v>1.5707827744589398</v>
      </c>
      <c r="K475" s="336">
        <f t="shared" si="243"/>
        <v>14.328596801277213</v>
      </c>
      <c r="L475" s="337">
        <f t="shared" si="244"/>
        <v>1.5009490427866092</v>
      </c>
      <c r="M475" s="325">
        <f t="shared" si="224"/>
        <v>1.0699199242789834</v>
      </c>
      <c r="N475" s="337">
        <f t="shared" si="225"/>
        <v>0.3635246043234473</v>
      </c>
      <c r="O475" s="343">
        <f t="shared" si="226"/>
        <v>1.0508870241119272</v>
      </c>
      <c r="P475" s="691">
        <f t="shared" si="227"/>
        <v>0.3124703132888883</v>
      </c>
      <c r="Q475" s="336">
        <f t="shared" si="242"/>
        <v>15.290381825606516</v>
      </c>
      <c r="R475" s="692">
        <f t="shared" si="228"/>
        <v>0.1497018050040122</v>
      </c>
      <c r="S475" s="329">
        <f t="shared" si="229"/>
        <v>0.98558165477714577</v>
      </c>
      <c r="T475" s="330">
        <f t="shared" si="230"/>
        <v>0.50483226920665203</v>
      </c>
      <c r="U475" s="331">
        <f t="shared" si="231"/>
        <v>-3.1317105615009377</v>
      </c>
      <c r="V475" s="332">
        <f t="shared" si="232"/>
        <v>-129.58174812640343</v>
      </c>
      <c r="W475" s="334">
        <f t="shared" si="233"/>
        <v>50.418251873596574</v>
      </c>
      <c r="Y475" s="307">
        <f t="shared" si="234"/>
        <v>55594</v>
      </c>
      <c r="Z475" s="307">
        <f t="shared" si="235"/>
        <v>3090692836</v>
      </c>
      <c r="AB475" s="333">
        <f t="shared" si="236"/>
        <v>22.884555320899427</v>
      </c>
      <c r="AC475" s="334">
        <f t="shared" si="237"/>
        <v>-24.829603697742286</v>
      </c>
      <c r="AE475" s="333">
        <f t="shared" si="238"/>
        <v>31.220380224124614</v>
      </c>
      <c r="AF475" s="334">
        <f t="shared" si="239"/>
        <v>-114.07809300168117</v>
      </c>
      <c r="AH475">
        <f t="shared" si="240"/>
        <v>0</v>
      </c>
      <c r="AI475">
        <f t="shared" si="245"/>
        <v>0</v>
      </c>
    </row>
    <row r="476" spans="1:35" x14ac:dyDescent="0.25">
      <c r="A476" s="335">
        <v>55914</v>
      </c>
      <c r="B476" s="352">
        <f t="shared" si="241"/>
        <v>55.914000000000001</v>
      </c>
      <c r="C476" s="325">
        <f t="shared" si="216"/>
        <v>67.766063679481888</v>
      </c>
      <c r="D476" s="326">
        <f t="shared" si="217"/>
        <v>1.5560391424112703</v>
      </c>
      <c r="E476" s="326">
        <f t="shared" si="218"/>
        <v>1.0024654478472406</v>
      </c>
      <c r="F476" s="327">
        <f t="shared" si="219"/>
        <v>7.0148316020636009E-2</v>
      </c>
      <c r="G476" s="326">
        <f t="shared" si="220"/>
        <v>1</v>
      </c>
      <c r="H476" s="327">
        <f t="shared" si="221"/>
        <v>0</v>
      </c>
      <c r="I476" s="325">
        <f t="shared" si="222"/>
        <v>74212.742369152067</v>
      </c>
      <c r="J476" s="328">
        <f t="shared" si="223"/>
        <v>1.5707828520199711</v>
      </c>
      <c r="K476" s="336">
        <f t="shared" si="243"/>
        <v>14.410671874343757</v>
      </c>
      <c r="L476" s="337">
        <f t="shared" si="244"/>
        <v>1.5013474962362396</v>
      </c>
      <c r="M476" s="325">
        <f t="shared" si="224"/>
        <v>1.0707004999096945</v>
      </c>
      <c r="N476" s="337">
        <f t="shared" si="225"/>
        <v>0.36543613066263292</v>
      </c>
      <c r="O476" s="343">
        <f t="shared" si="226"/>
        <v>1.051460142729451</v>
      </c>
      <c r="P476" s="691">
        <f t="shared" si="227"/>
        <v>0.31415317260736719</v>
      </c>
      <c r="Q476" s="336">
        <f t="shared" si="242"/>
        <v>15.292288815587403</v>
      </c>
      <c r="R476" s="692">
        <f t="shared" si="228"/>
        <v>0.15055112361980677</v>
      </c>
      <c r="S476" s="329">
        <f t="shared" si="229"/>
        <v>0.98552576508234424</v>
      </c>
      <c r="T476" s="330">
        <f t="shared" si="230"/>
        <v>0.50804738708168629</v>
      </c>
      <c r="U476" s="331">
        <f t="shared" si="231"/>
        <v>-3.1837399066625069</v>
      </c>
      <c r="V476" s="332">
        <f t="shared" si="232"/>
        <v>-129.78683826739996</v>
      </c>
      <c r="W476" s="334">
        <f t="shared" si="233"/>
        <v>50.213161732600042</v>
      </c>
      <c r="Y476" s="307">
        <f t="shared" si="234"/>
        <v>55914</v>
      </c>
      <c r="Z476" s="307">
        <f t="shared" si="235"/>
        <v>3126375396</v>
      </c>
      <c r="AB476" s="333">
        <f t="shared" si="236"/>
        <v>22.87797927729271</v>
      </c>
      <c r="AC476" s="334">
        <f t="shared" si="237"/>
        <v>-24.916300832428281</v>
      </c>
      <c r="AE476" s="333">
        <f t="shared" si="238"/>
        <v>31.171274441831684</v>
      </c>
      <c r="AF476" s="334">
        <f t="shared" si="239"/>
        <v>-114.24424437236243</v>
      </c>
      <c r="AH476">
        <f t="shared" si="240"/>
        <v>0</v>
      </c>
      <c r="AI476">
        <f t="shared" si="245"/>
        <v>0</v>
      </c>
    </row>
    <row r="477" spans="1:35" x14ac:dyDescent="0.25">
      <c r="A477" s="335">
        <v>56234</v>
      </c>
      <c r="B477" s="352">
        <f t="shared" si="241"/>
        <v>56.234000000000002</v>
      </c>
      <c r="C477" s="325">
        <f t="shared" si="216"/>
        <v>68.153809712364023</v>
      </c>
      <c r="D477" s="326">
        <f t="shared" si="217"/>
        <v>1.5561231061925209</v>
      </c>
      <c r="E477" s="326">
        <f t="shared" si="218"/>
        <v>1.0024937132844429</v>
      </c>
      <c r="F477" s="327">
        <f t="shared" si="219"/>
        <v>7.0548453086292609E-2</v>
      </c>
      <c r="G477" s="326">
        <f t="shared" si="220"/>
        <v>1</v>
      </c>
      <c r="H477" s="327">
        <f t="shared" si="221"/>
        <v>0</v>
      </c>
      <c r="I477" s="325">
        <f t="shared" si="222"/>
        <v>74637.467438970503</v>
      </c>
      <c r="J477" s="328">
        <f t="shared" si="223"/>
        <v>1.5707829286982791</v>
      </c>
      <c r="K477" s="336">
        <f t="shared" si="243"/>
        <v>14.492749209408865</v>
      </c>
      <c r="L477" s="337">
        <f t="shared" si="244"/>
        <v>1.5017414365948241</v>
      </c>
      <c r="M477" s="325">
        <f t="shared" si="224"/>
        <v>1.0714849820997392</v>
      </c>
      <c r="N477" s="337">
        <f t="shared" si="225"/>
        <v>0.3673448649394635</v>
      </c>
      <c r="O477" s="343">
        <f t="shared" si="226"/>
        <v>1.0520362358490818</v>
      </c>
      <c r="P477" s="691">
        <f t="shared" si="227"/>
        <v>0.31583419362081661</v>
      </c>
      <c r="Q477" s="336">
        <f t="shared" si="242"/>
        <v>15.294206511119713</v>
      </c>
      <c r="R477" s="692">
        <f t="shared" si="228"/>
        <v>0.15140023304376815</v>
      </c>
      <c r="S477" s="329">
        <f t="shared" si="229"/>
        <v>0.98547212555801156</v>
      </c>
      <c r="T477" s="330">
        <f t="shared" si="230"/>
        <v>0.51126735557734904</v>
      </c>
      <c r="U477" s="331">
        <f t="shared" si="231"/>
        <v>-3.2355102820001806</v>
      </c>
      <c r="V477" s="332">
        <f t="shared" si="232"/>
        <v>-129.99234414649541</v>
      </c>
      <c r="W477" s="334">
        <f t="shared" si="233"/>
        <v>50.007655853504588</v>
      </c>
      <c r="Y477" s="307">
        <f t="shared" si="234"/>
        <v>56234</v>
      </c>
      <c r="Z477" s="307">
        <f t="shared" si="235"/>
        <v>3162262756</v>
      </c>
      <c r="AB477" s="333">
        <f t="shared" si="236"/>
        <v>22.871380278812083</v>
      </c>
      <c r="AC477" s="334">
        <f t="shared" si="237"/>
        <v>-25.003096524218478</v>
      </c>
      <c r="AE477" s="333">
        <f t="shared" si="238"/>
        <v>31.122434551337108</v>
      </c>
      <c r="AF477" s="334">
        <f t="shared" si="239"/>
        <v>-114.41061958272785</v>
      </c>
      <c r="AH477">
        <f t="shared" si="240"/>
        <v>0</v>
      </c>
      <c r="AI477">
        <f t="shared" si="245"/>
        <v>0</v>
      </c>
    </row>
    <row r="478" spans="1:35" x14ac:dyDescent="0.25">
      <c r="A478" s="335">
        <v>56561.5</v>
      </c>
      <c r="B478" s="352">
        <f t="shared" si="241"/>
        <v>56.561500000000002</v>
      </c>
      <c r="C478" s="325">
        <f t="shared" si="216"/>
        <v>68.550644034700227</v>
      </c>
      <c r="D478" s="326">
        <f t="shared" si="217"/>
        <v>1.5562080543639347</v>
      </c>
      <c r="E478" s="326">
        <f t="shared" si="218"/>
        <v>1.0025228073792487</v>
      </c>
      <c r="F478" s="327">
        <f t="shared" si="219"/>
        <v>7.0957944934448347E-2</v>
      </c>
      <c r="G478" s="326">
        <f t="shared" si="220"/>
        <v>1</v>
      </c>
      <c r="H478" s="327">
        <f t="shared" si="221"/>
        <v>0</v>
      </c>
      <c r="I478" s="325">
        <f t="shared" si="222"/>
        <v>75072.147002613288</v>
      </c>
      <c r="J478" s="328">
        <f t="shared" si="223"/>
        <v>1.5707830062753703</v>
      </c>
      <c r="K478" s="336">
        <f t="shared" si="243"/>
        <v>14.576752534284966</v>
      </c>
      <c r="L478" s="337">
        <f t="shared" si="244"/>
        <v>1.5021400163635148</v>
      </c>
      <c r="M478" s="325">
        <f t="shared" si="224"/>
        <v>1.0722918866159423</v>
      </c>
      <c r="N478" s="337">
        <f t="shared" si="225"/>
        <v>0.36929543608628512</v>
      </c>
      <c r="O478" s="343">
        <f t="shared" si="226"/>
        <v>1.0526289059461813</v>
      </c>
      <c r="P478" s="691">
        <f t="shared" si="227"/>
        <v>0.31755270337055047</v>
      </c>
      <c r="Q478" s="336">
        <f t="shared" si="242"/>
        <v>15.296180233301854</v>
      </c>
      <c r="R478" s="692">
        <f t="shared" si="228"/>
        <v>0.15226902572691756</v>
      </c>
      <c r="S478" s="329">
        <f t="shared" si="229"/>
        <v>0.98541960526018868</v>
      </c>
      <c r="T478" s="330">
        <f t="shared" si="230"/>
        <v>0.51456782698666814</v>
      </c>
      <c r="U478" s="331">
        <f t="shared" si="231"/>
        <v>-3.2882296927887817</v>
      </c>
      <c r="V478" s="332">
        <f t="shared" si="232"/>
        <v>-130.20309404490081</v>
      </c>
      <c r="W478" s="334">
        <f t="shared" si="233"/>
        <v>49.796905955099191</v>
      </c>
      <c r="Y478" s="307">
        <f t="shared" si="234"/>
        <v>56561.5</v>
      </c>
      <c r="Z478" s="307">
        <f t="shared" si="235"/>
        <v>3199203282.25</v>
      </c>
      <c r="AB478" s="333">
        <f t="shared" si="236"/>
        <v>22.864602890021072</v>
      </c>
      <c r="AC478" s="334">
        <f t="shared" si="237"/>
        <v>-25.092023524967605</v>
      </c>
      <c r="AE478" s="333">
        <f t="shared" si="238"/>
        <v>31.072721510417416</v>
      </c>
      <c r="AF478" s="334">
        <f t="shared" si="239"/>
        <v>-114.58112768213529</v>
      </c>
      <c r="AH478">
        <f t="shared" si="240"/>
        <v>0</v>
      </c>
      <c r="AI478">
        <f t="shared" si="245"/>
        <v>0</v>
      </c>
    </row>
    <row r="479" spans="1:35" x14ac:dyDescent="0.25">
      <c r="A479" s="335">
        <v>56889</v>
      </c>
      <c r="B479" s="352">
        <f t="shared" si="241"/>
        <v>56.889000000000003</v>
      </c>
      <c r="C479" s="325">
        <f t="shared" si="216"/>
        <v>68.947478846016736</v>
      </c>
      <c r="D479" s="326">
        <f t="shared" si="217"/>
        <v>1.5562920246788277</v>
      </c>
      <c r="E479" s="326">
        <f t="shared" si="218"/>
        <v>1.0025520695708885</v>
      </c>
      <c r="F479" s="327">
        <f t="shared" si="219"/>
        <v>7.1367412947009254E-2</v>
      </c>
      <c r="G479" s="326">
        <f t="shared" si="220"/>
        <v>1</v>
      </c>
      <c r="H479" s="327">
        <f t="shared" si="221"/>
        <v>0</v>
      </c>
      <c r="I479" s="325">
        <f t="shared" si="222"/>
        <v>75506.82656625651</v>
      </c>
      <c r="J479" s="328">
        <f t="shared" si="223"/>
        <v>1.5707830829592659</v>
      </c>
      <c r="K479" s="336">
        <f t="shared" si="243"/>
        <v>14.660758148371194</v>
      </c>
      <c r="L479" s="337">
        <f t="shared" si="244"/>
        <v>1.5025340284988786</v>
      </c>
      <c r="M479" s="325">
        <f t="shared" si="224"/>
        <v>1.0731028647663838</v>
      </c>
      <c r="N479" s="337">
        <f t="shared" si="225"/>
        <v>0.37124306641601884</v>
      </c>
      <c r="O479" s="343">
        <f t="shared" si="226"/>
        <v>1.0532246812427046</v>
      </c>
      <c r="P479" s="691">
        <f t="shared" si="227"/>
        <v>0.31926927397373805</v>
      </c>
      <c r="Q479" s="336">
        <f t="shared" si="242"/>
        <v>15.298165160190647</v>
      </c>
      <c r="R479" s="692">
        <f t="shared" si="228"/>
        <v>0.1531375969854929</v>
      </c>
      <c r="S479" s="329">
        <f t="shared" si="229"/>
        <v>0.98536953656574622</v>
      </c>
      <c r="T479" s="330">
        <f t="shared" si="230"/>
        <v>0.51787340389692449</v>
      </c>
      <c r="U479" s="331">
        <f t="shared" si="231"/>
        <v>-3.3406855366574337</v>
      </c>
      <c r="V479" s="332">
        <f t="shared" si="232"/>
        <v>-130.41427338233771</v>
      </c>
      <c r="W479" s="334">
        <f t="shared" si="233"/>
        <v>49.585726617662289</v>
      </c>
      <c r="Y479" s="307">
        <f t="shared" si="234"/>
        <v>56889</v>
      </c>
      <c r="Z479" s="307">
        <f t="shared" si="235"/>
        <v>3236358321</v>
      </c>
      <c r="AB479" s="333">
        <f t="shared" si="236"/>
        <v>22.857801545706433</v>
      </c>
      <c r="AC479" s="334">
        <f t="shared" si="237"/>
        <v>-25.181043684245029</v>
      </c>
      <c r="AE479" s="333">
        <f t="shared" si="238"/>
        <v>31.023279354132288</v>
      </c>
      <c r="AF479" s="334">
        <f t="shared" si="239"/>
        <v>-114.75187364382636</v>
      </c>
      <c r="AH479">
        <f t="shared" si="240"/>
        <v>0</v>
      </c>
      <c r="AI479">
        <f t="shared" si="245"/>
        <v>0</v>
      </c>
    </row>
    <row r="480" spans="1:35" x14ac:dyDescent="0.25">
      <c r="A480" s="335">
        <v>57216.5</v>
      </c>
      <c r="B480" s="352">
        <f t="shared" si="241"/>
        <v>57.216500000000003</v>
      </c>
      <c r="C480" s="325">
        <f t="shared" si="216"/>
        <v>69.34431413791873</v>
      </c>
      <c r="D480" s="326">
        <f t="shared" si="217"/>
        <v>1.5563750339238844</v>
      </c>
      <c r="E480" s="326">
        <f t="shared" si="218"/>
        <v>1.002581499844643</v>
      </c>
      <c r="F480" s="327">
        <f t="shared" si="219"/>
        <v>7.1776856988762308E-2</v>
      </c>
      <c r="G480" s="326">
        <f t="shared" si="220"/>
        <v>1</v>
      </c>
      <c r="H480" s="327">
        <f t="shared" si="221"/>
        <v>0</v>
      </c>
      <c r="I480" s="325">
        <f t="shared" si="222"/>
        <v>75941.506129900154</v>
      </c>
      <c r="J480" s="328">
        <f t="shared" si="223"/>
        <v>1.5707831587653041</v>
      </c>
      <c r="K480" s="336">
        <f t="shared" si="243"/>
        <v>14.744766012540477</v>
      </c>
      <c r="L480" s="337">
        <f t="shared" si="244"/>
        <v>1.5029235509493841</v>
      </c>
      <c r="M480" s="325">
        <f t="shared" si="224"/>
        <v>1.0739179073223468</v>
      </c>
      <c r="N480" s="337">
        <f t="shared" si="225"/>
        <v>0.37318774783204306</v>
      </c>
      <c r="O480" s="343">
        <f t="shared" si="226"/>
        <v>1.0538235564721126</v>
      </c>
      <c r="P480" s="691">
        <f t="shared" si="227"/>
        <v>0.32098389861170962</v>
      </c>
      <c r="Q480" s="336">
        <f t="shared" si="242"/>
        <v>15.300161287429226</v>
      </c>
      <c r="R480" s="692">
        <f t="shared" si="228"/>
        <v>0.15400594565294642</v>
      </c>
      <c r="S480" s="329">
        <f t="shared" si="229"/>
        <v>0.98532196778293624</v>
      </c>
      <c r="T480" s="330">
        <f t="shared" si="230"/>
        <v>0.5211840982915007</v>
      </c>
      <c r="U480" s="331">
        <f t="shared" si="231"/>
        <v>-3.3928816121216832</v>
      </c>
      <c r="V480" s="332">
        <f t="shared" si="232"/>
        <v>-130.62587920965757</v>
      </c>
      <c r="W480" s="334">
        <f t="shared" si="233"/>
        <v>49.374120790342431</v>
      </c>
      <c r="Y480" s="307">
        <f t="shared" si="234"/>
        <v>57216.5</v>
      </c>
      <c r="Z480" s="307">
        <f t="shared" si="235"/>
        <v>3273727872.25</v>
      </c>
      <c r="AB480" s="333">
        <f t="shared" si="236"/>
        <v>22.850976294601967</v>
      </c>
      <c r="AC480" s="334">
        <f t="shared" si="237"/>
        <v>-25.270152072909053</v>
      </c>
      <c r="AE480" s="333">
        <f t="shared" si="238"/>
        <v>30.974104314063595</v>
      </c>
      <c r="AF480" s="334">
        <f t="shared" si="239"/>
        <v>-114.92285912395168</v>
      </c>
      <c r="AH480">
        <f t="shared" si="240"/>
        <v>0</v>
      </c>
      <c r="AI480">
        <f t="shared" si="245"/>
        <v>0</v>
      </c>
    </row>
    <row r="481" spans="1:35" x14ac:dyDescent="0.25">
      <c r="A481" s="335">
        <v>57544</v>
      </c>
      <c r="B481" s="352">
        <f t="shared" si="241"/>
        <v>57.543999999999997</v>
      </c>
      <c r="C481" s="325">
        <f t="shared" si="216"/>
        <v>69.741149902202423</v>
      </c>
      <c r="D481" s="326">
        <f t="shared" si="217"/>
        <v>1.5564570985037696</v>
      </c>
      <c r="E481" s="326">
        <f t="shared" si="218"/>
        <v>1.0026110981857113</v>
      </c>
      <c r="F481" s="327">
        <f t="shared" si="219"/>
        <v>7.2186276924542436E-2</v>
      </c>
      <c r="G481" s="326">
        <f t="shared" si="220"/>
        <v>1</v>
      </c>
      <c r="H481" s="327">
        <f t="shared" si="221"/>
        <v>0</v>
      </c>
      <c r="I481" s="325">
        <f t="shared" si="222"/>
        <v>76376.185693544248</v>
      </c>
      <c r="J481" s="328">
        <f t="shared" si="223"/>
        <v>1.5707832337084726</v>
      </c>
      <c r="K481" s="336">
        <f t="shared" si="243"/>
        <v>14.828776088551354</v>
      </c>
      <c r="L481" s="337">
        <f t="shared" si="244"/>
        <v>1.5033086599026024</v>
      </c>
      <c r="M481" s="325">
        <f t="shared" si="224"/>
        <v>1.0747370050369263</v>
      </c>
      <c r="N481" s="337">
        <f t="shared" si="225"/>
        <v>0.37512947235145233</v>
      </c>
      <c r="O481" s="343">
        <f t="shared" si="226"/>
        <v>1.0544255263524585</v>
      </c>
      <c r="P481" s="691">
        <f t="shared" si="227"/>
        <v>0.32269657052701428</v>
      </c>
      <c r="Q481" s="336">
        <f t="shared" si="242"/>
        <v>15.302168610638411</v>
      </c>
      <c r="R481" s="692">
        <f t="shared" si="228"/>
        <v>0.15487407056464042</v>
      </c>
      <c r="S481" s="329">
        <f t="shared" si="229"/>
        <v>0.98527694748731331</v>
      </c>
      <c r="T481" s="330">
        <f t="shared" si="230"/>
        <v>0.52449992175653803</v>
      </c>
      <c r="U481" s="331">
        <f t="shared" si="231"/>
        <v>-3.4448216602654682</v>
      </c>
      <c r="V481" s="332">
        <f t="shared" si="232"/>
        <v>-130.83790863705022</v>
      </c>
      <c r="W481" s="334">
        <f t="shared" si="233"/>
        <v>49.162091362949781</v>
      </c>
      <c r="Y481" s="307">
        <f t="shared" si="234"/>
        <v>57544</v>
      </c>
      <c r="Z481" s="307">
        <f t="shared" si="235"/>
        <v>3311311936</v>
      </c>
      <c r="AB481" s="333">
        <f t="shared" si="236"/>
        <v>22.844127188159312</v>
      </c>
      <c r="AC481" s="334">
        <f t="shared" si="237"/>
        <v>-25.359343869205343</v>
      </c>
      <c r="AE481" s="333">
        <f t="shared" si="238"/>
        <v>30.925192676643739</v>
      </c>
      <c r="AF481" s="334">
        <f t="shared" si="239"/>
        <v>-115.09408573401066</v>
      </c>
      <c r="AH481">
        <f t="shared" si="240"/>
        <v>0</v>
      </c>
      <c r="AI481">
        <f t="shared" si="245"/>
        <v>0</v>
      </c>
    </row>
    <row r="482" spans="1:35" x14ac:dyDescent="0.25">
      <c r="A482" s="335">
        <v>57879</v>
      </c>
      <c r="B482" s="352">
        <f t="shared" si="241"/>
        <v>57.878999999999998</v>
      </c>
      <c r="C482" s="325">
        <f t="shared" si="216"/>
        <v>70.147073988790837</v>
      </c>
      <c r="D482" s="326">
        <f t="shared" si="217"/>
        <v>1.5565400817748498</v>
      </c>
      <c r="E482" s="326">
        <f t="shared" si="218"/>
        <v>1.002641548220556</v>
      </c>
      <c r="F482" s="327">
        <f t="shared" si="219"/>
        <v>7.2605047808163903E-2</v>
      </c>
      <c r="G482" s="326">
        <f t="shared" si="220"/>
        <v>1</v>
      </c>
      <c r="H482" s="327">
        <f t="shared" si="221"/>
        <v>0</v>
      </c>
      <c r="I482" s="325">
        <f t="shared" si="222"/>
        <v>76820.819751012692</v>
      </c>
      <c r="J482" s="328">
        <f t="shared" si="223"/>
        <v>1.5707833094904307</v>
      </c>
      <c r="K482" s="336">
        <f t="shared" si="243"/>
        <v>14.914712308868785</v>
      </c>
      <c r="L482" s="337">
        <f t="shared" si="244"/>
        <v>1.5036980995136571</v>
      </c>
      <c r="M482" s="325">
        <f t="shared" si="224"/>
        <v>1.0755790465771178</v>
      </c>
      <c r="N482" s="337">
        <f t="shared" si="225"/>
        <v>0.37711259639649819</v>
      </c>
      <c r="O482" s="343">
        <f t="shared" si="226"/>
        <v>1.0550444780473791</v>
      </c>
      <c r="P482" s="691">
        <f t="shared" si="227"/>
        <v>0.32444643664304218</v>
      </c>
      <c r="Q482" s="336">
        <f t="shared" si="242"/>
        <v>15.304233481993569</v>
      </c>
      <c r="R482" s="692">
        <f t="shared" si="228"/>
        <v>0.15576184348666655</v>
      </c>
      <c r="S482" s="329">
        <f t="shared" si="229"/>
        <v>0.98523358381104242</v>
      </c>
      <c r="T482" s="330">
        <f t="shared" si="230"/>
        <v>0.52789699837252246</v>
      </c>
      <c r="U482" s="331">
        <f t="shared" si="231"/>
        <v>-3.4976901272183856</v>
      </c>
      <c r="V482" s="332">
        <f t="shared" si="232"/>
        <v>-131.05522900943208</v>
      </c>
      <c r="W482" s="334">
        <f t="shared" si="233"/>
        <v>48.944770990567918</v>
      </c>
      <c r="Y482" s="307">
        <f t="shared" si="234"/>
        <v>57879</v>
      </c>
      <c r="Z482" s="307">
        <f t="shared" si="235"/>
        <v>3349978641</v>
      </c>
      <c r="AB482" s="333">
        <f t="shared" si="236"/>
        <v>22.837096607285801</v>
      </c>
      <c r="AC482" s="334">
        <f t="shared" si="237"/>
        <v>-25.450659603239437</v>
      </c>
      <c r="AE482" s="333">
        <f t="shared" si="238"/>
        <v>30.8754296300229</v>
      </c>
      <c r="AF482" s="334">
        <f t="shared" si="239"/>
        <v>-115.26948467397817</v>
      </c>
      <c r="AH482">
        <f t="shared" si="240"/>
        <v>0</v>
      </c>
      <c r="AI482">
        <f t="shared" si="245"/>
        <v>0</v>
      </c>
    </row>
    <row r="483" spans="1:35" x14ac:dyDescent="0.25">
      <c r="A483" s="335">
        <v>58214</v>
      </c>
      <c r="B483" s="352">
        <f t="shared" si="241"/>
        <v>58.213999999999999</v>
      </c>
      <c r="C483" s="325">
        <f t="shared" si="216"/>
        <v>70.552998552869241</v>
      </c>
      <c r="D483" s="326">
        <f t="shared" si="217"/>
        <v>1.5566221101629603</v>
      </c>
      <c r="E483" s="326">
        <f t="shared" si="218"/>
        <v>1.0026721740770017</v>
      </c>
      <c r="F483" s="327">
        <f t="shared" si="219"/>
        <v>7.3023793183142463E-2</v>
      </c>
      <c r="G483" s="326">
        <f t="shared" si="220"/>
        <v>1</v>
      </c>
      <c r="H483" s="327">
        <f t="shared" si="221"/>
        <v>0</v>
      </c>
      <c r="I483" s="325">
        <f t="shared" si="222"/>
        <v>77265.453808481558</v>
      </c>
      <c r="J483" s="328">
        <f t="shared" si="223"/>
        <v>1.5707833844001946</v>
      </c>
      <c r="K483" s="336">
        <f t="shared" si="243"/>
        <v>15.00065076528178</v>
      </c>
      <c r="L483" s="337">
        <f t="shared" si="244"/>
        <v>1.504083076997593</v>
      </c>
      <c r="M483" s="325">
        <f t="shared" si="224"/>
        <v>1.0764253115065059</v>
      </c>
      <c r="N483" s="337">
        <f t="shared" si="225"/>
        <v>0.37909261003016825</v>
      </c>
      <c r="O483" s="343">
        <f t="shared" si="226"/>
        <v>1.0556666565276136</v>
      </c>
      <c r="P483" s="691">
        <f t="shared" si="227"/>
        <v>0.32619424546774767</v>
      </c>
      <c r="Q483" s="336">
        <f t="shared" si="242"/>
        <v>15.306310058643282</v>
      </c>
      <c r="R483" s="692">
        <f t="shared" si="228"/>
        <v>0.15664937982829619</v>
      </c>
      <c r="S483" s="329">
        <f t="shared" si="229"/>
        <v>0.98519299034989261</v>
      </c>
      <c r="T483" s="330">
        <f t="shared" si="230"/>
        <v>0.53129946490024949</v>
      </c>
      <c r="U483" s="331">
        <f t="shared" si="231"/>
        <v>-3.5502984464381764</v>
      </c>
      <c r="V483" s="332">
        <f t="shared" si="232"/>
        <v>-131.27298666846872</v>
      </c>
      <c r="W483" s="334">
        <f t="shared" si="233"/>
        <v>48.727013331531282</v>
      </c>
      <c r="Y483" s="307">
        <f t="shared" si="234"/>
        <v>58214</v>
      </c>
      <c r="Z483" s="307">
        <f t="shared" si="235"/>
        <v>3388869796</v>
      </c>
      <c r="AB483" s="333">
        <f t="shared" si="236"/>
        <v>22.830041183149742</v>
      </c>
      <c r="AC483" s="334">
        <f t="shared" si="237"/>
        <v>-25.542052734907749</v>
      </c>
      <c r="AE483" s="333">
        <f t="shared" si="238"/>
        <v>30.825934498501361</v>
      </c>
      <c r="AF483" s="334">
        <f t="shared" si="239"/>
        <v>-115.44513918391426</v>
      </c>
      <c r="AH483">
        <f t="shared" si="240"/>
        <v>0</v>
      </c>
      <c r="AI483">
        <f t="shared" si="245"/>
        <v>0</v>
      </c>
    </row>
    <row r="484" spans="1:35" x14ac:dyDescent="0.25">
      <c r="A484" s="335">
        <v>58549</v>
      </c>
      <c r="B484" s="352">
        <f t="shared" si="241"/>
        <v>58.548999999999999</v>
      </c>
      <c r="C484" s="325">
        <f t="shared" si="216"/>
        <v>70.958923586243145</v>
      </c>
      <c r="D484" s="326">
        <f t="shared" si="217"/>
        <v>1.5567032000543932</v>
      </c>
      <c r="E484" s="326">
        <f t="shared" si="218"/>
        <v>1.0027029757389383</v>
      </c>
      <c r="F484" s="327">
        <f t="shared" si="219"/>
        <v>7.3442512904970142E-2</v>
      </c>
      <c r="G484" s="326">
        <f t="shared" si="220"/>
        <v>1</v>
      </c>
      <c r="H484" s="327">
        <f t="shared" si="221"/>
        <v>0</v>
      </c>
      <c r="I484" s="325">
        <f t="shared" si="222"/>
        <v>77710.087865950874</v>
      </c>
      <c r="J484" s="328">
        <f t="shared" si="223"/>
        <v>1.5707834584527356</v>
      </c>
      <c r="K484" s="336">
        <f t="shared" si="243"/>
        <v>15.086591419577617</v>
      </c>
      <c r="L484" s="337">
        <f t="shared" si="244"/>
        <v>1.5044636684947306</v>
      </c>
      <c r="M484" s="325">
        <f t="shared" si="224"/>
        <v>1.0772757898719114</v>
      </c>
      <c r="N484" s="337">
        <f t="shared" si="225"/>
        <v>0.3810695050759445</v>
      </c>
      <c r="O484" s="343">
        <f t="shared" si="226"/>
        <v>1.0562920560912266</v>
      </c>
      <c r="P484" s="691">
        <f t="shared" si="227"/>
        <v>0.32793998996742252</v>
      </c>
      <c r="Q484" s="336">
        <f t="shared" si="242"/>
        <v>15.308398335828446</v>
      </c>
      <c r="R484" s="692">
        <f t="shared" si="228"/>
        <v>0.15753667834928994</v>
      </c>
      <c r="S484" s="329">
        <f t="shared" si="229"/>
        <v>0.98515521995388733</v>
      </c>
      <c r="T484" s="330">
        <f t="shared" si="230"/>
        <v>0.534707332421408</v>
      </c>
      <c r="U484" s="331">
        <f t="shared" si="231"/>
        <v>-3.6026504442300746</v>
      </c>
      <c r="V484" s="332">
        <f t="shared" si="232"/>
        <v>-131.49117869803925</v>
      </c>
      <c r="W484" s="334">
        <f t="shared" si="233"/>
        <v>48.508821301960751</v>
      </c>
      <c r="Y484" s="307">
        <f t="shared" si="234"/>
        <v>58549</v>
      </c>
      <c r="Z484" s="307">
        <f t="shared" si="235"/>
        <v>3427985401</v>
      </c>
      <c r="AB484" s="333">
        <f t="shared" si="236"/>
        <v>22.822960979027854</v>
      </c>
      <c r="AC484" s="334">
        <f t="shared" si="237"/>
        <v>-25.633518434069071</v>
      </c>
      <c r="AE484" s="333">
        <f t="shared" si="238"/>
        <v>30.776703477434047</v>
      </c>
      <c r="AF484" s="334">
        <f t="shared" si="239"/>
        <v>-115.62105084589803</v>
      </c>
      <c r="AH484">
        <f t="shared" si="240"/>
        <v>0</v>
      </c>
      <c r="AI484">
        <f t="shared" si="245"/>
        <v>0</v>
      </c>
    </row>
    <row r="485" spans="1:35" x14ac:dyDescent="0.25">
      <c r="A485" s="335">
        <v>58884</v>
      </c>
      <c r="B485" s="352">
        <f t="shared" si="241"/>
        <v>58.884</v>
      </c>
      <c r="C485" s="325">
        <f t="shared" si="216"/>
        <v>71.36484908090442</v>
      </c>
      <c r="D485" s="326">
        <f t="shared" si="217"/>
        <v>1.5567833674626685</v>
      </c>
      <c r="E485" s="326">
        <f t="shared" si="218"/>
        <v>1.0027339531901642</v>
      </c>
      <c r="F485" s="327">
        <f t="shared" si="219"/>
        <v>7.3861206829192672E-2</v>
      </c>
      <c r="G485" s="326">
        <f t="shared" si="220"/>
        <v>1</v>
      </c>
      <c r="H485" s="327">
        <f t="shared" si="221"/>
        <v>0</v>
      </c>
      <c r="I485" s="325">
        <f t="shared" si="222"/>
        <v>78154.721923420599</v>
      </c>
      <c r="J485" s="328">
        <f t="shared" si="223"/>
        <v>1.5707835316626844</v>
      </c>
      <c r="K485" s="336">
        <f t="shared" si="243"/>
        <v>15.172534234408378</v>
      </c>
      <c r="L485" s="337">
        <f t="shared" si="244"/>
        <v>1.5048399484253927</v>
      </c>
      <c r="M485" s="325">
        <f t="shared" si="224"/>
        <v>1.0781304717020848</v>
      </c>
      <c r="N485" s="337">
        <f t="shared" si="225"/>
        <v>0.38304327348054684</v>
      </c>
      <c r="O485" s="343">
        <f t="shared" si="226"/>
        <v>1.0569206710202936</v>
      </c>
      <c r="P485" s="691">
        <f t="shared" si="227"/>
        <v>0.32968366317529368</v>
      </c>
      <c r="Q485" s="336">
        <f t="shared" si="242"/>
        <v>15.310498308765743</v>
      </c>
      <c r="R485" s="692">
        <f t="shared" si="228"/>
        <v>0.15842373781153665</v>
      </c>
      <c r="S485" s="329">
        <f t="shared" si="229"/>
        <v>0.98512032576022901</v>
      </c>
      <c r="T485" s="330">
        <f t="shared" si="230"/>
        <v>0.53812061156336521</v>
      </c>
      <c r="U485" s="331">
        <f t="shared" si="231"/>
        <v>-3.6547498898112396</v>
      </c>
      <c r="V485" s="332">
        <f t="shared" si="232"/>
        <v>-131.70980223650758</v>
      </c>
      <c r="W485" s="334">
        <f t="shared" si="233"/>
        <v>48.290197763492415</v>
      </c>
      <c r="Y485" s="307">
        <f t="shared" si="234"/>
        <v>58884</v>
      </c>
      <c r="Z485" s="307">
        <f t="shared" si="235"/>
        <v>3467325456</v>
      </c>
      <c r="AB485" s="333">
        <f t="shared" si="236"/>
        <v>22.815856060767544</v>
      </c>
      <c r="AC485" s="334">
        <f t="shared" si="237"/>
        <v>-25.725051976172317</v>
      </c>
      <c r="AE485" s="333">
        <f t="shared" si="238"/>
        <v>30.727732816825654</v>
      </c>
      <c r="AF485" s="334">
        <f t="shared" si="239"/>
        <v>-115.79722119461648</v>
      </c>
      <c r="AH485">
        <f t="shared" si="240"/>
        <v>0</v>
      </c>
      <c r="AI485">
        <f t="shared" si="245"/>
        <v>0</v>
      </c>
    </row>
    <row r="486" spans="1:35" x14ac:dyDescent="0.25">
      <c r="A486" s="335">
        <v>59227</v>
      </c>
      <c r="B486" s="352">
        <f t="shared" si="241"/>
        <v>59.226999999999997</v>
      </c>
      <c r="C486" s="325">
        <f t="shared" si="216"/>
        <v>71.780468788491476</v>
      </c>
      <c r="D486" s="326">
        <f t="shared" si="217"/>
        <v>1.5568645098694172</v>
      </c>
      <c r="E486" s="326">
        <f t="shared" si="218"/>
        <v>1.002765852520749</v>
      </c>
      <c r="F486" s="327">
        <f t="shared" si="219"/>
        <v>7.4289872534433088E-2</v>
      </c>
      <c r="G486" s="326">
        <f t="shared" si="220"/>
        <v>1</v>
      </c>
      <c r="H486" s="327">
        <f t="shared" si="221"/>
        <v>0</v>
      </c>
      <c r="I486" s="325">
        <f t="shared" si="222"/>
        <v>78609.974107636284</v>
      </c>
      <c r="J486" s="328">
        <f t="shared" si="223"/>
        <v>1.5707836057628473</v>
      </c>
      <c r="K486" s="336">
        <f t="shared" si="243"/>
        <v>15.26053161538821</v>
      </c>
      <c r="L486" s="337">
        <f t="shared" si="244"/>
        <v>1.5052208228704147</v>
      </c>
      <c r="M486" s="325">
        <f t="shared" si="224"/>
        <v>1.0790099086478313</v>
      </c>
      <c r="N486" s="337">
        <f t="shared" si="225"/>
        <v>0.38506092883986531</v>
      </c>
      <c r="O486" s="343">
        <f t="shared" si="226"/>
        <v>1.0575676231206184</v>
      </c>
      <c r="P486" s="691">
        <f t="shared" si="227"/>
        <v>0.33146682305693681</v>
      </c>
      <c r="Q486" s="336">
        <f t="shared" si="242"/>
        <v>15.312660543329031</v>
      </c>
      <c r="R486" s="692">
        <f t="shared" si="228"/>
        <v>0.15933173180233837</v>
      </c>
      <c r="S486" s="329">
        <f t="shared" si="229"/>
        <v>0.98508763411718314</v>
      </c>
      <c r="T486" s="330">
        <f t="shared" si="230"/>
        <v>0.54162101947821706</v>
      </c>
      <c r="U486" s="331">
        <f t="shared" si="231"/>
        <v>-3.7078357082375497</v>
      </c>
      <c r="V486" s="332">
        <f t="shared" si="232"/>
        <v>-131.93409079065742</v>
      </c>
      <c r="W486" s="334">
        <f t="shared" si="233"/>
        <v>48.065909209342578</v>
      </c>
      <c r="Y486" s="307">
        <f t="shared" si="234"/>
        <v>59227</v>
      </c>
      <c r="Z486" s="307">
        <f t="shared" si="235"/>
        <v>3507837529</v>
      </c>
      <c r="AB486" s="333">
        <f t="shared" si="236"/>
        <v>22.80855593771976</v>
      </c>
      <c r="AC486" s="334">
        <f t="shared" si="237"/>
        <v>-25.818836860282833</v>
      </c>
      <c r="AE486" s="333">
        <f t="shared" si="238"/>
        <v>30.67785860840484</v>
      </c>
      <c r="AF486" s="334">
        <f t="shared" si="239"/>
        <v>-115.97786817663207</v>
      </c>
      <c r="AH486">
        <f t="shared" si="240"/>
        <v>0</v>
      </c>
      <c r="AI486">
        <f t="shared" si="245"/>
        <v>0</v>
      </c>
    </row>
    <row r="487" spans="1:35" x14ac:dyDescent="0.25">
      <c r="A487" s="335">
        <v>59570</v>
      </c>
      <c r="B487" s="352">
        <f t="shared" si="241"/>
        <v>59.57</v>
      </c>
      <c r="C487" s="325">
        <f t="shared" si="216"/>
        <v>72.19608896324614</v>
      </c>
      <c r="D487" s="326">
        <f t="shared" si="217"/>
        <v>1.5569447180315861</v>
      </c>
      <c r="E487" s="326">
        <f t="shared" si="218"/>
        <v>1.0027979361021155</v>
      </c>
      <c r="F487" s="327">
        <f t="shared" si="219"/>
        <v>7.4718510888917428E-2</v>
      </c>
      <c r="G487" s="326">
        <f t="shared" si="220"/>
        <v>1</v>
      </c>
      <c r="H487" s="327">
        <f t="shared" si="221"/>
        <v>0</v>
      </c>
      <c r="I487" s="325">
        <f t="shared" si="222"/>
        <v>79065.226291852407</v>
      </c>
      <c r="J487" s="328">
        <f t="shared" si="223"/>
        <v>1.5707836790096827</v>
      </c>
      <c r="K487" s="336">
        <f t="shared" si="243"/>
        <v>15.348531184757745</v>
      </c>
      <c r="L487" s="337">
        <f t="shared" si="244"/>
        <v>1.5055973299435255</v>
      </c>
      <c r="M487" s="325">
        <f t="shared" si="224"/>
        <v>1.079893731005964</v>
      </c>
      <c r="N487" s="337">
        <f t="shared" si="225"/>
        <v>0.38707528975057454</v>
      </c>
      <c r="O487" s="343">
        <f t="shared" si="226"/>
        <v>1.0582179338076481</v>
      </c>
      <c r="P487" s="691">
        <f t="shared" si="227"/>
        <v>0.33324779697165224</v>
      </c>
      <c r="Q487" s="336">
        <f t="shared" si="242"/>
        <v>15.314835028691132</v>
      </c>
      <c r="R487" s="692">
        <f t="shared" si="228"/>
        <v>0.16023947256030924</v>
      </c>
      <c r="S487" s="329">
        <f t="shared" si="229"/>
        <v>0.9850580713446816</v>
      </c>
      <c r="T487" s="330">
        <f t="shared" si="230"/>
        <v>0.54512712163297405</v>
      </c>
      <c r="U487" s="331">
        <f t="shared" si="231"/>
        <v>-3.7606645878046345</v>
      </c>
      <c r="V487" s="332">
        <f t="shared" si="232"/>
        <v>-132.15882580212477</v>
      </c>
      <c r="W487" s="334">
        <f t="shared" si="233"/>
        <v>47.841174197875233</v>
      </c>
      <c r="Y487" s="307">
        <f t="shared" si="234"/>
        <v>59570</v>
      </c>
      <c r="Z487" s="307">
        <f t="shared" si="235"/>
        <v>3548584900</v>
      </c>
      <c r="AB487" s="333">
        <f t="shared" si="236"/>
        <v>22.80123005362983</v>
      </c>
      <c r="AC487" s="334">
        <f t="shared" si="237"/>
        <v>-25.912683169478292</v>
      </c>
      <c r="AE487" s="333">
        <f t="shared" si="238"/>
        <v>30.628249557806278</v>
      </c>
      <c r="AF487" s="334">
        <f t="shared" si="239"/>
        <v>-116.15878945337349</v>
      </c>
      <c r="AH487">
        <f t="shared" si="240"/>
        <v>0</v>
      </c>
      <c r="AI487">
        <f t="shared" si="245"/>
        <v>0</v>
      </c>
    </row>
    <row r="488" spans="1:35" x14ac:dyDescent="0.25">
      <c r="A488" s="335">
        <v>59913</v>
      </c>
      <c r="B488" s="352">
        <f t="shared" si="241"/>
        <v>59.912999999999997</v>
      </c>
      <c r="C488" s="325">
        <f t="shared" si="216"/>
        <v>72.611709597146429</v>
      </c>
      <c r="D488" s="326">
        <f t="shared" si="217"/>
        <v>1.557024007990643</v>
      </c>
      <c r="E488" s="326">
        <f t="shared" si="218"/>
        <v>1.0028302039165791</v>
      </c>
      <c r="F488" s="327">
        <f t="shared" si="219"/>
        <v>7.5147121737770203E-2</v>
      </c>
      <c r="G488" s="326">
        <f t="shared" si="220"/>
        <v>1</v>
      </c>
      <c r="H488" s="327">
        <f t="shared" si="221"/>
        <v>0</v>
      </c>
      <c r="I488" s="325">
        <f t="shared" si="222"/>
        <v>79520.478476068965</v>
      </c>
      <c r="J488" s="328">
        <f t="shared" si="223"/>
        <v>1.5707837514178467</v>
      </c>
      <c r="K488" s="336">
        <f t="shared" si="243"/>
        <v>15.436532905090701</v>
      </c>
      <c r="L488" s="337">
        <f t="shared" si="244"/>
        <v>1.5059695442305594</v>
      </c>
      <c r="M488" s="325">
        <f t="shared" si="224"/>
        <v>1.0807819280178124</v>
      </c>
      <c r="N488" s="337">
        <f t="shared" si="225"/>
        <v>0.3890863479678584</v>
      </c>
      <c r="O488" s="343">
        <f t="shared" si="226"/>
        <v>1.0588715968933102</v>
      </c>
      <c r="P488" s="691">
        <f t="shared" si="227"/>
        <v>0.33502657765941524</v>
      </c>
      <c r="Q488" s="336">
        <f t="shared" si="242"/>
        <v>15.317021759639251</v>
      </c>
      <c r="R488" s="692">
        <f t="shared" si="228"/>
        <v>0.16114695876349855</v>
      </c>
      <c r="S488" s="329">
        <f t="shared" si="229"/>
        <v>0.98503169540424995</v>
      </c>
      <c r="T488" s="330">
        <f t="shared" si="230"/>
        <v>0.54863892792184521</v>
      </c>
      <c r="U488" s="331">
        <f t="shared" si="231"/>
        <v>-3.8132403969830313</v>
      </c>
      <c r="V488" s="332">
        <f t="shared" si="232"/>
        <v>-132.3840043610079</v>
      </c>
      <c r="W488" s="334">
        <f t="shared" si="233"/>
        <v>47.615995638992104</v>
      </c>
      <c r="Y488" s="307">
        <f t="shared" si="234"/>
        <v>59913</v>
      </c>
      <c r="Z488" s="307">
        <f t="shared" si="235"/>
        <v>3589567569</v>
      </c>
      <c r="AB488" s="333">
        <f t="shared" si="236"/>
        <v>22.793878486954185</v>
      </c>
      <c r="AC488" s="334">
        <f t="shared" si="237"/>
        <v>-26.006586158751741</v>
      </c>
      <c r="AE488" s="333">
        <f t="shared" si="238"/>
        <v>30.578901809816305</v>
      </c>
      <c r="AF488" s="334">
        <f t="shared" si="239"/>
        <v>-116.33998651971928</v>
      </c>
      <c r="AH488">
        <f t="shared" si="240"/>
        <v>0</v>
      </c>
      <c r="AI488">
        <f t="shared" si="245"/>
        <v>0</v>
      </c>
    </row>
    <row r="489" spans="1:35" x14ac:dyDescent="0.25">
      <c r="A489" s="335">
        <v>60256</v>
      </c>
      <c r="B489" s="352">
        <f t="shared" si="241"/>
        <v>60.256</v>
      </c>
      <c r="C489" s="325">
        <f t="shared" si="216"/>
        <v>73.027330682352897</v>
      </c>
      <c r="D489" s="326">
        <f t="shared" si="217"/>
        <v>1.5571023954229146</v>
      </c>
      <c r="E489" s="326">
        <f t="shared" si="218"/>
        <v>1.0028626559463563</v>
      </c>
      <c r="F489" s="327">
        <f t="shared" si="219"/>
        <v>7.5575704926176254E-2</v>
      </c>
      <c r="G489" s="326">
        <f t="shared" si="220"/>
        <v>1</v>
      </c>
      <c r="H489" s="327">
        <f t="shared" si="221"/>
        <v>0</v>
      </c>
      <c r="I489" s="325">
        <f t="shared" si="222"/>
        <v>79975.730660285917</v>
      </c>
      <c r="J489" s="328">
        <f t="shared" si="223"/>
        <v>1.5707838230016613</v>
      </c>
      <c r="K489" s="336">
        <f t="shared" si="243"/>
        <v>15.5245367398085</v>
      </c>
      <c r="L489" s="337">
        <f t="shared" si="244"/>
        <v>1.5063375386309545</v>
      </c>
      <c r="M489" s="325">
        <f t="shared" si="224"/>
        <v>1.0816744889068783</v>
      </c>
      <c r="N489" s="337">
        <f t="shared" si="225"/>
        <v>0.3910940953807715</v>
      </c>
      <c r="O489" s="343">
        <f t="shared" si="226"/>
        <v>1.0595286061729419</v>
      </c>
      <c r="P489" s="691">
        <f t="shared" si="227"/>
        <v>0.33680315793358662</v>
      </c>
      <c r="Q489" s="336">
        <f t="shared" si="242"/>
        <v>15.319220730934223</v>
      </c>
      <c r="R489" s="692">
        <f t="shared" si="228"/>
        <v>0.16205418909233538</v>
      </c>
      <c r="S489" s="329">
        <f t="shared" si="229"/>
        <v>0.98500856456614505</v>
      </c>
      <c r="T489" s="330">
        <f t="shared" si="230"/>
        <v>0.55215644771782391</v>
      </c>
      <c r="U489" s="331">
        <f t="shared" si="231"/>
        <v>-3.8655669472662932</v>
      </c>
      <c r="V489" s="332">
        <f t="shared" si="232"/>
        <v>-132.60962360682308</v>
      </c>
      <c r="W489" s="334">
        <f t="shared" si="233"/>
        <v>47.390376393176922</v>
      </c>
      <c r="Y489" s="307">
        <f t="shared" si="234"/>
        <v>60256</v>
      </c>
      <c r="Z489" s="307">
        <f t="shared" si="235"/>
        <v>3630785536</v>
      </c>
      <c r="AB489" s="333">
        <f t="shared" si="236"/>
        <v>22.786501318581934</v>
      </c>
      <c r="AC489" s="334">
        <f t="shared" si="237"/>
        <v>-26.100541187370709</v>
      </c>
      <c r="AE489" s="333">
        <f t="shared" si="238"/>
        <v>30.529811563891815</v>
      </c>
      <c r="AF489" s="334">
        <f t="shared" si="239"/>
        <v>-116.52146081976007</v>
      </c>
      <c r="AH489">
        <f t="shared" si="240"/>
        <v>0</v>
      </c>
      <c r="AI489">
        <f t="shared" si="245"/>
        <v>0</v>
      </c>
    </row>
    <row r="490" spans="1:35" x14ac:dyDescent="0.25">
      <c r="A490" s="335">
        <v>60607</v>
      </c>
      <c r="B490" s="352">
        <f t="shared" si="241"/>
        <v>60.606999999999999</v>
      </c>
      <c r="C490" s="325">
        <f t="shared" si="216"/>
        <v>73.452646013028641</v>
      </c>
      <c r="D490" s="326">
        <f t="shared" si="217"/>
        <v>1.5571816927688606</v>
      </c>
      <c r="E490" s="326">
        <f t="shared" si="218"/>
        <v>1.0028960555663997</v>
      </c>
      <c r="F490" s="327">
        <f t="shared" si="219"/>
        <v>7.60142554267942E-2</v>
      </c>
      <c r="G490" s="326">
        <f t="shared" si="220"/>
        <v>1</v>
      </c>
      <c r="H490" s="327">
        <f t="shared" si="221"/>
        <v>0</v>
      </c>
      <c r="I490" s="325">
        <f t="shared" si="222"/>
        <v>80441.600971248889</v>
      </c>
      <c r="J490" s="328">
        <f t="shared" si="223"/>
        <v>1.5707838954162574</v>
      </c>
      <c r="K490" s="336">
        <f t="shared" si="243"/>
        <v>15.614595293734281</v>
      </c>
      <c r="L490" s="337">
        <f t="shared" si="244"/>
        <v>1.5067098216588088</v>
      </c>
      <c r="M490" s="325">
        <f t="shared" si="224"/>
        <v>1.0825923740175316</v>
      </c>
      <c r="N490" s="337">
        <f t="shared" si="225"/>
        <v>0.39314523486473912</v>
      </c>
      <c r="O490" s="343">
        <f t="shared" si="226"/>
        <v>1.0602043969657871</v>
      </c>
      <c r="P490" s="691">
        <f t="shared" si="227"/>
        <v>0.33861888906696647</v>
      </c>
      <c r="Q490" s="336">
        <f t="shared" si="242"/>
        <v>15.321483656605645</v>
      </c>
      <c r="R490" s="692">
        <f t="shared" si="228"/>
        <v>0.16298231304219432</v>
      </c>
      <c r="S490" s="329">
        <f t="shared" si="229"/>
        <v>0.98498831486526095</v>
      </c>
      <c r="T490" s="330">
        <f t="shared" si="230"/>
        <v>0.55576193296855847</v>
      </c>
      <c r="U490" s="331">
        <f t="shared" si="231"/>
        <v>-3.9188598129370873</v>
      </c>
      <c r="V490" s="332">
        <f t="shared" si="232"/>
        <v>-132.84095839842485</v>
      </c>
      <c r="W490" s="334">
        <f t="shared" si="233"/>
        <v>47.159041601575154</v>
      </c>
      <c r="Y490" s="307">
        <f t="shared" si="234"/>
        <v>60607</v>
      </c>
      <c r="Z490" s="307">
        <f t="shared" si="235"/>
        <v>3673208449</v>
      </c>
      <c r="AB490" s="333">
        <f t="shared" si="236"/>
        <v>22.778925670476745</v>
      </c>
      <c r="AC490" s="334">
        <f t="shared" si="237"/>
        <v>-26.196736725874935</v>
      </c>
      <c r="AE490" s="333">
        <f t="shared" si="238"/>
        <v>30.479839027795144</v>
      </c>
      <c r="AF490" s="334">
        <f t="shared" si="239"/>
        <v>-116.70745621839689</v>
      </c>
      <c r="AH490">
        <f t="shared" si="240"/>
        <v>0</v>
      </c>
      <c r="AI490">
        <f t="shared" si="245"/>
        <v>0</v>
      </c>
    </row>
    <row r="491" spans="1:35" x14ac:dyDescent="0.25">
      <c r="A491" s="335">
        <v>60958</v>
      </c>
      <c r="B491" s="352">
        <f t="shared" si="241"/>
        <v>60.957999999999998</v>
      </c>
      <c r="C491" s="325">
        <f t="shared" si="216"/>
        <v>73.87796180026163</v>
      </c>
      <c r="D491" s="326">
        <f t="shared" si="217"/>
        <v>1.5572600770848783</v>
      </c>
      <c r="E491" s="326">
        <f t="shared" si="218"/>
        <v>1.0029296480571046</v>
      </c>
      <c r="F491" s="327">
        <f t="shared" si="219"/>
        <v>7.6452776633806535E-2</v>
      </c>
      <c r="G491" s="326">
        <f t="shared" si="220"/>
        <v>1</v>
      </c>
      <c r="H491" s="327">
        <f t="shared" si="221"/>
        <v>0</v>
      </c>
      <c r="I491" s="325">
        <f t="shared" si="222"/>
        <v>80907.471282212253</v>
      </c>
      <c r="J491" s="328">
        <f t="shared" si="223"/>
        <v>1.5707839669969177</v>
      </c>
      <c r="K491" s="336">
        <f t="shared" si="243"/>
        <v>15.704655986939189</v>
      </c>
      <c r="L491" s="337">
        <f t="shared" si="244"/>
        <v>1.5070778349120308</v>
      </c>
      <c r="M491" s="325">
        <f t="shared" si="224"/>
        <v>1.0835148060537936</v>
      </c>
      <c r="N491" s="337">
        <f t="shared" si="225"/>
        <v>0.39519289054541928</v>
      </c>
      <c r="O491" s="343">
        <f t="shared" si="226"/>
        <v>1.0608836786649605</v>
      </c>
      <c r="P491" s="691">
        <f t="shared" si="227"/>
        <v>0.34043230095455151</v>
      </c>
      <c r="Q491" s="336">
        <f t="shared" si="242"/>
        <v>15.32375938907575</v>
      </c>
      <c r="R491" s="692">
        <f t="shared" si="228"/>
        <v>0.16391016625443883</v>
      </c>
      <c r="S491" s="329">
        <f t="shared" si="229"/>
        <v>0.98497158785249905</v>
      </c>
      <c r="T491" s="330">
        <f t="shared" si="230"/>
        <v>0.55937341951790442</v>
      </c>
      <c r="U491" s="331">
        <f t="shared" si="231"/>
        <v>-3.971899555741933</v>
      </c>
      <c r="V491" s="332">
        <f t="shared" si="232"/>
        <v>-133.0727487606805</v>
      </c>
      <c r="W491" s="334">
        <f t="shared" si="233"/>
        <v>46.927251239319503</v>
      </c>
      <c r="Y491" s="307">
        <f t="shared" si="234"/>
        <v>60958</v>
      </c>
      <c r="Z491" s="307">
        <f t="shared" si="235"/>
        <v>3715877764</v>
      </c>
      <c r="AB491" s="333">
        <f t="shared" si="236"/>
        <v>22.771323391303298</v>
      </c>
      <c r="AC491" s="334">
        <f t="shared" si="237"/>
        <v>-26.292977249439108</v>
      </c>
      <c r="AE491" s="333">
        <f t="shared" si="238"/>
        <v>30.430128262910792</v>
      </c>
      <c r="AF491" s="334">
        <f t="shared" si="239"/>
        <v>-116.89374483175459</v>
      </c>
      <c r="AH491">
        <f t="shared" si="240"/>
        <v>0</v>
      </c>
      <c r="AI491">
        <f t="shared" si="245"/>
        <v>0</v>
      </c>
    </row>
    <row r="492" spans="1:35" x14ac:dyDescent="0.25">
      <c r="A492" s="335">
        <v>61309</v>
      </c>
      <c r="B492" s="352">
        <f t="shared" si="241"/>
        <v>61.308999999999997</v>
      </c>
      <c r="C492" s="325">
        <f t="shared" si="216"/>
        <v>74.30327803621185</v>
      </c>
      <c r="D492" s="326">
        <f t="shared" si="217"/>
        <v>1.5573375640487037</v>
      </c>
      <c r="E492" s="326">
        <f t="shared" si="218"/>
        <v>1.0029634333990911</v>
      </c>
      <c r="F492" s="327">
        <f t="shared" si="219"/>
        <v>7.6891268381509156E-2</v>
      </c>
      <c r="G492" s="326">
        <f t="shared" si="220"/>
        <v>1</v>
      </c>
      <c r="H492" s="327">
        <f t="shared" si="221"/>
        <v>0</v>
      </c>
      <c r="I492" s="325">
        <f t="shared" si="222"/>
        <v>81373.341593176054</v>
      </c>
      <c r="J492" s="328">
        <f t="shared" si="223"/>
        <v>1.5707840377579658</v>
      </c>
      <c r="K492" s="336">
        <f t="shared" si="243"/>
        <v>15.794718782829039</v>
      </c>
      <c r="L492" s="337">
        <f t="shared" si="244"/>
        <v>1.507441651329902</v>
      </c>
      <c r="M492" s="325">
        <f t="shared" si="224"/>
        <v>1.0844417734127456</v>
      </c>
      <c r="N492" s="337">
        <f t="shared" si="225"/>
        <v>0.39723705416359362</v>
      </c>
      <c r="O492" s="343">
        <f t="shared" si="226"/>
        <v>1.0615664445691138</v>
      </c>
      <c r="P492" s="691">
        <f t="shared" si="227"/>
        <v>0.34224338613330907</v>
      </c>
      <c r="Q492" s="336">
        <f t="shared" si="242"/>
        <v>15.326047922644806</v>
      </c>
      <c r="R492" s="692">
        <f t="shared" si="228"/>
        <v>0.16483774732280385</v>
      </c>
      <c r="S492" s="329">
        <f t="shared" si="229"/>
        <v>0.98495844696282087</v>
      </c>
      <c r="T492" s="330">
        <f t="shared" si="230"/>
        <v>0.56299091567854376</v>
      </c>
      <c r="U492" s="331">
        <f t="shared" si="231"/>
        <v>-4.0246900835137014</v>
      </c>
      <c r="V492" s="332">
        <f t="shared" si="232"/>
        <v>-133.30499177315056</v>
      </c>
      <c r="W492" s="334">
        <f t="shared" si="233"/>
        <v>46.695008226849438</v>
      </c>
      <c r="Y492" s="307">
        <f t="shared" si="234"/>
        <v>61309</v>
      </c>
      <c r="Z492" s="307">
        <f t="shared" si="235"/>
        <v>3758793481</v>
      </c>
      <c r="AB492" s="333">
        <f t="shared" si="236"/>
        <v>22.763694575075313</v>
      </c>
      <c r="AC492" s="334">
        <f t="shared" si="237"/>
        <v>-26.389258106552525</v>
      </c>
      <c r="AE492" s="333">
        <f t="shared" si="238"/>
        <v>30.380675366187901</v>
      </c>
      <c r="AF492" s="334">
        <f t="shared" si="239"/>
        <v>-117.08032804387699</v>
      </c>
      <c r="AH492">
        <f t="shared" si="240"/>
        <v>0</v>
      </c>
      <c r="AI492">
        <f t="shared" si="245"/>
        <v>0</v>
      </c>
    </row>
    <row r="493" spans="1:35" x14ac:dyDescent="0.25">
      <c r="A493" s="335">
        <v>61660</v>
      </c>
      <c r="B493" s="352">
        <f t="shared" si="241"/>
        <v>61.66</v>
      </c>
      <c r="C493" s="325">
        <f t="shared" si="216"/>
        <v>74.728594713217674</v>
      </c>
      <c r="D493" s="326">
        <f t="shared" si="217"/>
        <v>1.5574141689811976</v>
      </c>
      <c r="E493" s="326">
        <f t="shared" si="218"/>
        <v>1.0029974115728715</v>
      </c>
      <c r="F493" s="327">
        <f t="shared" si="219"/>
        <v>7.7329730504265573E-2</v>
      </c>
      <c r="G493" s="326">
        <f t="shared" si="220"/>
        <v>1</v>
      </c>
      <c r="H493" s="327">
        <f t="shared" si="221"/>
        <v>0</v>
      </c>
      <c r="I493" s="325">
        <f t="shared" si="222"/>
        <v>81839.211904140247</v>
      </c>
      <c r="J493" s="328">
        <f t="shared" si="223"/>
        <v>1.5707841077133982</v>
      </c>
      <c r="K493" s="336">
        <f t="shared" si="243"/>
        <v>15.884783645638718</v>
      </c>
      <c r="L493" s="337">
        <f t="shared" si="244"/>
        <v>1.5078013422019771</v>
      </c>
      <c r="M493" s="325">
        <f t="shared" si="224"/>
        <v>1.0853732644741567</v>
      </c>
      <c r="N493" s="337">
        <f t="shared" si="225"/>
        <v>0.39927771760492459</v>
      </c>
      <c r="O493" s="343">
        <f t="shared" si="226"/>
        <v>1.0622526879597993</v>
      </c>
      <c r="P493" s="691">
        <f t="shared" si="227"/>
        <v>0.3440521372203979</v>
      </c>
      <c r="Q493" s="336">
        <f t="shared" si="242"/>
        <v>15.328349251584422</v>
      </c>
      <c r="R493" s="692">
        <f t="shared" si="228"/>
        <v>0.1657650548436794</v>
      </c>
      <c r="S493" s="329">
        <f t="shared" si="229"/>
        <v>0.98494895596114485</v>
      </c>
      <c r="T493" s="330">
        <f t="shared" si="230"/>
        <v>0.56661442916701765</v>
      </c>
      <c r="U493" s="331">
        <f t="shared" si="231"/>
        <v>-4.077235247324893</v>
      </c>
      <c r="V493" s="332">
        <f t="shared" si="232"/>
        <v>-133.53768455914988</v>
      </c>
      <c r="W493" s="334">
        <f t="shared" si="233"/>
        <v>46.462315440850119</v>
      </c>
      <c r="Y493" s="307">
        <f t="shared" si="234"/>
        <v>61660</v>
      </c>
      <c r="Z493" s="307">
        <f t="shared" si="235"/>
        <v>3801955600</v>
      </c>
      <c r="AB493" s="333">
        <f t="shared" si="236"/>
        <v>22.756039318093869</v>
      </c>
      <c r="AC493" s="334">
        <f t="shared" si="237"/>
        <v>-26.485574748509237</v>
      </c>
      <c r="AE493" s="333">
        <f t="shared" si="238"/>
        <v>30.331476489165841</v>
      </c>
      <c r="AF493" s="334">
        <f t="shared" si="239"/>
        <v>-117.26720718420032</v>
      </c>
      <c r="AH493">
        <f t="shared" si="240"/>
        <v>0</v>
      </c>
      <c r="AI493">
        <f t="shared" si="245"/>
        <v>0</v>
      </c>
    </row>
    <row r="494" spans="1:35" x14ac:dyDescent="0.25">
      <c r="A494" s="335">
        <v>62019</v>
      </c>
      <c r="B494" s="352">
        <f t="shared" si="241"/>
        <v>62.018999999999998</v>
      </c>
      <c r="C494" s="325">
        <f t="shared" si="216"/>
        <v>75.163605666064669</v>
      </c>
      <c r="D494" s="326">
        <f t="shared" si="217"/>
        <v>1.5574916230852893</v>
      </c>
      <c r="E494" s="326">
        <f t="shared" si="218"/>
        <v>1.003032363631956</v>
      </c>
      <c r="F494" s="327">
        <f t="shared" si="219"/>
        <v>7.7778155247684846E-2</v>
      </c>
      <c r="G494" s="326">
        <f t="shared" si="220"/>
        <v>1</v>
      </c>
      <c r="H494" s="327">
        <f t="shared" si="221"/>
        <v>0</v>
      </c>
      <c r="I494" s="325">
        <f t="shared" si="222"/>
        <v>82315.700341850461</v>
      </c>
      <c r="J494" s="328">
        <f t="shared" si="223"/>
        <v>1.5707841784441461</v>
      </c>
      <c r="K494" s="336">
        <f t="shared" si="243"/>
        <v>15.976903370541228</v>
      </c>
      <c r="L494" s="337">
        <f t="shared" si="244"/>
        <v>1.5081650361199863</v>
      </c>
      <c r="M494" s="325">
        <f t="shared" si="224"/>
        <v>1.0863306535055954</v>
      </c>
      <c r="N494" s="337">
        <f t="shared" si="225"/>
        <v>0.40136126283748574</v>
      </c>
      <c r="O494" s="343">
        <f t="shared" si="226"/>
        <v>1.0629581624833637</v>
      </c>
      <c r="P494" s="691">
        <f t="shared" si="227"/>
        <v>0.3458996912963464</v>
      </c>
      <c r="Q494" s="336">
        <f t="shared" si="242"/>
        <v>15.330716262607572</v>
      </c>
      <c r="R494" s="692">
        <f t="shared" si="228"/>
        <v>0.16671321314791762</v>
      </c>
      <c r="S494" s="329">
        <f t="shared" si="229"/>
        <v>0.98494309106489764</v>
      </c>
      <c r="T494" s="330">
        <f t="shared" si="230"/>
        <v>0.57032676188046005</v>
      </c>
      <c r="U494" s="331">
        <f t="shared" si="231"/>
        <v>-4.1307281614148836</v>
      </c>
      <c r="V494" s="332">
        <f t="shared" si="232"/>
        <v>-133.77614319655052</v>
      </c>
      <c r="W494" s="334">
        <f t="shared" si="233"/>
        <v>46.223856803449479</v>
      </c>
      <c r="Y494" s="307">
        <f t="shared" si="234"/>
        <v>62019</v>
      </c>
      <c r="Z494" s="307">
        <f t="shared" si="235"/>
        <v>3846356361</v>
      </c>
      <c r="AB494" s="333">
        <f t="shared" si="236"/>
        <v>22.748182333422889</v>
      </c>
      <c r="AC494" s="334">
        <f t="shared" si="237"/>
        <v>-26.584119022909032</v>
      </c>
      <c r="AE494" s="333">
        <f t="shared" si="238"/>
        <v>30.281415084955285</v>
      </c>
      <c r="AF494" s="334">
        <f t="shared" si="239"/>
        <v>-117.45865312909093</v>
      </c>
      <c r="AH494">
        <f t="shared" si="240"/>
        <v>0</v>
      </c>
      <c r="AI494">
        <f t="shared" si="245"/>
        <v>0</v>
      </c>
    </row>
    <row r="495" spans="1:35" x14ac:dyDescent="0.25">
      <c r="A495" s="335">
        <v>62378</v>
      </c>
      <c r="B495" s="352">
        <f t="shared" si="241"/>
        <v>62.378</v>
      </c>
      <c r="C495" s="325">
        <f t="shared" si="216"/>
        <v>75.598617064639214</v>
      </c>
      <c r="D495" s="326">
        <f t="shared" si="217"/>
        <v>1.5575681858132615</v>
      </c>
      <c r="E495" s="326">
        <f t="shared" si="218"/>
        <v>1.0030675173714731</v>
      </c>
      <c r="F495" s="327">
        <f t="shared" si="219"/>
        <v>7.8226548650066438E-2</v>
      </c>
      <c r="G495" s="326">
        <f t="shared" si="220"/>
        <v>1</v>
      </c>
      <c r="H495" s="327">
        <f t="shared" si="221"/>
        <v>0</v>
      </c>
      <c r="I495" s="325">
        <f t="shared" si="222"/>
        <v>82792.188779561096</v>
      </c>
      <c r="J495" s="328">
        <f t="shared" si="223"/>
        <v>1.5707842483607501</v>
      </c>
      <c r="K495" s="336">
        <f t="shared" si="243"/>
        <v>16.069025184530521</v>
      </c>
      <c r="L495" s="337">
        <f t="shared" si="244"/>
        <v>1.5085245600569748</v>
      </c>
      <c r="M495" s="325">
        <f t="shared" si="224"/>
        <v>1.087292750156079</v>
      </c>
      <c r="N495" s="337">
        <f t="shared" si="225"/>
        <v>0.4034411298141099</v>
      </c>
      <c r="O495" s="343">
        <f t="shared" si="226"/>
        <v>1.0636672605476925</v>
      </c>
      <c r="P495" s="691">
        <f t="shared" si="227"/>
        <v>0.34774478830473704</v>
      </c>
      <c r="Q495" s="336">
        <f t="shared" si="242"/>
        <v>15.33309664669995</v>
      </c>
      <c r="R495" s="692">
        <f t="shared" si="228"/>
        <v>0.16766108233160543</v>
      </c>
      <c r="S495" s="329">
        <f t="shared" si="229"/>
        <v>0.98494118030563649</v>
      </c>
      <c r="T495" s="330">
        <f t="shared" si="230"/>
        <v>0.57404540373473367</v>
      </c>
      <c r="U495" s="331">
        <f t="shared" si="231"/>
        <v>-4.1839723724173776</v>
      </c>
      <c r="V495" s="332">
        <f t="shared" si="232"/>
        <v>-134.0150663860519</v>
      </c>
      <c r="W495" s="334">
        <f t="shared" si="233"/>
        <v>45.984933613948101</v>
      </c>
      <c r="Y495" s="307">
        <f t="shared" si="234"/>
        <v>62378</v>
      </c>
      <c r="Z495" s="307">
        <f t="shared" si="235"/>
        <v>3891014884</v>
      </c>
      <c r="AB495" s="333">
        <f t="shared" si="236"/>
        <v>22.740297899715141</v>
      </c>
      <c r="AC495" s="334">
        <f t="shared" si="237"/>
        <v>-26.682691424433823</v>
      </c>
      <c r="AE495" s="333">
        <f t="shared" si="238"/>
        <v>30.231611437561217</v>
      </c>
      <c r="AF495" s="334">
        <f t="shared" si="239"/>
        <v>-117.65041128474346</v>
      </c>
      <c r="AH495">
        <f t="shared" si="240"/>
        <v>0</v>
      </c>
      <c r="AI495">
        <f t="shared" si="245"/>
        <v>0</v>
      </c>
    </row>
    <row r="496" spans="1:35" x14ac:dyDescent="0.25">
      <c r="A496" s="335">
        <v>62737</v>
      </c>
      <c r="B496" s="352">
        <f t="shared" si="241"/>
        <v>62.737000000000002</v>
      </c>
      <c r="C496" s="325">
        <f t="shared" si="216"/>
        <v>76.033628901290797</v>
      </c>
      <c r="D496" s="326">
        <f t="shared" si="217"/>
        <v>1.557643872463722</v>
      </c>
      <c r="E496" s="326">
        <f t="shared" si="218"/>
        <v>1.0031028727702196</v>
      </c>
      <c r="F496" s="327">
        <f t="shared" si="219"/>
        <v>7.8674910534409961E-2</v>
      </c>
      <c r="G496" s="326">
        <f t="shared" si="220"/>
        <v>1</v>
      </c>
      <c r="H496" s="327">
        <f t="shared" si="221"/>
        <v>0</v>
      </c>
      <c r="I496" s="325">
        <f t="shared" si="222"/>
        <v>83268.677217272125</v>
      </c>
      <c r="J496" s="328">
        <f t="shared" si="223"/>
        <v>1.5707843174771863</v>
      </c>
      <c r="K496" s="336">
        <f t="shared" si="243"/>
        <v>16.161149051881949</v>
      </c>
      <c r="L496" s="337">
        <f t="shared" si="244"/>
        <v>1.5088799852299877</v>
      </c>
      <c r="M496" s="325">
        <f t="shared" si="224"/>
        <v>1.0882595419400261</v>
      </c>
      <c r="N496" s="337">
        <f t="shared" si="225"/>
        <v>0.40551731031984067</v>
      </c>
      <c r="O496" s="343">
        <f t="shared" si="226"/>
        <v>1.0643799749106935</v>
      </c>
      <c r="P496" s="691">
        <f t="shared" si="227"/>
        <v>0.34958742060607845</v>
      </c>
      <c r="Q496" s="336">
        <f t="shared" si="242"/>
        <v>15.335490397639955</v>
      </c>
      <c r="R496" s="692">
        <f t="shared" si="228"/>
        <v>0.16860866090164831</v>
      </c>
      <c r="S496" s="329">
        <f t="shared" si="229"/>
        <v>0.98494329296410421</v>
      </c>
      <c r="T496" s="330">
        <f t="shared" si="230"/>
        <v>0.57777036101025669</v>
      </c>
      <c r="U496" s="331">
        <f t="shared" si="231"/>
        <v>-4.2369718251008806</v>
      </c>
      <c r="V496" s="332">
        <f t="shared" si="232"/>
        <v>-134.25445117602752</v>
      </c>
      <c r="W496" s="334">
        <f t="shared" si="233"/>
        <v>45.745548823972484</v>
      </c>
      <c r="Y496" s="307">
        <f t="shared" si="234"/>
        <v>62737</v>
      </c>
      <c r="Z496" s="307">
        <f t="shared" si="235"/>
        <v>3935931169</v>
      </c>
      <c r="AB496" s="333">
        <f t="shared" si="236"/>
        <v>22.732386126871976</v>
      </c>
      <c r="AC496" s="334">
        <f t="shared" si="237"/>
        <v>-26.781287402765933</v>
      </c>
      <c r="AE496" s="333">
        <f t="shared" si="238"/>
        <v>30.182061598491103</v>
      </c>
      <c r="AF496" s="334">
        <f t="shared" si="239"/>
        <v>-117.84248289768641</v>
      </c>
      <c r="AH496">
        <f t="shared" si="240"/>
        <v>0</v>
      </c>
      <c r="AI496">
        <f t="shared" si="245"/>
        <v>0</v>
      </c>
    </row>
    <row r="497" spans="1:35" x14ac:dyDescent="0.25">
      <c r="A497" s="335">
        <v>63096</v>
      </c>
      <c r="B497" s="352">
        <f t="shared" si="241"/>
        <v>63.095999999999997</v>
      </c>
      <c r="C497" s="325">
        <f t="shared" si="216"/>
        <v>76.468641168543158</v>
      </c>
      <c r="D497" s="326">
        <f t="shared" si="217"/>
        <v>1.5577186979871982</v>
      </c>
      <c r="E497" s="326">
        <f t="shared" si="218"/>
        <v>1.0031384298068728</v>
      </c>
      <c r="F497" s="327">
        <f t="shared" si="219"/>
        <v>7.9123240723790636E-2</v>
      </c>
      <c r="G497" s="326">
        <f t="shared" si="220"/>
        <v>1</v>
      </c>
      <c r="H497" s="327">
        <f t="shared" si="221"/>
        <v>0</v>
      </c>
      <c r="I497" s="325">
        <f t="shared" si="222"/>
        <v>83745.165654983546</v>
      </c>
      <c r="J497" s="328">
        <f t="shared" si="223"/>
        <v>1.5707843858071131</v>
      </c>
      <c r="K497" s="336">
        <f t="shared" si="243"/>
        <v>16.253274937680022</v>
      </c>
      <c r="L497" s="337">
        <f t="shared" si="244"/>
        <v>1.5092313812455938</v>
      </c>
      <c r="M497" s="325">
        <f t="shared" si="224"/>
        <v>1.08923101635536</v>
      </c>
      <c r="N497" s="337">
        <f t="shared" si="225"/>
        <v>0.40758979629594072</v>
      </c>
      <c r="O497" s="343">
        <f t="shared" si="226"/>
        <v>1.0650962983127756</v>
      </c>
      <c r="P497" s="691">
        <f t="shared" si="227"/>
        <v>0.35142758064822222</v>
      </c>
      <c r="Q497" s="336">
        <f t="shared" si="242"/>
        <v>15.337897509174931</v>
      </c>
      <c r="R497" s="692">
        <f t="shared" si="228"/>
        <v>0.16955594736790675</v>
      </c>
      <c r="S497" s="329">
        <f t="shared" si="229"/>
        <v>0.98494949867144721</v>
      </c>
      <c r="T497" s="330">
        <f t="shared" si="230"/>
        <v>0.58150163930773779</v>
      </c>
      <c r="U497" s="331">
        <f t="shared" si="231"/>
        <v>-4.2897304077778884</v>
      </c>
      <c r="V497" s="332">
        <f t="shared" si="232"/>
        <v>-134.49429465232933</v>
      </c>
      <c r="W497" s="334">
        <f t="shared" si="233"/>
        <v>45.50570534767067</v>
      </c>
      <c r="Y497" s="307">
        <f t="shared" si="234"/>
        <v>63096</v>
      </c>
      <c r="Z497" s="307">
        <f t="shared" si="235"/>
        <v>3981105216</v>
      </c>
      <c r="AB497" s="333">
        <f t="shared" si="236"/>
        <v>22.724447126929871</v>
      </c>
      <c r="AC497" s="334">
        <f t="shared" si="237"/>
        <v>-26.879902508793684</v>
      </c>
      <c r="AE497" s="333">
        <f t="shared" si="238"/>
        <v>30.132761673678164</v>
      </c>
      <c r="AF497" s="334">
        <f t="shared" si="239"/>
        <v>-118.03486915555588</v>
      </c>
      <c r="AH497">
        <f t="shared" si="240"/>
        <v>0</v>
      </c>
      <c r="AI497">
        <f t="shared" si="245"/>
        <v>0</v>
      </c>
    </row>
    <row r="498" spans="1:35" x14ac:dyDescent="0.25">
      <c r="A498" s="335">
        <v>63463.25</v>
      </c>
      <c r="B498" s="352">
        <f t="shared" si="241"/>
        <v>63.463250000000002</v>
      </c>
      <c r="C498" s="325">
        <f t="shared" si="216"/>
        <v>76.913650673748592</v>
      </c>
      <c r="D498" s="326">
        <f t="shared" si="217"/>
        <v>1.5577943672343455</v>
      </c>
      <c r="E498" s="326">
        <f t="shared" si="218"/>
        <v>1.0031750125814598</v>
      </c>
      <c r="F498" s="327">
        <f t="shared" si="219"/>
        <v>7.9581840785438659E-2</v>
      </c>
      <c r="G498" s="326">
        <f t="shared" si="220"/>
        <v>1</v>
      </c>
      <c r="H498" s="327">
        <f t="shared" si="221"/>
        <v>0</v>
      </c>
      <c r="I498" s="325">
        <f t="shared" si="222"/>
        <v>84232.604035901837</v>
      </c>
      <c r="J498" s="328">
        <f t="shared" si="223"/>
        <v>1.5707844549073837</v>
      </c>
      <c r="K498" s="336">
        <f t="shared" si="243"/>
        <v>16.34751997550153</v>
      </c>
      <c r="L498" s="337">
        <f t="shared" si="244"/>
        <v>1.509586754343277</v>
      </c>
      <c r="M498" s="325">
        <f t="shared" si="224"/>
        <v>1.0902296479694367</v>
      </c>
      <c r="N498" s="337">
        <f t="shared" si="225"/>
        <v>0.40970607794114833</v>
      </c>
      <c r="O498" s="343">
        <f t="shared" si="226"/>
        <v>1.0658328099968186</v>
      </c>
      <c r="P498" s="691">
        <f t="shared" si="227"/>
        <v>0.35330746257527684</v>
      </c>
      <c r="Q498" s="336">
        <f t="shared" si="242"/>
        <v>15.34037375546065</v>
      </c>
      <c r="R498" s="692">
        <f t="shared" si="228"/>
        <v>0.17052469915157145</v>
      </c>
      <c r="S498" s="329">
        <f t="shared" si="229"/>
        <v>0.9849601551752889</v>
      </c>
      <c r="T498" s="330">
        <f t="shared" si="230"/>
        <v>0.58532520995238091</v>
      </c>
      <c r="U498" s="331">
        <f t="shared" si="231"/>
        <v>-4.3434561689413131</v>
      </c>
      <c r="V498" s="332">
        <f t="shared" si="232"/>
        <v>-134.74012146893412</v>
      </c>
      <c r="W498" s="334">
        <f t="shared" si="233"/>
        <v>45.25987853106588</v>
      </c>
      <c r="Y498" s="307">
        <f t="shared" si="234"/>
        <v>63463.25</v>
      </c>
      <c r="Z498" s="307">
        <f t="shared" si="235"/>
        <v>4027584100.5625</v>
      </c>
      <c r="AB498" s="333">
        <f t="shared" si="236"/>
        <v>22.716297630927265</v>
      </c>
      <c r="AC498" s="334">
        <f t="shared" si="237"/>
        <v>-26.980799095944501</v>
      </c>
      <c r="AE498" s="333">
        <f t="shared" si="238"/>
        <v>30.082583402426177</v>
      </c>
      <c r="AF498" s="334">
        <f t="shared" si="239"/>
        <v>-118.23200329687292</v>
      </c>
      <c r="AH498">
        <f t="shared" si="240"/>
        <v>0</v>
      </c>
      <c r="AI498">
        <f t="shared" si="245"/>
        <v>0</v>
      </c>
    </row>
    <row r="499" spans="1:35" x14ac:dyDescent="0.25">
      <c r="A499" s="335">
        <v>63830.5</v>
      </c>
      <c r="B499" s="352">
        <f t="shared" si="241"/>
        <v>63.830500000000001</v>
      </c>
      <c r="C499" s="325">
        <f t="shared" si="216"/>
        <v>77.358660614282101</v>
      </c>
      <c r="D499" s="326">
        <f t="shared" si="217"/>
        <v>1.5578691658989232</v>
      </c>
      <c r="E499" s="326">
        <f t="shared" si="218"/>
        <v>1.0032118063224</v>
      </c>
      <c r="F499" s="327">
        <f t="shared" si="219"/>
        <v>8.0040407304342559E-2</v>
      </c>
      <c r="G499" s="326">
        <f t="shared" si="220"/>
        <v>1</v>
      </c>
      <c r="H499" s="327">
        <f t="shared" si="221"/>
        <v>0</v>
      </c>
      <c r="I499" s="325">
        <f t="shared" si="222"/>
        <v>84720.042416820521</v>
      </c>
      <c r="J499" s="328">
        <f t="shared" si="223"/>
        <v>1.5707845232125153</v>
      </c>
      <c r="K499" s="336">
        <f t="shared" si="243"/>
        <v>16.441767054183842</v>
      </c>
      <c r="L499" s="337">
        <f t="shared" si="244"/>
        <v>1.5099380533636497</v>
      </c>
      <c r="M499" s="325">
        <f t="shared" si="224"/>
        <v>1.0912331533887918</v>
      </c>
      <c r="N499" s="337">
        <f t="shared" si="225"/>
        <v>0.41181847673863453</v>
      </c>
      <c r="O499" s="343">
        <f t="shared" si="226"/>
        <v>1.0665730830774336</v>
      </c>
      <c r="P499" s="691">
        <f t="shared" si="227"/>
        <v>0.35518474160122993</v>
      </c>
      <c r="Q499" s="336">
        <f t="shared" si="242"/>
        <v>15.34286397012732</v>
      </c>
      <c r="R499" s="692">
        <f t="shared" si="228"/>
        <v>0.17149314210666242</v>
      </c>
      <c r="S499" s="329">
        <f t="shared" si="229"/>
        <v>0.98497524353143284</v>
      </c>
      <c r="T499" s="330">
        <f t="shared" si="230"/>
        <v>0.58915540512725806</v>
      </c>
      <c r="U499" s="331">
        <f t="shared" si="231"/>
        <v>-4.3969379186963202</v>
      </c>
      <c r="V499" s="332">
        <f t="shared" si="232"/>
        <v>-134.98642223607789</v>
      </c>
      <c r="W499" s="334">
        <f t="shared" si="233"/>
        <v>45.013577763922115</v>
      </c>
      <c r="Y499" s="307">
        <f t="shared" si="234"/>
        <v>63830.5</v>
      </c>
      <c r="Z499" s="307">
        <f t="shared" si="235"/>
        <v>4074332730.25</v>
      </c>
      <c r="AB499" s="333">
        <f t="shared" si="236"/>
        <v>22.708119885725075</v>
      </c>
      <c r="AC499" s="334">
        <f t="shared" si="237"/>
        <v>-27.081706594185601</v>
      </c>
      <c r="AE499" s="333">
        <f t="shared" si="238"/>
        <v>30.03265858894288</v>
      </c>
      <c r="AF499" s="334">
        <f t="shared" si="239"/>
        <v>-118.4294690369647</v>
      </c>
      <c r="AH499">
        <f t="shared" si="240"/>
        <v>0</v>
      </c>
      <c r="AI499">
        <f t="shared" si="245"/>
        <v>0</v>
      </c>
    </row>
    <row r="500" spans="1:35" x14ac:dyDescent="0.25">
      <c r="A500" s="335">
        <v>64197.75</v>
      </c>
      <c r="B500" s="352">
        <f t="shared" si="241"/>
        <v>64.197749999999999</v>
      </c>
      <c r="C500" s="325">
        <f t="shared" si="216"/>
        <v>77.803670982673935</v>
      </c>
      <c r="D500" s="326">
        <f t="shared" si="217"/>
        <v>1.5579431089183902</v>
      </c>
      <c r="E500" s="326">
        <f t="shared" si="218"/>
        <v>1.0032488110064821</v>
      </c>
      <c r="F500" s="327">
        <f t="shared" si="219"/>
        <v>8.0498940091345797E-2</v>
      </c>
      <c r="G500" s="326">
        <f t="shared" si="220"/>
        <v>1</v>
      </c>
      <c r="H500" s="327">
        <f t="shared" si="221"/>
        <v>0</v>
      </c>
      <c r="I500" s="325">
        <f t="shared" si="222"/>
        <v>85207.480797739583</v>
      </c>
      <c r="J500" s="328">
        <f t="shared" si="223"/>
        <v>1.5707845907361533</v>
      </c>
      <c r="K500" s="336">
        <f t="shared" si="243"/>
        <v>16.53601613883129</v>
      </c>
      <c r="L500" s="337">
        <f t="shared" si="244"/>
        <v>1.5102853478813876</v>
      </c>
      <c r="M500" s="325">
        <f t="shared" si="224"/>
        <v>1.0922415191798853</v>
      </c>
      <c r="N500" s="337">
        <f t="shared" si="225"/>
        <v>0.41392698456461408</v>
      </c>
      <c r="O500" s="343">
        <f t="shared" si="226"/>
        <v>1.0673171097280978</v>
      </c>
      <c r="P500" s="691">
        <f t="shared" si="227"/>
        <v>0.3570594099241457</v>
      </c>
      <c r="Q500" s="336">
        <f t="shared" si="242"/>
        <v>15.345368146380922</v>
      </c>
      <c r="R500" s="692">
        <f t="shared" si="228"/>
        <v>0.17246127464760824</v>
      </c>
      <c r="S500" s="329">
        <f t="shared" si="229"/>
        <v>0.98499483940179278</v>
      </c>
      <c r="T500" s="330">
        <f t="shared" si="230"/>
        <v>0.59299222857519174</v>
      </c>
      <c r="U500" s="331">
        <f t="shared" si="231"/>
        <v>-4.4501796447273438</v>
      </c>
      <c r="V500" s="332">
        <f t="shared" si="232"/>
        <v>-135.23319394005907</v>
      </c>
      <c r="W500" s="334">
        <f t="shared" si="233"/>
        <v>44.766806059940933</v>
      </c>
      <c r="Y500" s="307">
        <f t="shared" si="234"/>
        <v>64197.75</v>
      </c>
      <c r="Z500" s="307">
        <f t="shared" si="235"/>
        <v>4121351105.0625</v>
      </c>
      <c r="AB500" s="333">
        <f t="shared" si="236"/>
        <v>22.699914017654702</v>
      </c>
      <c r="AC500" s="334">
        <f t="shared" si="237"/>
        <v>-27.182620552504904</v>
      </c>
      <c r="AE500" s="333">
        <f t="shared" si="238"/>
        <v>29.982983233294213</v>
      </c>
      <c r="AF500" s="334">
        <f t="shared" si="239"/>
        <v>-118.62726745697043</v>
      </c>
      <c r="AH500">
        <f t="shared" si="240"/>
        <v>0</v>
      </c>
      <c r="AI500">
        <f t="shared" si="245"/>
        <v>0</v>
      </c>
    </row>
    <row r="501" spans="1:35" x14ac:dyDescent="0.25">
      <c r="A501" s="335">
        <v>64565</v>
      </c>
      <c r="B501" s="352">
        <f t="shared" si="241"/>
        <v>64.564999999999998</v>
      </c>
      <c r="C501" s="325">
        <f t="shared" si="216"/>
        <v>78.248681771624206</v>
      </c>
      <c r="D501" s="326">
        <f t="shared" si="217"/>
        <v>1.5580162108904376</v>
      </c>
      <c r="E501" s="326">
        <f t="shared" si="218"/>
        <v>1.0032860266103651</v>
      </c>
      <c r="F501" s="327">
        <f t="shared" si="219"/>
        <v>8.0957438957376393E-2</v>
      </c>
      <c r="G501" s="326">
        <f t="shared" si="220"/>
        <v>1</v>
      </c>
      <c r="H501" s="327">
        <f t="shared" si="221"/>
        <v>0</v>
      </c>
      <c r="I501" s="325">
        <f t="shared" si="222"/>
        <v>85694.919178659038</v>
      </c>
      <c r="J501" s="328">
        <f t="shared" si="223"/>
        <v>1.5707846574916333</v>
      </c>
      <c r="K501" s="336">
        <f t="shared" si="243"/>
        <v>16.630267195338511</v>
      </c>
      <c r="L501" s="337">
        <f t="shared" si="244"/>
        <v>1.5106287058978392</v>
      </c>
      <c r="M501" s="325">
        <f t="shared" si="224"/>
        <v>1.0932547318937955</v>
      </c>
      <c r="N501" s="337">
        <f t="shared" si="225"/>
        <v>0.41603159346358826</v>
      </c>
      <c r="O501" s="343">
        <f t="shared" si="226"/>
        <v>1.0680648821044669</v>
      </c>
      <c r="P501" s="691">
        <f t="shared" si="227"/>
        <v>0.35893145983717234</v>
      </c>
      <c r="Q501" s="336">
        <f t="shared" si="242"/>
        <v>15.347886277393796</v>
      </c>
      <c r="R501" s="692">
        <f t="shared" si="228"/>
        <v>0.17342909519212774</v>
      </c>
      <c r="S501" s="329">
        <f t="shared" si="229"/>
        <v>0.98501901881881071</v>
      </c>
      <c r="T501" s="330">
        <f t="shared" si="230"/>
        <v>0.59683568326439584</v>
      </c>
      <c r="U501" s="331">
        <f t="shared" si="231"/>
        <v>-4.5031852784841826</v>
      </c>
      <c r="V501" s="332">
        <f t="shared" si="232"/>
        <v>-135.48043359783227</v>
      </c>
      <c r="W501" s="334">
        <f t="shared" si="233"/>
        <v>44.519566402167726</v>
      </c>
      <c r="Y501" s="307">
        <f t="shared" si="234"/>
        <v>64565</v>
      </c>
      <c r="Z501" s="307">
        <f t="shared" si="235"/>
        <v>4168639225</v>
      </c>
      <c r="AB501" s="333">
        <f t="shared" si="236"/>
        <v>22.691680155029079</v>
      </c>
      <c r="AC501" s="334">
        <f t="shared" si="237"/>
        <v>-27.283536619659724</v>
      </c>
      <c r="AE501" s="333">
        <f t="shared" si="238"/>
        <v>29.933553389888448</v>
      </c>
      <c r="AF501" s="334">
        <f t="shared" si="239"/>
        <v>-118.82539957417529</v>
      </c>
      <c r="AH501">
        <f t="shared" si="240"/>
        <v>0</v>
      </c>
      <c r="AI501">
        <f t="shared" si="245"/>
        <v>0</v>
      </c>
    </row>
    <row r="502" spans="1:35" x14ac:dyDescent="0.25">
      <c r="A502" s="335">
        <v>64941</v>
      </c>
      <c r="B502" s="352">
        <f t="shared" si="241"/>
        <v>64.941000000000003</v>
      </c>
      <c r="C502" s="325">
        <f t="shared" si="216"/>
        <v>78.704295696534345</v>
      </c>
      <c r="D502" s="326">
        <f t="shared" si="217"/>
        <v>1.5580901981233393</v>
      </c>
      <c r="E502" s="326">
        <f t="shared" si="218"/>
        <v>1.0033243473963793</v>
      </c>
      <c r="F502" s="327">
        <f t="shared" si="219"/>
        <v>8.1426826554177462E-2</v>
      </c>
      <c r="G502" s="326">
        <f t="shared" si="220"/>
        <v>1</v>
      </c>
      <c r="H502" s="327">
        <f t="shared" si="221"/>
        <v>0</v>
      </c>
      <c r="I502" s="325">
        <f t="shared" si="222"/>
        <v>86193.971135707005</v>
      </c>
      <c r="J502" s="328">
        <f t="shared" si="223"/>
        <v>1.5707847250553915</v>
      </c>
      <c r="K502" s="336">
        <f t="shared" si="243"/>
        <v>16.726765860322217</v>
      </c>
      <c r="L502" s="337">
        <f t="shared" si="244"/>
        <v>1.5109762357709871</v>
      </c>
      <c r="M502" s="325">
        <f t="shared" si="224"/>
        <v>1.0942970926033335</v>
      </c>
      <c r="N502" s="337">
        <f t="shared" si="225"/>
        <v>0.4181822987023523</v>
      </c>
      <c r="O502" s="343">
        <f t="shared" si="226"/>
        <v>1.0688343431509404</v>
      </c>
      <c r="P502" s="691">
        <f t="shared" si="227"/>
        <v>0.36084539202977911</v>
      </c>
      <c r="Q502" s="336">
        <f t="shared" si="242"/>
        <v>15.350478854999377</v>
      </c>
      <c r="R502" s="692">
        <f t="shared" si="228"/>
        <v>0.17441964988523875</v>
      </c>
      <c r="S502" s="329">
        <f t="shared" si="229"/>
        <v>0.98504860276767836</v>
      </c>
      <c r="T502" s="330">
        <f t="shared" si="230"/>
        <v>0.60077758346674848</v>
      </c>
      <c r="U502" s="331">
        <f t="shared" si="231"/>
        <v>-4.5572132610863587</v>
      </c>
      <c r="V502" s="332">
        <f t="shared" si="232"/>
        <v>-135.73404564658077</v>
      </c>
      <c r="W502" s="334">
        <f t="shared" si="233"/>
        <v>44.265954353419232</v>
      </c>
      <c r="Y502" s="307">
        <f t="shared" si="234"/>
        <v>64941</v>
      </c>
      <c r="Z502" s="307">
        <f t="shared" si="235"/>
        <v>4217333481</v>
      </c>
      <c r="AB502" s="333">
        <f t="shared" si="236"/>
        <v>22.683221247599214</v>
      </c>
      <c r="AC502" s="334">
        <f t="shared" si="237"/>
        <v>-27.38685482906773</v>
      </c>
      <c r="AE502" s="333">
        <f t="shared" si="238"/>
        <v>29.883196136082752</v>
      </c>
      <c r="AF502" s="334">
        <f t="shared" si="239"/>
        <v>-119.02859904719466</v>
      </c>
      <c r="AH502">
        <f t="shared" si="240"/>
        <v>0</v>
      </c>
      <c r="AI502">
        <f t="shared" si="245"/>
        <v>0</v>
      </c>
    </row>
    <row r="503" spans="1:35" x14ac:dyDescent="0.25">
      <c r="A503" s="335">
        <v>65317</v>
      </c>
      <c r="B503" s="352">
        <f t="shared" si="241"/>
        <v>65.316999999999993</v>
      </c>
      <c r="C503" s="325">
        <f t="shared" si="216"/>
        <v>79.159910047321063</v>
      </c>
      <c r="D503" s="326">
        <f t="shared" si="217"/>
        <v>1.5581633336718625</v>
      </c>
      <c r="E503" s="326">
        <f t="shared" si="218"/>
        <v>1.0033628892226318</v>
      </c>
      <c r="F503" s="327">
        <f t="shared" si="219"/>
        <v>8.1896178193539906E-2</v>
      </c>
      <c r="G503" s="326">
        <f t="shared" si="220"/>
        <v>1</v>
      </c>
      <c r="H503" s="327">
        <f t="shared" si="221"/>
        <v>0</v>
      </c>
      <c r="I503" s="325">
        <f t="shared" si="222"/>
        <v>86693.023092755335</v>
      </c>
      <c r="J503" s="328">
        <f t="shared" si="223"/>
        <v>1.5707847918412827</v>
      </c>
      <c r="K503" s="336">
        <f t="shared" si="243"/>
        <v>16.82326652233866</v>
      </c>
      <c r="L503" s="337">
        <f t="shared" si="244"/>
        <v>1.5113197787231529</v>
      </c>
      <c r="M503" s="325">
        <f t="shared" si="224"/>
        <v>1.0953445053728421</v>
      </c>
      <c r="N503" s="337">
        <f t="shared" si="225"/>
        <v>0.42032890067163603</v>
      </c>
      <c r="O503" s="343">
        <f t="shared" si="226"/>
        <v>1.0696077138418769</v>
      </c>
      <c r="P503" s="691">
        <f t="shared" si="227"/>
        <v>0.36275656351031393</v>
      </c>
      <c r="Q503" s="336">
        <f t="shared" si="242"/>
        <v>15.353086045658616</v>
      </c>
      <c r="R503" s="692">
        <f t="shared" si="228"/>
        <v>0.17540987419168053</v>
      </c>
      <c r="S503" s="329">
        <f t="shared" si="229"/>
        <v>0.98508315374862954</v>
      </c>
      <c r="T503" s="330">
        <f t="shared" si="230"/>
        <v>0.60472643843955243</v>
      </c>
      <c r="U503" s="331">
        <f t="shared" si="231"/>
        <v>-4.6110019324657863</v>
      </c>
      <c r="V503" s="332">
        <f t="shared" si="232"/>
        <v>-135.98814197315531</v>
      </c>
      <c r="W503" s="334">
        <f t="shared" si="233"/>
        <v>44.011858026844692</v>
      </c>
      <c r="Y503" s="307">
        <f t="shared" si="234"/>
        <v>65317</v>
      </c>
      <c r="Z503" s="307">
        <f t="shared" si="235"/>
        <v>4266310489</v>
      </c>
      <c r="AB503" s="333">
        <f t="shared" si="236"/>
        <v>22.674733273957358</v>
      </c>
      <c r="AC503" s="334">
        <f t="shared" si="237"/>
        <v>-27.490166327629339</v>
      </c>
      <c r="AE503" s="333">
        <f t="shared" si="238"/>
        <v>29.833088031937788</v>
      </c>
      <c r="AF503" s="334">
        <f t="shared" si="239"/>
        <v>-119.23215026149794</v>
      </c>
      <c r="AH503">
        <f t="shared" si="240"/>
        <v>0</v>
      </c>
      <c r="AI503">
        <f t="shared" si="245"/>
        <v>0</v>
      </c>
    </row>
    <row r="504" spans="1:35" x14ac:dyDescent="0.25">
      <c r="A504" s="335">
        <v>65693</v>
      </c>
      <c r="B504" s="352">
        <f t="shared" si="241"/>
        <v>65.692999999999998</v>
      </c>
      <c r="C504" s="325">
        <f t="shared" si="216"/>
        <v>79.615524816672874</v>
      </c>
      <c r="D504" s="326">
        <f t="shared" si="217"/>
        <v>1.558235632156989</v>
      </c>
      <c r="E504" s="326">
        <f t="shared" si="218"/>
        <v>1.0034016520636511</v>
      </c>
      <c r="F504" s="327">
        <f t="shared" si="219"/>
        <v>8.2365493672831372E-2</v>
      </c>
      <c r="G504" s="326">
        <f t="shared" si="220"/>
        <v>1</v>
      </c>
      <c r="H504" s="327">
        <f t="shared" si="221"/>
        <v>0</v>
      </c>
      <c r="I504" s="325">
        <f t="shared" si="222"/>
        <v>87192.075049804043</v>
      </c>
      <c r="J504" s="328">
        <f t="shared" si="223"/>
        <v>1.5707848578626633</v>
      </c>
      <c r="K504" s="336">
        <f t="shared" si="243"/>
        <v>16.919769147218052</v>
      </c>
      <c r="L504" s="337">
        <f t="shared" si="244"/>
        <v>1.5116594028912651</v>
      </c>
      <c r="M504" s="325">
        <f t="shared" si="224"/>
        <v>1.0963969557232802</v>
      </c>
      <c r="N504" s="337">
        <f t="shared" si="225"/>
        <v>0.42247139137703077</v>
      </c>
      <c r="O504" s="343">
        <f t="shared" si="226"/>
        <v>1.0703849857029306</v>
      </c>
      <c r="P504" s="691">
        <f t="shared" si="227"/>
        <v>0.364664966316529</v>
      </c>
      <c r="Q504" s="336">
        <f t="shared" si="242"/>
        <v>15.355707841935089</v>
      </c>
      <c r="R504" s="692">
        <f t="shared" si="228"/>
        <v>0.17639976642416605</v>
      </c>
      <c r="S504" s="329">
        <f t="shared" si="229"/>
        <v>0.9851227545426513</v>
      </c>
      <c r="T504" s="330">
        <f t="shared" si="230"/>
        <v>0.6086822487950968</v>
      </c>
      <c r="U504" s="331">
        <f t="shared" si="231"/>
        <v>-4.6645553370354742</v>
      </c>
      <c r="V504" s="332">
        <f t="shared" si="232"/>
        <v>-136.24271946025772</v>
      </c>
      <c r="W504" s="334">
        <f t="shared" si="233"/>
        <v>43.757280539742283</v>
      </c>
      <c r="Y504" s="307">
        <f t="shared" si="234"/>
        <v>65693</v>
      </c>
      <c r="Z504" s="307">
        <f t="shared" si="235"/>
        <v>4315570249</v>
      </c>
      <c r="AB504" s="333">
        <f t="shared" si="236"/>
        <v>22.666216377734372</v>
      </c>
      <c r="AC504" s="334">
        <f t="shared" si="237"/>
        <v>-27.593466754105506</v>
      </c>
      <c r="AE504" s="333">
        <f t="shared" si="238"/>
        <v>29.783225012186104</v>
      </c>
      <c r="AF504" s="334">
        <f t="shared" si="239"/>
        <v>-119.43605410149713</v>
      </c>
      <c r="AH504">
        <f t="shared" si="240"/>
        <v>0</v>
      </c>
      <c r="AI504">
        <f t="shared" si="245"/>
        <v>0</v>
      </c>
    </row>
    <row r="505" spans="1:35" x14ac:dyDescent="0.25">
      <c r="A505" s="335">
        <v>66069</v>
      </c>
      <c r="B505" s="352">
        <f t="shared" si="241"/>
        <v>66.069000000000003</v>
      </c>
      <c r="C505" s="325">
        <f t="shared" si="216"/>
        <v>80.071139997444718</v>
      </c>
      <c r="D505" s="326">
        <f t="shared" si="217"/>
        <v>1.5583071078669544</v>
      </c>
      <c r="E505" s="326">
        <f t="shared" si="218"/>
        <v>1.0034406358938239</v>
      </c>
      <c r="F505" s="327">
        <f t="shared" si="219"/>
        <v>8.2834772789514385E-2</v>
      </c>
      <c r="G505" s="326">
        <f t="shared" si="220"/>
        <v>1</v>
      </c>
      <c r="H505" s="327">
        <f t="shared" si="221"/>
        <v>0</v>
      </c>
      <c r="I505" s="325">
        <f t="shared" si="222"/>
        <v>87691.127006853145</v>
      </c>
      <c r="J505" s="328">
        <f t="shared" si="223"/>
        <v>1.5707849231325861</v>
      </c>
      <c r="K505" s="336">
        <f t="shared" si="243"/>
        <v>17.016273701565051</v>
      </c>
      <c r="L505" s="337">
        <f t="shared" si="244"/>
        <v>1.5119951748702136</v>
      </c>
      <c r="M505" s="325">
        <f t="shared" si="224"/>
        <v>1.0974544291616442</v>
      </c>
      <c r="N505" s="337">
        <f t="shared" si="225"/>
        <v>0.4246097630056937</v>
      </c>
      <c r="O505" s="343">
        <f t="shared" si="226"/>
        <v>1.0711661502416661</v>
      </c>
      <c r="P505" s="691">
        <f t="shared" si="227"/>
        <v>0.36657059258989644</v>
      </c>
      <c r="Q505" s="336">
        <f t="shared" si="242"/>
        <v>15.358344236355808</v>
      </c>
      <c r="R505" s="692">
        <f t="shared" si="228"/>
        <v>0.1773893248990828</v>
      </c>
      <c r="S505" s="329">
        <f t="shared" si="229"/>
        <v>0.98516748832151224</v>
      </c>
      <c r="T505" s="330">
        <f t="shared" si="230"/>
        <v>0.61264501426123519</v>
      </c>
      <c r="U505" s="331">
        <f t="shared" si="231"/>
        <v>-4.7178774629589979</v>
      </c>
      <c r="V505" s="332">
        <f t="shared" si="232"/>
        <v>-136.49777501385068</v>
      </c>
      <c r="W505" s="334">
        <f t="shared" si="233"/>
        <v>43.502224986149315</v>
      </c>
      <c r="Y505" s="307">
        <f t="shared" si="234"/>
        <v>66069</v>
      </c>
      <c r="Z505" s="307">
        <f t="shared" si="235"/>
        <v>4365112761</v>
      </c>
      <c r="AB505" s="333">
        <f t="shared" si="236"/>
        <v>22.657670704390863</v>
      </c>
      <c r="AC505" s="334">
        <f t="shared" si="237"/>
        <v>-27.696751845995028</v>
      </c>
      <c r="AE505" s="333">
        <f t="shared" si="238"/>
        <v>29.733603066049838</v>
      </c>
      <c r="AF505" s="334">
        <f t="shared" si="239"/>
        <v>-119.64031138185962</v>
      </c>
      <c r="AH505">
        <f t="shared" si="240"/>
        <v>0</v>
      </c>
      <c r="AI505">
        <f t="shared" si="245"/>
        <v>0</v>
      </c>
    </row>
    <row r="506" spans="1:35" x14ac:dyDescent="0.25">
      <c r="A506" s="335">
        <v>66453.75</v>
      </c>
      <c r="B506" s="352">
        <f t="shared" si="241"/>
        <v>66.453749999999999</v>
      </c>
      <c r="C506" s="325">
        <f t="shared" si="216"/>
        <v>80.537358343718239</v>
      </c>
      <c r="D506" s="326">
        <f t="shared" si="217"/>
        <v>1.5583794097558197</v>
      </c>
      <c r="E506" s="326">
        <f t="shared" si="218"/>
        <v>1.003480755663664</v>
      </c>
      <c r="F506" s="327">
        <f t="shared" si="219"/>
        <v>8.331493477737284E-2</v>
      </c>
      <c r="G506" s="326">
        <f t="shared" si="220"/>
        <v>1</v>
      </c>
      <c r="H506" s="327">
        <f t="shared" si="221"/>
        <v>0</v>
      </c>
      <c r="I506" s="325">
        <f t="shared" si="222"/>
        <v>88201.792540030758</v>
      </c>
      <c r="J506" s="328">
        <f t="shared" si="223"/>
        <v>1.5707849891568371</v>
      </c>
      <c r="K506" s="336">
        <f t="shared" si="243"/>
        <v>17.115026003382191</v>
      </c>
      <c r="L506" s="337">
        <f t="shared" si="244"/>
        <v>1.512334840891415</v>
      </c>
      <c r="M506" s="325">
        <f t="shared" si="224"/>
        <v>1.098541696012352</v>
      </c>
      <c r="N506" s="337">
        <f t="shared" si="225"/>
        <v>0.42679362533482451</v>
      </c>
      <c r="O506" s="343">
        <f t="shared" si="226"/>
        <v>1.0719695142115844</v>
      </c>
      <c r="P506" s="691">
        <f t="shared" si="227"/>
        <v>0.36851768292503173</v>
      </c>
      <c r="Q506" s="336">
        <f t="shared" si="242"/>
        <v>15.361057086879425</v>
      </c>
      <c r="R506" s="692">
        <f t="shared" si="228"/>
        <v>0.17840156441210128</v>
      </c>
      <c r="S506" s="329">
        <f t="shared" si="229"/>
        <v>0.98521866383475665</v>
      </c>
      <c r="T506" s="330">
        <f t="shared" si="230"/>
        <v>0.61670719689328224</v>
      </c>
      <c r="U506" s="331">
        <f t="shared" si="231"/>
        <v>-4.7722051511525985</v>
      </c>
      <c r="V506" s="332">
        <f t="shared" si="232"/>
        <v>-136.75925771364027</v>
      </c>
      <c r="W506" s="334">
        <f t="shared" si="233"/>
        <v>43.240742286359733</v>
      </c>
      <c r="Y506" s="307">
        <f t="shared" si="234"/>
        <v>66453.75</v>
      </c>
      <c r="Z506" s="307">
        <f t="shared" si="235"/>
        <v>4416100889.0625</v>
      </c>
      <c r="AB506" s="333">
        <f t="shared" si="236"/>
        <v>22.648896526466856</v>
      </c>
      <c r="AC506" s="334">
        <f t="shared" si="237"/>
        <v>-27.80242029406466</v>
      </c>
      <c r="AE506" s="333">
        <f t="shared" si="238"/>
        <v>29.683071779723768</v>
      </c>
      <c r="AF506" s="334">
        <f t="shared" si="239"/>
        <v>-119.8496886402224</v>
      </c>
      <c r="AH506">
        <f t="shared" si="240"/>
        <v>0</v>
      </c>
      <c r="AI506">
        <f t="shared" si="245"/>
        <v>0</v>
      </c>
    </row>
    <row r="507" spans="1:35" x14ac:dyDescent="0.25">
      <c r="A507" s="335">
        <v>66838.5</v>
      </c>
      <c r="B507" s="352">
        <f t="shared" si="241"/>
        <v>66.838499999999996</v>
      </c>
      <c r="C507" s="325">
        <f t="shared" si="216"/>
        <v>81.003577106159554</v>
      </c>
      <c r="D507" s="326">
        <f t="shared" si="217"/>
        <v>1.5584508793732381</v>
      </c>
      <c r="E507" s="326">
        <f t="shared" si="218"/>
        <v>1.0035211067730163</v>
      </c>
      <c r="F507" s="327">
        <f t="shared" si="219"/>
        <v>8.3795058261745881E-2</v>
      </c>
      <c r="G507" s="326">
        <f t="shared" si="220"/>
        <v>1</v>
      </c>
      <c r="H507" s="327">
        <f t="shared" si="221"/>
        <v>0</v>
      </c>
      <c r="I507" s="325">
        <f t="shared" si="222"/>
        <v>88712.458073208763</v>
      </c>
      <c r="J507" s="328">
        <f t="shared" si="223"/>
        <v>1.5707850544209625</v>
      </c>
      <c r="K507" s="336">
        <f t="shared" si="243"/>
        <v>17.213780257155218</v>
      </c>
      <c r="L507" s="337">
        <f t="shared" si="244"/>
        <v>1.512670609670556</v>
      </c>
      <c r="M507" s="325">
        <f t="shared" si="224"/>
        <v>1.0996341917130159</v>
      </c>
      <c r="N507" s="337">
        <f t="shared" si="225"/>
        <v>0.4289731586708197</v>
      </c>
      <c r="O507" s="343">
        <f t="shared" si="226"/>
        <v>1.0727769360945159</v>
      </c>
      <c r="P507" s="691">
        <f t="shared" si="227"/>
        <v>0.37046184967986323</v>
      </c>
      <c r="Q507" s="336">
        <f t="shared" si="242"/>
        <v>15.363785206939257</v>
      </c>
      <c r="R507" s="692">
        <f t="shared" si="228"/>
        <v>0.1794134508979279</v>
      </c>
      <c r="S507" s="329">
        <f t="shared" si="229"/>
        <v>0.98527539145125842</v>
      </c>
      <c r="T507" s="330">
        <f t="shared" si="230"/>
        <v>0.620776658662893</v>
      </c>
      <c r="U507" s="331">
        <f t="shared" si="231"/>
        <v>-4.8262989453713745</v>
      </c>
      <c r="V507" s="332">
        <f t="shared" si="232"/>
        <v>-137.02123449851518</v>
      </c>
      <c r="W507" s="334">
        <f t="shared" si="233"/>
        <v>42.978765501484816</v>
      </c>
      <c r="Y507" s="307">
        <f t="shared" si="234"/>
        <v>66838.5</v>
      </c>
      <c r="Z507" s="307">
        <f t="shared" si="235"/>
        <v>4467385082.25</v>
      </c>
      <c r="AB507" s="333">
        <f t="shared" si="236"/>
        <v>22.640092530164694</v>
      </c>
      <c r="AC507" s="334">
        <f t="shared" si="237"/>
        <v>-27.908063961067867</v>
      </c>
      <c r="AE507" s="333">
        <f t="shared" si="238"/>
        <v>29.632784590289809</v>
      </c>
      <c r="AF507" s="334">
        <f t="shared" si="239"/>
        <v>-120.05943748289242</v>
      </c>
      <c r="AH507">
        <f t="shared" si="240"/>
        <v>0</v>
      </c>
      <c r="AI507">
        <f t="shared" si="245"/>
        <v>0</v>
      </c>
    </row>
    <row r="508" spans="1:35" x14ac:dyDescent="0.25">
      <c r="A508" s="335">
        <v>67223.25</v>
      </c>
      <c r="B508" s="352">
        <f t="shared" si="241"/>
        <v>67.223249999999993</v>
      </c>
      <c r="C508" s="325">
        <f t="shared" si="216"/>
        <v>81.469796277623999</v>
      </c>
      <c r="D508" s="326">
        <f t="shared" si="217"/>
        <v>1.5585215310067464</v>
      </c>
      <c r="E508" s="326">
        <f t="shared" si="218"/>
        <v>1.0035616891939756</v>
      </c>
      <c r="F508" s="327">
        <f t="shared" si="219"/>
        <v>8.4275143025936625E-2</v>
      </c>
      <c r="G508" s="326">
        <f t="shared" si="220"/>
        <v>1</v>
      </c>
      <c r="H508" s="327">
        <f t="shared" si="221"/>
        <v>0</v>
      </c>
      <c r="I508" s="325">
        <f t="shared" si="222"/>
        <v>89223.123606387133</v>
      </c>
      <c r="J508" s="328">
        <f t="shared" si="223"/>
        <v>1.5707851189380138</v>
      </c>
      <c r="K508" s="336">
        <f t="shared" si="243"/>
        <v>17.312536429481071</v>
      </c>
      <c r="L508" s="337">
        <f t="shared" si="244"/>
        <v>1.5130025478245683</v>
      </c>
      <c r="M508" s="325">
        <f t="shared" si="224"/>
        <v>1.1007319006944605</v>
      </c>
      <c r="N508" s="337">
        <f t="shared" si="225"/>
        <v>0.43114835522721351</v>
      </c>
      <c r="O508" s="343">
        <f t="shared" si="226"/>
        <v>1.0735884067348631</v>
      </c>
      <c r="P508" s="691">
        <f t="shared" si="227"/>
        <v>0.37240308477023182</v>
      </c>
      <c r="Q508" s="336">
        <f t="shared" si="242"/>
        <v>15.366528588410123</v>
      </c>
      <c r="R508" s="692">
        <f t="shared" si="228"/>
        <v>0.1804249825646991</v>
      </c>
      <c r="S508" s="329">
        <f t="shared" si="229"/>
        <v>0.98533776152703589</v>
      </c>
      <c r="T508" s="330">
        <f t="shared" si="230"/>
        <v>0.62485339634835169</v>
      </c>
      <c r="U508" s="331">
        <f t="shared" si="231"/>
        <v>-4.880162944134522</v>
      </c>
      <c r="V508" s="332">
        <f t="shared" si="232"/>
        <v>-137.28370211318509</v>
      </c>
      <c r="W508" s="334">
        <f t="shared" si="233"/>
        <v>42.716297886814914</v>
      </c>
      <c r="Y508" s="307">
        <f t="shared" si="234"/>
        <v>67223.25</v>
      </c>
      <c r="Z508" s="307">
        <f t="shared" si="235"/>
        <v>4518965340.5625</v>
      </c>
      <c r="AB508" s="333">
        <f t="shared" si="236"/>
        <v>22.631258876772552</v>
      </c>
      <c r="AC508" s="334">
        <f t="shared" si="237"/>
        <v>-28.01367858475178</v>
      </c>
      <c r="AE508" s="333">
        <f t="shared" si="238"/>
        <v>29.58273736974563</v>
      </c>
      <c r="AF508" s="334">
        <f t="shared" si="239"/>
        <v>-120.26955855631029</v>
      </c>
      <c r="AH508">
        <f t="shared" si="240"/>
        <v>0</v>
      </c>
      <c r="AI508">
        <f t="shared" si="245"/>
        <v>0</v>
      </c>
    </row>
    <row r="509" spans="1:35" x14ac:dyDescent="0.25">
      <c r="A509" s="335">
        <v>67608</v>
      </c>
      <c r="B509" s="352">
        <f t="shared" si="241"/>
        <v>67.608000000000004</v>
      </c>
      <c r="C509" s="325">
        <f t="shared" si="216"/>
        <v>81.936015851129497</v>
      </c>
      <c r="D509" s="326">
        <f t="shared" si="217"/>
        <v>1.5585913786187275</v>
      </c>
      <c r="E509" s="326">
        <f t="shared" si="218"/>
        <v>1.0036025028984812</v>
      </c>
      <c r="F509" s="327">
        <f t="shared" si="219"/>
        <v>8.4755188853354507E-2</v>
      </c>
      <c r="G509" s="326">
        <f t="shared" si="220"/>
        <v>1</v>
      </c>
      <c r="H509" s="327">
        <f t="shared" si="221"/>
        <v>0</v>
      </c>
      <c r="I509" s="325">
        <f t="shared" si="222"/>
        <v>89733.789139565881</v>
      </c>
      <c r="J509" s="328">
        <f t="shared" si="223"/>
        <v>1.5707851827207455</v>
      </c>
      <c r="K509" s="336">
        <f t="shared" si="243"/>
        <v>17.411294487713874</v>
      </c>
      <c r="L509" s="337">
        <f t="shared" si="244"/>
        <v>1.5133307204623809</v>
      </c>
      <c r="M509" s="325">
        <f t="shared" si="224"/>
        <v>1.1018348073754065</v>
      </c>
      <c r="N509" s="337">
        <f t="shared" si="225"/>
        <v>0.43331920741264918</v>
      </c>
      <c r="O509" s="343">
        <f t="shared" si="226"/>
        <v>1.074403916958848</v>
      </c>
      <c r="P509" s="691">
        <f t="shared" si="227"/>
        <v>0.37434138022472074</v>
      </c>
      <c r="Q509" s="336">
        <f t="shared" si="242"/>
        <v>15.369287223127229</v>
      </c>
      <c r="R509" s="692">
        <f t="shared" si="228"/>
        <v>0.18143615762464477</v>
      </c>
      <c r="S509" s="329">
        <f t="shared" si="229"/>
        <v>0.98540586482645853</v>
      </c>
      <c r="T509" s="330">
        <f t="shared" si="230"/>
        <v>0.62893740572192702</v>
      </c>
      <c r="U509" s="331">
        <f t="shared" si="231"/>
        <v>-4.9338011897537921</v>
      </c>
      <c r="V509" s="332">
        <f t="shared" si="232"/>
        <v>-137.54665731742233</v>
      </c>
      <c r="W509" s="334">
        <f t="shared" si="233"/>
        <v>42.45334268257767</v>
      </c>
      <c r="Y509" s="307">
        <f t="shared" si="234"/>
        <v>67608</v>
      </c>
      <c r="Z509" s="307">
        <f t="shared" si="235"/>
        <v>4570841664</v>
      </c>
      <c r="AB509" s="333">
        <f t="shared" si="236"/>
        <v>22.622395729246364</v>
      </c>
      <c r="AC509" s="334">
        <f t="shared" si="237"/>
        <v>-28.119260000427644</v>
      </c>
      <c r="AE509" s="333">
        <f t="shared" si="238"/>
        <v>29.532926044674355</v>
      </c>
      <c r="AF509" s="334">
        <f t="shared" si="239"/>
        <v>-120.48005243064021</v>
      </c>
      <c r="AH509">
        <f t="shared" si="240"/>
        <v>0</v>
      </c>
      <c r="AI509">
        <f t="shared" si="245"/>
        <v>0</v>
      </c>
    </row>
    <row r="510" spans="1:35" x14ac:dyDescent="0.25">
      <c r="A510" s="335">
        <v>68001.75</v>
      </c>
      <c r="B510" s="352">
        <f t="shared" si="241"/>
        <v>68.001750000000001</v>
      </c>
      <c r="C510" s="325">
        <f t="shared" si="216"/>
        <v>82.413141554790897</v>
      </c>
      <c r="D510" s="326">
        <f t="shared" si="217"/>
        <v>1.5586620418774628</v>
      </c>
      <c r="E510" s="326">
        <f t="shared" si="218"/>
        <v>1.0036445107421181</v>
      </c>
      <c r="F510" s="327">
        <f t="shared" si="219"/>
        <v>8.5246423283420331E-2</v>
      </c>
      <c r="G510" s="326">
        <f t="shared" si="220"/>
        <v>1</v>
      </c>
      <c r="H510" s="327">
        <f t="shared" si="221"/>
        <v>0</v>
      </c>
      <c r="I510" s="325">
        <f t="shared" si="222"/>
        <v>90256.400065333946</v>
      </c>
      <c r="J510" s="328">
        <f t="shared" si="223"/>
        <v>1.5707852472481909</v>
      </c>
      <c r="K510" s="336">
        <f t="shared" si="243"/>
        <v>17.512364595267332</v>
      </c>
      <c r="L510" s="337">
        <f t="shared" si="244"/>
        <v>1.5136627373822205</v>
      </c>
      <c r="M510" s="325">
        <f t="shared" si="224"/>
        <v>1.1029688782700904</v>
      </c>
      <c r="N510" s="337">
        <f t="shared" si="225"/>
        <v>0.43553633405517356</v>
      </c>
      <c r="O510" s="343">
        <f t="shared" si="226"/>
        <v>1.0752426762830998</v>
      </c>
      <c r="P510" s="691">
        <f t="shared" si="227"/>
        <v>0.37632196413890801</v>
      </c>
      <c r="Q510" s="336">
        <f t="shared" si="242"/>
        <v>15.372126171371452</v>
      </c>
      <c r="R510" s="692">
        <f t="shared" si="228"/>
        <v>0.18247061482435023</v>
      </c>
      <c r="S510" s="329">
        <f t="shared" si="229"/>
        <v>0.9854815922730239</v>
      </c>
      <c r="T510" s="330">
        <f t="shared" si="230"/>
        <v>0.63312447082634804</v>
      </c>
      <c r="U510" s="331">
        <f t="shared" si="231"/>
        <v>-4.9884645553435174</v>
      </c>
      <c r="V510" s="332">
        <f t="shared" si="232"/>
        <v>-137.81626498421295</v>
      </c>
      <c r="W510" s="334">
        <f t="shared" si="233"/>
        <v>42.18373501578705</v>
      </c>
      <c r="Y510" s="307">
        <f t="shared" si="234"/>
        <v>68001.75</v>
      </c>
      <c r="Z510" s="307">
        <f t="shared" si="235"/>
        <v>4624238003.0625</v>
      </c>
      <c r="AB510" s="333">
        <f t="shared" si="236"/>
        <v>22.613294891248302</v>
      </c>
      <c r="AC510" s="334">
        <f t="shared" si="237"/>
        <v>-28.227272528730257</v>
      </c>
      <c r="AE510" s="333">
        <f t="shared" si="238"/>
        <v>29.482189585132858</v>
      </c>
      <c r="AF510" s="334">
        <f t="shared" si="239"/>
        <v>-120.69585663681453</v>
      </c>
      <c r="AH510">
        <f t="shared" si="240"/>
        <v>0</v>
      </c>
      <c r="AI510">
        <f t="shared" si="245"/>
        <v>0</v>
      </c>
    </row>
    <row r="511" spans="1:35" x14ac:dyDescent="0.25">
      <c r="A511" s="335">
        <v>68395.5</v>
      </c>
      <c r="B511" s="352">
        <f t="shared" si="241"/>
        <v>68.395499999999998</v>
      </c>
      <c r="C511" s="325">
        <f t="shared" si="216"/>
        <v>82.890267665228095</v>
      </c>
      <c r="D511" s="326">
        <f t="shared" si="217"/>
        <v>1.5587318916445199</v>
      </c>
      <c r="E511" s="326">
        <f t="shared" si="218"/>
        <v>1.0036867607561744</v>
      </c>
      <c r="F511" s="327">
        <f t="shared" si="219"/>
        <v>8.5737616475157971E-2</v>
      </c>
      <c r="G511" s="326">
        <f t="shared" si="220"/>
        <v>1</v>
      </c>
      <c r="H511" s="327">
        <f t="shared" si="221"/>
        <v>0</v>
      </c>
      <c r="I511" s="325">
        <f t="shared" si="222"/>
        <v>90779.010991102419</v>
      </c>
      <c r="J511" s="328">
        <f t="shared" si="223"/>
        <v>1.5707853110326724</v>
      </c>
      <c r="K511" s="336">
        <f t="shared" si="243"/>
        <v>17.613436611145186</v>
      </c>
      <c r="L511" s="337">
        <f t="shared" si="244"/>
        <v>1.5139909438811241</v>
      </c>
      <c r="M511" s="325">
        <f t="shared" si="224"/>
        <v>1.104108359820932</v>
      </c>
      <c r="N511" s="337">
        <f t="shared" si="225"/>
        <v>0.43774889523825783</v>
      </c>
      <c r="O511" s="343">
        <f t="shared" si="226"/>
        <v>1.0760856468904785</v>
      </c>
      <c r="P511" s="691">
        <f t="shared" si="227"/>
        <v>0.37829945274966353</v>
      </c>
      <c r="Q511" s="336">
        <f t="shared" si="242"/>
        <v>15.374981077381133</v>
      </c>
      <c r="R511" s="692">
        <f t="shared" si="228"/>
        <v>0.18350469476337061</v>
      </c>
      <c r="S511" s="329">
        <f t="shared" si="229"/>
        <v>0.98556351793217645</v>
      </c>
      <c r="T511" s="330">
        <f t="shared" si="230"/>
        <v>0.63731913956893094</v>
      </c>
      <c r="U511" s="331">
        <f t="shared" si="231"/>
        <v>-5.0428998741634015</v>
      </c>
      <c r="V511" s="332">
        <f t="shared" si="232"/>
        <v>-138.08637648981164</v>
      </c>
      <c r="W511" s="334">
        <f t="shared" si="233"/>
        <v>41.913623510188359</v>
      </c>
      <c r="Y511" s="307">
        <f t="shared" si="234"/>
        <v>68395.5</v>
      </c>
      <c r="Z511" s="307">
        <f t="shared" si="235"/>
        <v>4677944420.25</v>
      </c>
      <c r="AB511" s="333">
        <f t="shared" si="236"/>
        <v>22.604163513480209</v>
      </c>
      <c r="AC511" s="334">
        <f t="shared" si="237"/>
        <v>-28.335241753944477</v>
      </c>
      <c r="AE511" s="333">
        <f t="shared" si="238"/>
        <v>29.431691723916437</v>
      </c>
      <c r="AF511" s="334">
        <f t="shared" si="239"/>
        <v>-120.91205225250722</v>
      </c>
      <c r="AH511">
        <f t="shared" si="240"/>
        <v>0</v>
      </c>
      <c r="AI511">
        <f t="shared" si="245"/>
        <v>0</v>
      </c>
    </row>
    <row r="512" spans="1:35" x14ac:dyDescent="0.25">
      <c r="A512" s="335">
        <v>68789.25</v>
      </c>
      <c r="B512" s="352">
        <f t="shared" si="241"/>
        <v>68.789249999999996</v>
      </c>
      <c r="C512" s="325">
        <f t="shared" si="216"/>
        <v>83.367394175456923</v>
      </c>
      <c r="D512" s="326">
        <f t="shared" si="217"/>
        <v>1.5588009418864863</v>
      </c>
      <c r="E512" s="326">
        <f t="shared" si="218"/>
        <v>1.0037292529100694</v>
      </c>
      <c r="F512" s="327">
        <f t="shared" si="219"/>
        <v>8.6228768196768904E-2</v>
      </c>
      <c r="G512" s="326">
        <f t="shared" si="220"/>
        <v>1</v>
      </c>
      <c r="H512" s="327">
        <f t="shared" si="221"/>
        <v>0</v>
      </c>
      <c r="I512" s="325">
        <f t="shared" si="222"/>
        <v>91301.621916871227</v>
      </c>
      <c r="J512" s="328">
        <f t="shared" si="223"/>
        <v>1.5707853740869488</v>
      </c>
      <c r="K512" s="336">
        <f t="shared" si="243"/>
        <v>17.714510502682998</v>
      </c>
      <c r="L512" s="337">
        <f t="shared" si="244"/>
        <v>1.5143154051112622</v>
      </c>
      <c r="M512" s="325">
        <f t="shared" si="224"/>
        <v>1.1052532352932789</v>
      </c>
      <c r="N512" s="337">
        <f t="shared" si="225"/>
        <v>0.43995688345314032</v>
      </c>
      <c r="O512" s="343">
        <f t="shared" si="226"/>
        <v>1.0769328188918217</v>
      </c>
      <c r="P512" s="691">
        <f t="shared" si="227"/>
        <v>0.38027383787796692</v>
      </c>
      <c r="Q512" s="336">
        <f t="shared" si="242"/>
        <v>15.377851932276817</v>
      </c>
      <c r="R512" s="692">
        <f t="shared" si="228"/>
        <v>0.18453839553894255</v>
      </c>
      <c r="S512" s="329">
        <f t="shared" si="229"/>
        <v>0.98565174038048697</v>
      </c>
      <c r="T512" s="330">
        <f t="shared" si="230"/>
        <v>0.64152140408702485</v>
      </c>
      <c r="U512" s="331">
        <f t="shared" si="231"/>
        <v>-5.0971113042138603</v>
      </c>
      <c r="V512" s="332">
        <f t="shared" si="232"/>
        <v>-138.35698839439863</v>
      </c>
      <c r="W512" s="334">
        <f t="shared" si="233"/>
        <v>41.643011605601373</v>
      </c>
      <c r="Y512" s="307">
        <f t="shared" si="234"/>
        <v>68789.25</v>
      </c>
      <c r="Z512" s="307">
        <f t="shared" si="235"/>
        <v>4731960915.5625</v>
      </c>
      <c r="AB512" s="333">
        <f t="shared" si="236"/>
        <v>22.595001775526104</v>
      </c>
      <c r="AC512" s="334">
        <f t="shared" si="237"/>
        <v>-28.443163513636584</v>
      </c>
      <c r="AE512" s="333">
        <f t="shared" si="238"/>
        <v>29.381428264860858</v>
      </c>
      <c r="AF512" s="334">
        <f t="shared" si="239"/>
        <v>-121.1286396407292</v>
      </c>
      <c r="AH512">
        <f t="shared" si="240"/>
        <v>0</v>
      </c>
      <c r="AI512">
        <f t="shared" si="245"/>
        <v>0</v>
      </c>
    </row>
    <row r="513" spans="1:35" x14ac:dyDescent="0.25">
      <c r="A513" s="335">
        <v>69183</v>
      </c>
      <c r="B513" s="352">
        <f t="shared" si="241"/>
        <v>69.183000000000007</v>
      </c>
      <c r="C513" s="325">
        <f t="shared" si="216"/>
        <v>83.844521078652207</v>
      </c>
      <c r="D513" s="326">
        <f t="shared" si="217"/>
        <v>1.558869206252067</v>
      </c>
      <c r="E513" s="326">
        <f t="shared" si="218"/>
        <v>1.0037719871730517</v>
      </c>
      <c r="F513" s="327">
        <f t="shared" si="219"/>
        <v>8.6719878216573773E-2</v>
      </c>
      <c r="G513" s="326">
        <f t="shared" si="220"/>
        <v>1</v>
      </c>
      <c r="H513" s="327">
        <f t="shared" si="221"/>
        <v>0</v>
      </c>
      <c r="I513" s="325">
        <f t="shared" si="222"/>
        <v>91824.232842640413</v>
      </c>
      <c r="J513" s="328">
        <f t="shared" si="223"/>
        <v>1.5707854364234874</v>
      </c>
      <c r="K513" s="336">
        <f t="shared" si="243"/>
        <v>17.815586237956996</v>
      </c>
      <c r="L513" s="337">
        <f t="shared" si="244"/>
        <v>1.5146361847494518</v>
      </c>
      <c r="M513" s="325">
        <f t="shared" si="224"/>
        <v>1.1064034879426932</v>
      </c>
      <c r="N513" s="337">
        <f t="shared" si="225"/>
        <v>0.44216029140041757</v>
      </c>
      <c r="O513" s="343">
        <f t="shared" si="226"/>
        <v>1.0777841823798489</v>
      </c>
      <c r="P513" s="691">
        <f t="shared" si="227"/>
        <v>0.38224511146723278</v>
      </c>
      <c r="Q513" s="336">
        <f t="shared" si="242"/>
        <v>15.380738727136103</v>
      </c>
      <c r="R513" s="692">
        <f t="shared" si="228"/>
        <v>0.18557171525286342</v>
      </c>
      <c r="S513" s="329">
        <f t="shared" si="229"/>
        <v>0.98574635861782478</v>
      </c>
      <c r="T513" s="330">
        <f t="shared" si="230"/>
        <v>0.64573125537527354</v>
      </c>
      <c r="U513" s="331">
        <f t="shared" si="231"/>
        <v>-5.1511029472182326</v>
      </c>
      <c r="V513" s="332">
        <f t="shared" si="232"/>
        <v>-138.62809726421821</v>
      </c>
      <c r="W513" s="334">
        <f t="shared" si="233"/>
        <v>41.371902735781788</v>
      </c>
      <c r="Y513" s="307">
        <f t="shared" si="234"/>
        <v>69183</v>
      </c>
      <c r="Z513" s="307">
        <f t="shared" si="235"/>
        <v>4786287489</v>
      </c>
      <c r="AB513" s="333">
        <f t="shared" si="236"/>
        <v>22.585809858469542</v>
      </c>
      <c r="AC513" s="334">
        <f t="shared" si="237"/>
        <v>-28.551033741882971</v>
      </c>
      <c r="AE513" s="333">
        <f t="shared" si="238"/>
        <v>29.331395066595878</v>
      </c>
      <c r="AF513" s="334">
        <f t="shared" si="239"/>
        <v>-121.34561908079903</v>
      </c>
      <c r="AH513">
        <f t="shared" si="240"/>
        <v>0</v>
      </c>
      <c r="AI513">
        <f t="shared" si="245"/>
        <v>0</v>
      </c>
    </row>
    <row r="514" spans="1:35" x14ac:dyDescent="0.25">
      <c r="A514" s="335">
        <v>69586</v>
      </c>
      <c r="B514" s="352">
        <f t="shared" si="241"/>
        <v>69.585999999999999</v>
      </c>
      <c r="C514" s="325">
        <f t="shared" si="216"/>
        <v>84.332857077312653</v>
      </c>
      <c r="D514" s="326">
        <f t="shared" si="217"/>
        <v>1.5589382744223159</v>
      </c>
      <c r="E514" s="326">
        <f t="shared" si="218"/>
        <v>1.0038159760271401</v>
      </c>
      <c r="F514" s="327">
        <f t="shared" si="219"/>
        <v>8.7222481999679982E-2</v>
      </c>
      <c r="G514" s="326">
        <f t="shared" si="220"/>
        <v>1</v>
      </c>
      <c r="H514" s="327">
        <f t="shared" si="221"/>
        <v>0</v>
      </c>
      <c r="I514" s="325">
        <f t="shared" si="222"/>
        <v>92359.120977459781</v>
      </c>
      <c r="J514" s="328">
        <f t="shared" si="223"/>
        <v>1.5707854994939281</v>
      </c>
      <c r="K514" s="336">
        <f t="shared" si="243"/>
        <v>17.919038327475388</v>
      </c>
      <c r="L514" s="337">
        <f t="shared" si="244"/>
        <v>1.5149607527727094</v>
      </c>
      <c r="M514" s="325">
        <f t="shared" si="224"/>
        <v>1.1075863130584549</v>
      </c>
      <c r="N514" s="337">
        <f t="shared" si="225"/>
        <v>0.44441071161638201</v>
      </c>
      <c r="O514" s="343">
        <f t="shared" si="226"/>
        <v>1.0786598761382744</v>
      </c>
      <c r="P514" s="691">
        <f t="shared" si="227"/>
        <v>0.3842594640186171</v>
      </c>
      <c r="Q514" s="336">
        <f t="shared" si="242"/>
        <v>15.383709835462941</v>
      </c>
      <c r="R514" s="692">
        <f t="shared" si="228"/>
        <v>0.18662891320822286</v>
      </c>
      <c r="S514" s="329">
        <f t="shared" si="229"/>
        <v>0.98584992631805546</v>
      </c>
      <c r="T514" s="330">
        <f t="shared" si="230"/>
        <v>0.65004785035635193</v>
      </c>
      <c r="U514" s="331">
        <f t="shared" si="231"/>
        <v>-5.2061395956509955</v>
      </c>
      <c r="V514" s="332">
        <f t="shared" si="232"/>
        <v>-138.90608607551803</v>
      </c>
      <c r="W514" s="334">
        <f t="shared" si="233"/>
        <v>41.093913924481967</v>
      </c>
      <c r="Y514" s="307">
        <f t="shared" si="234"/>
        <v>69586</v>
      </c>
      <c r="Z514" s="307">
        <f t="shared" si="235"/>
        <v>4842211396</v>
      </c>
      <c r="AB514" s="333">
        <f t="shared" si="236"/>
        <v>22.576370943906348</v>
      </c>
      <c r="AC514" s="334">
        <f t="shared" si="237"/>
        <v>-28.661380558287252</v>
      </c>
      <c r="AE514" s="333">
        <f t="shared" si="238"/>
        <v>29.280420657785463</v>
      </c>
      <c r="AF514" s="334">
        <f t="shared" si="239"/>
        <v>-121.56810199445106</v>
      </c>
      <c r="AH514">
        <f t="shared" si="240"/>
        <v>0</v>
      </c>
      <c r="AI514">
        <f t="shared" si="245"/>
        <v>0</v>
      </c>
    </row>
    <row r="515" spans="1:35" x14ac:dyDescent="0.25">
      <c r="A515" s="335">
        <v>69989</v>
      </c>
      <c r="B515" s="352">
        <f t="shared" si="241"/>
        <v>69.989000000000004</v>
      </c>
      <c r="C515" s="325">
        <f t="shared" si="216"/>
        <v>84.821193473643291</v>
      </c>
      <c r="D515" s="326">
        <f t="shared" si="217"/>
        <v>1.5590065473081247</v>
      </c>
      <c r="E515" s="326">
        <f t="shared" si="218"/>
        <v>1.0038602184334866</v>
      </c>
      <c r="F515" s="327">
        <f t="shared" si="219"/>
        <v>8.7725041607941714E-2</v>
      </c>
      <c r="G515" s="326">
        <f t="shared" si="220"/>
        <v>1</v>
      </c>
      <c r="H515" s="327">
        <f t="shared" si="221"/>
        <v>0</v>
      </c>
      <c r="I515" s="325">
        <f t="shared" si="222"/>
        <v>92894.009112279498</v>
      </c>
      <c r="J515" s="328">
        <f t="shared" si="223"/>
        <v>1.5707855618380433</v>
      </c>
      <c r="K515" s="336">
        <f t="shared" si="243"/>
        <v>18.022492282992953</v>
      </c>
      <c r="L515" s="337">
        <f t="shared" si="244"/>
        <v>1.5152815946138549</v>
      </c>
      <c r="M515" s="325">
        <f t="shared" si="224"/>
        <v>1.1087747354402488</v>
      </c>
      <c r="N515" s="337">
        <f t="shared" si="225"/>
        <v>0.44665631903122954</v>
      </c>
      <c r="O515" s="343">
        <f t="shared" si="226"/>
        <v>1.0795399395734737</v>
      </c>
      <c r="P515" s="691">
        <f t="shared" si="227"/>
        <v>0.38627054043483977</v>
      </c>
      <c r="Q515" s="336">
        <f t="shared" si="242"/>
        <v>15.386697622425647</v>
      </c>
      <c r="R515" s="692">
        <f t="shared" si="228"/>
        <v>0.18768570797890932</v>
      </c>
      <c r="S515" s="329">
        <f t="shared" si="229"/>
        <v>0.98596040501543136</v>
      </c>
      <c r="T515" s="330">
        <f t="shared" si="230"/>
        <v>0.65437236995610049</v>
      </c>
      <c r="U515" s="331">
        <f t="shared" si="231"/>
        <v>-5.2609545283579759</v>
      </c>
      <c r="V515" s="332">
        <f t="shared" si="232"/>
        <v>-139.18458820625222</v>
      </c>
      <c r="W515" s="334">
        <f t="shared" si="233"/>
        <v>40.815411793747785</v>
      </c>
      <c r="Y515" s="307">
        <f t="shared" si="234"/>
        <v>69989</v>
      </c>
      <c r="Z515" s="307">
        <f t="shared" si="235"/>
        <v>4898460121</v>
      </c>
      <c r="AB515" s="333">
        <f t="shared" si="236"/>
        <v>22.566900803971336</v>
      </c>
      <c r="AC515" s="334">
        <f t="shared" si="237"/>
        <v>-28.771665074393152</v>
      </c>
      <c r="AE515" s="333">
        <f t="shared" si="238"/>
        <v>29.229678847818082</v>
      </c>
      <c r="AF515" s="334">
        <f t="shared" si="239"/>
        <v>-121.79099591989781</v>
      </c>
      <c r="AH515">
        <f t="shared" si="240"/>
        <v>0</v>
      </c>
      <c r="AI515">
        <f t="shared" si="245"/>
        <v>0</v>
      </c>
    </row>
    <row r="516" spans="1:35" x14ac:dyDescent="0.25">
      <c r="A516" s="335">
        <v>70392</v>
      </c>
      <c r="B516" s="352">
        <f t="shared" si="241"/>
        <v>70.391999999999996</v>
      </c>
      <c r="C516" s="325">
        <f t="shared" si="216"/>
        <v>85.309530260814967</v>
      </c>
      <c r="D516" s="326">
        <f t="shared" si="217"/>
        <v>1.5590740385661759</v>
      </c>
      <c r="E516" s="326">
        <f t="shared" si="218"/>
        <v>1.0039047143585689</v>
      </c>
      <c r="F516" s="327">
        <f t="shared" si="219"/>
        <v>8.8227556793357156E-2</v>
      </c>
      <c r="G516" s="326">
        <f t="shared" si="220"/>
        <v>1</v>
      </c>
      <c r="H516" s="327">
        <f t="shared" si="221"/>
        <v>0</v>
      </c>
      <c r="I516" s="325">
        <f t="shared" si="222"/>
        <v>93428.897247099594</v>
      </c>
      <c r="J516" s="328">
        <f t="shared" si="223"/>
        <v>1.5707856234683084</v>
      </c>
      <c r="K516" s="336">
        <f t="shared" si="243"/>
        <v>18.125948072559094</v>
      </c>
      <c r="L516" s="337">
        <f t="shared" si="244"/>
        <v>1.5155987740090124</v>
      </c>
      <c r="M516" s="325">
        <f t="shared" si="224"/>
        <v>1.1099687371094169</v>
      </c>
      <c r="N516" s="337">
        <f t="shared" si="225"/>
        <v>0.4488971064922358</v>
      </c>
      <c r="O516" s="343">
        <f t="shared" si="226"/>
        <v>1.080424362007441</v>
      </c>
      <c r="P516" s="691">
        <f t="shared" si="227"/>
        <v>0.38827833247427934</v>
      </c>
      <c r="Q516" s="336">
        <f t="shared" si="242"/>
        <v>15.389702078319202</v>
      </c>
      <c r="R516" s="692">
        <f t="shared" si="228"/>
        <v>0.18874209754473201</v>
      </c>
      <c r="S516" s="329">
        <f t="shared" si="229"/>
        <v>0.98607790218590763</v>
      </c>
      <c r="T516" s="330">
        <f t="shared" si="230"/>
        <v>0.65870480073828097</v>
      </c>
      <c r="U516" s="331">
        <f t="shared" si="231"/>
        <v>-5.315551967876246</v>
      </c>
      <c r="V516" s="332">
        <f t="shared" si="232"/>
        <v>-139.46359997880535</v>
      </c>
      <c r="W516" s="334">
        <f t="shared" si="233"/>
        <v>40.536400021194652</v>
      </c>
      <c r="Y516" s="307">
        <f t="shared" si="234"/>
        <v>70392</v>
      </c>
      <c r="Z516" s="307">
        <f t="shared" si="235"/>
        <v>4955033664</v>
      </c>
      <c r="AB516" s="333">
        <f t="shared" si="236"/>
        <v>22.557399637201865</v>
      </c>
      <c r="AC516" s="334">
        <f t="shared" si="237"/>
        <v>-28.881883229283613</v>
      </c>
      <c r="AE516" s="333">
        <f t="shared" si="238"/>
        <v>29.179165367258719</v>
      </c>
      <c r="AF516" s="334">
        <f t="shared" si="239"/>
        <v>-122.01430088397933</v>
      </c>
      <c r="AH516">
        <f t="shared" si="240"/>
        <v>0</v>
      </c>
      <c r="AI516">
        <f t="shared" si="245"/>
        <v>0</v>
      </c>
    </row>
    <row r="517" spans="1:35" x14ac:dyDescent="0.25">
      <c r="A517" s="335">
        <v>70795</v>
      </c>
      <c r="B517" s="352">
        <f t="shared" si="241"/>
        <v>70.795000000000002</v>
      </c>
      <c r="C517" s="325">
        <f t="shared" si="216"/>
        <v>85.797867432154021</v>
      </c>
      <c r="D517" s="326">
        <f t="shared" si="217"/>
        <v>1.5591407615422612</v>
      </c>
      <c r="E517" s="326">
        <f t="shared" si="218"/>
        <v>1.0039494637686783</v>
      </c>
      <c r="F517" s="327">
        <f t="shared" si="219"/>
        <v>8.8730027308058027E-2</v>
      </c>
      <c r="G517" s="326">
        <f t="shared" si="220"/>
        <v>1</v>
      </c>
      <c r="H517" s="327">
        <f t="shared" si="221"/>
        <v>0</v>
      </c>
      <c r="I517" s="325">
        <f t="shared" si="222"/>
        <v>93963.785381920025</v>
      </c>
      <c r="J517" s="328">
        <f t="shared" si="223"/>
        <v>1.5707856843969137</v>
      </c>
      <c r="K517" s="336">
        <f t="shared" si="243"/>
        <v>18.229405664947944</v>
      </c>
      <c r="L517" s="337">
        <f t="shared" si="244"/>
        <v>1.5159123532504013</v>
      </c>
      <c r="M517" s="325">
        <f t="shared" si="224"/>
        <v>1.1111683000803536</v>
      </c>
      <c r="N517" s="337">
        <f t="shared" si="225"/>
        <v>0.45113306707095951</v>
      </c>
      <c r="O517" s="343">
        <f t="shared" si="226"/>
        <v>1.0813131327443022</v>
      </c>
      <c r="P517" s="691">
        <f t="shared" si="227"/>
        <v>0.39028283202813152</v>
      </c>
      <c r="Q517" s="336">
        <f t="shared" si="242"/>
        <v>15.392723193392035</v>
      </c>
      <c r="R517" s="692">
        <f t="shared" si="228"/>
        <v>0.18979807989058223</v>
      </c>
      <c r="S517" s="329">
        <f t="shared" si="229"/>
        <v>0.98620252573986633</v>
      </c>
      <c r="T517" s="330">
        <f t="shared" si="230"/>
        <v>0.66304512797096615</v>
      </c>
      <c r="U517" s="331">
        <f t="shared" si="231"/>
        <v>-5.369936080266501</v>
      </c>
      <c r="V517" s="332">
        <f t="shared" si="232"/>
        <v>-139.74311771174928</v>
      </c>
      <c r="W517" s="334">
        <f t="shared" si="233"/>
        <v>40.256882288250722</v>
      </c>
      <c r="Y517" s="307">
        <f t="shared" si="234"/>
        <v>70795</v>
      </c>
      <c r="Z517" s="307">
        <f t="shared" si="235"/>
        <v>5011932025</v>
      </c>
      <c r="AB517" s="333">
        <f t="shared" si="236"/>
        <v>22.547867643458805</v>
      </c>
      <c r="AC517" s="334">
        <f t="shared" si="237"/>
        <v>-28.992031057605423</v>
      </c>
      <c r="AE517" s="333">
        <f t="shared" si="238"/>
        <v>29.128876001806489</v>
      </c>
      <c r="AF517" s="334">
        <f t="shared" si="239"/>
        <v>-122.2380168214776</v>
      </c>
      <c r="AH517">
        <f t="shared" si="240"/>
        <v>0</v>
      </c>
      <c r="AI517">
        <f t="shared" si="245"/>
        <v>0</v>
      </c>
    </row>
    <row r="518" spans="1:35" x14ac:dyDescent="0.25">
      <c r="A518" s="335">
        <v>71207.25</v>
      </c>
      <c r="B518" s="352">
        <f t="shared" si="241"/>
        <v>71.207250000000002</v>
      </c>
      <c r="C518" s="325">
        <f t="shared" si="216"/>
        <v>86.297413725788843</v>
      </c>
      <c r="D518" s="326">
        <f t="shared" si="217"/>
        <v>1.5592082346630194</v>
      </c>
      <c r="E518" s="326">
        <f t="shared" si="218"/>
        <v>1.0039955025492133</v>
      </c>
      <c r="F518" s="327">
        <f t="shared" si="219"/>
        <v>8.9243984476169116E-2</v>
      </c>
      <c r="G518" s="326">
        <f t="shared" si="220"/>
        <v>1</v>
      </c>
      <c r="H518" s="327">
        <f t="shared" si="221"/>
        <v>0</v>
      </c>
      <c r="I518" s="325">
        <f t="shared" si="222"/>
        <v>94510.950725790666</v>
      </c>
      <c r="J518" s="328">
        <f t="shared" si="223"/>
        <v>1.5707857460104231</v>
      </c>
      <c r="K518" s="336">
        <f t="shared" si="243"/>
        <v>18.335239737858096</v>
      </c>
      <c r="L518" s="337">
        <f t="shared" si="244"/>
        <v>1.5162294684525459</v>
      </c>
      <c r="M518" s="325">
        <f t="shared" si="224"/>
        <v>1.1124011319246165</v>
      </c>
      <c r="N518" s="337">
        <f t="shared" si="225"/>
        <v>0.45341534799568894</v>
      </c>
      <c r="O518" s="343">
        <f t="shared" si="226"/>
        <v>1.0822267912931973</v>
      </c>
      <c r="P518" s="691">
        <f t="shared" si="227"/>
        <v>0.39232992554051244</v>
      </c>
      <c r="Q518" s="336">
        <f t="shared" si="242"/>
        <v>15.395830878592259</v>
      </c>
      <c r="R518" s="692">
        <f t="shared" si="228"/>
        <v>0.19087787660146571</v>
      </c>
      <c r="S518" s="329">
        <f t="shared" si="229"/>
        <v>0.98633749633241607</v>
      </c>
      <c r="T518" s="330">
        <f t="shared" si="230"/>
        <v>0.66749323176988751</v>
      </c>
      <c r="U518" s="331">
        <f t="shared" si="231"/>
        <v>-5.425352020846975</v>
      </c>
      <c r="V518" s="332">
        <f t="shared" si="232"/>
        <v>-140.02957084293735</v>
      </c>
      <c r="W518" s="334">
        <f t="shared" si="233"/>
        <v>39.970429157062654</v>
      </c>
      <c r="Y518" s="307">
        <f t="shared" si="234"/>
        <v>71207.25</v>
      </c>
      <c r="Z518" s="307">
        <f t="shared" si="235"/>
        <v>5070472452.5625</v>
      </c>
      <c r="AB518" s="333">
        <f t="shared" si="236"/>
        <v>22.538085176500488</v>
      </c>
      <c r="AC518" s="334">
        <f t="shared" si="237"/>
        <v>-29.10463028987602</v>
      </c>
      <c r="AE518" s="333">
        <f t="shared" si="238"/>
        <v>29.077659904900113</v>
      </c>
      <c r="AF518" s="334">
        <f t="shared" si="239"/>
        <v>-122.46729274472065</v>
      </c>
      <c r="AH518">
        <f t="shared" si="240"/>
        <v>0</v>
      </c>
      <c r="AI518">
        <f t="shared" si="245"/>
        <v>0</v>
      </c>
    </row>
    <row r="519" spans="1:35" x14ac:dyDescent="0.25">
      <c r="A519" s="335">
        <v>71619.5</v>
      </c>
      <c r="B519" s="352">
        <f t="shared" si="241"/>
        <v>71.619500000000002</v>
      </c>
      <c r="C519" s="325">
        <f t="shared" si="216"/>
        <v>86.796960407780844</v>
      </c>
      <c r="D519" s="326">
        <f t="shared" si="217"/>
        <v>1.5592749311215444</v>
      </c>
      <c r="E519" s="326">
        <f t="shared" si="218"/>
        <v>1.0040418065127767</v>
      </c>
      <c r="F519" s="327">
        <f t="shared" si="219"/>
        <v>8.9757894375113612E-2</v>
      </c>
      <c r="G519" s="326">
        <f t="shared" si="220"/>
        <v>1</v>
      </c>
      <c r="H519" s="327">
        <f t="shared" si="221"/>
        <v>0</v>
      </c>
      <c r="I519" s="325">
        <f t="shared" si="222"/>
        <v>95058.116069661643</v>
      </c>
      <c r="J519" s="328">
        <f t="shared" si="223"/>
        <v>1.5707858069146237</v>
      </c>
      <c r="K519" s="336">
        <f t="shared" si="243"/>
        <v>18.441075633433833</v>
      </c>
      <c r="L519" s="337">
        <f t="shared" si="244"/>
        <v>1.5165429437494924</v>
      </c>
      <c r="M519" s="325">
        <f t="shared" si="224"/>
        <v>1.1136397452043507</v>
      </c>
      <c r="N519" s="337">
        <f t="shared" si="225"/>
        <v>0.45569256395946645</v>
      </c>
      <c r="O519" s="343">
        <f t="shared" si="226"/>
        <v>1.0831449773507378</v>
      </c>
      <c r="P519" s="691">
        <f t="shared" si="227"/>
        <v>0.39437355694716159</v>
      </c>
      <c r="Q519" s="336">
        <f t="shared" si="242"/>
        <v>15.39895597570839</v>
      </c>
      <c r="R519" s="692">
        <f t="shared" si="228"/>
        <v>0.19195724293473126</v>
      </c>
      <c r="S519" s="329">
        <f t="shared" si="229"/>
        <v>0.98648015399544187</v>
      </c>
      <c r="T519" s="330">
        <f t="shared" si="230"/>
        <v>0.67194956329140121</v>
      </c>
      <c r="U519" s="331">
        <f t="shared" si="231"/>
        <v>-5.4805533723366517</v>
      </c>
      <c r="V519" s="332">
        <f t="shared" si="232"/>
        <v>-140.31654561166607</v>
      </c>
      <c r="W519" s="334">
        <f t="shared" si="233"/>
        <v>39.683454388333928</v>
      </c>
      <c r="Y519" s="307">
        <f t="shared" si="234"/>
        <v>71619.5</v>
      </c>
      <c r="Z519" s="307">
        <f t="shared" si="235"/>
        <v>5129352780.25</v>
      </c>
      <c r="AB519" s="333">
        <f t="shared" si="236"/>
        <v>22.5282708781981</v>
      </c>
      <c r="AC519" s="334">
        <f t="shared" si="237"/>
        <v>-29.217147831825866</v>
      </c>
      <c r="AE519" s="333">
        <f t="shared" si="238"/>
        <v>29.026669579837137</v>
      </c>
      <c r="AF519" s="334">
        <f t="shared" si="239"/>
        <v>-122.69699829059941</v>
      </c>
      <c r="AH519">
        <f t="shared" si="240"/>
        <v>0</v>
      </c>
      <c r="AI519">
        <f t="shared" si="245"/>
        <v>0</v>
      </c>
    </row>
    <row r="520" spans="1:35" x14ac:dyDescent="0.25">
      <c r="A520" s="335">
        <v>72031.75</v>
      </c>
      <c r="B520" s="352">
        <f t="shared" si="241"/>
        <v>72.031750000000002</v>
      </c>
      <c r="C520" s="325">
        <f t="shared" si="216"/>
        <v>87.29650747146303</v>
      </c>
      <c r="D520" s="326">
        <f t="shared" si="217"/>
        <v>1.5593408642503943</v>
      </c>
      <c r="E520" s="326">
        <f t="shared" si="218"/>
        <v>1.0040883756226813</v>
      </c>
      <c r="F520" s="327">
        <f t="shared" si="219"/>
        <v>9.0271756739999195E-2</v>
      </c>
      <c r="G520" s="326">
        <f t="shared" si="220"/>
        <v>1</v>
      </c>
      <c r="H520" s="327">
        <f t="shared" si="221"/>
        <v>0</v>
      </c>
      <c r="I520" s="325">
        <f t="shared" si="222"/>
        <v>95605.281413532997</v>
      </c>
      <c r="J520" s="328">
        <f t="shared" si="223"/>
        <v>1.5707858671216941</v>
      </c>
      <c r="K520" s="336">
        <f t="shared" si="243"/>
        <v>18.546913320472655</v>
      </c>
      <c r="L520" s="337">
        <f t="shared" si="244"/>
        <v>1.5168528413922948</v>
      </c>
      <c r="M520" s="325">
        <f t="shared" si="224"/>
        <v>1.1148841206503892</v>
      </c>
      <c r="N520" s="337">
        <f t="shared" si="225"/>
        <v>0.45796470826494273</v>
      </c>
      <c r="O520" s="343">
        <f t="shared" si="226"/>
        <v>1.0840676794127657</v>
      </c>
      <c r="P520" s="691">
        <f t="shared" si="227"/>
        <v>0.39641371799668013</v>
      </c>
      <c r="Q520" s="336">
        <f t="shared" si="242"/>
        <v>15.40209847415165</v>
      </c>
      <c r="R520" s="692">
        <f t="shared" si="228"/>
        <v>0.19303617674993592</v>
      </c>
      <c r="S520" s="329">
        <f t="shared" si="229"/>
        <v>0.98663061559969023</v>
      </c>
      <c r="T520" s="330">
        <f t="shared" si="230"/>
        <v>0.6764141024913467</v>
      </c>
      <c r="U520" s="331">
        <f t="shared" si="231"/>
        <v>-5.5355444187007565</v>
      </c>
      <c r="V520" s="332">
        <f t="shared" si="232"/>
        <v>-140.60403804894344</v>
      </c>
      <c r="W520" s="334">
        <f t="shared" si="233"/>
        <v>39.395961951056563</v>
      </c>
      <c r="Y520" s="307">
        <f t="shared" si="234"/>
        <v>72031.75</v>
      </c>
      <c r="Z520" s="307">
        <f t="shared" si="235"/>
        <v>5188573008.0625</v>
      </c>
      <c r="AB520" s="333">
        <f t="shared" si="236"/>
        <v>22.518424966313944</v>
      </c>
      <c r="AC520" s="334">
        <f t="shared" si="237"/>
        <v>-29.329579733700204</v>
      </c>
      <c r="AE520" s="333">
        <f t="shared" si="238"/>
        <v>28.97590068707245</v>
      </c>
      <c r="AF520" s="334">
        <f t="shared" si="239"/>
        <v>-122.92713308974461</v>
      </c>
      <c r="AH520">
        <f t="shared" si="240"/>
        <v>0</v>
      </c>
      <c r="AI520">
        <f t="shared" si="245"/>
        <v>0</v>
      </c>
    </row>
    <row r="521" spans="1:35" x14ac:dyDescent="0.25">
      <c r="A521" s="335">
        <v>72444</v>
      </c>
      <c r="B521" s="352">
        <f t="shared" si="241"/>
        <v>72.444000000000003</v>
      </c>
      <c r="C521" s="325">
        <f t="shared" si="216"/>
        <v>87.79605491032008</v>
      </c>
      <c r="D521" s="326">
        <f t="shared" si="217"/>
        <v>1.559406047078713</v>
      </c>
      <c r="E521" s="326">
        <f t="shared" si="218"/>
        <v>1.0041352098420366</v>
      </c>
      <c r="F521" s="327">
        <f t="shared" si="219"/>
        <v>9.0785571306082946E-2</v>
      </c>
      <c r="G521" s="326">
        <f t="shared" si="220"/>
        <v>1</v>
      </c>
      <c r="H521" s="327">
        <f t="shared" si="221"/>
        <v>0</v>
      </c>
      <c r="I521" s="325">
        <f t="shared" si="222"/>
        <v>96152.446757404672</v>
      </c>
      <c r="J521" s="328">
        <f t="shared" si="223"/>
        <v>1.5707859266435356</v>
      </c>
      <c r="K521" s="336">
        <f t="shared" si="243"/>
        <v>18.652752768479701</v>
      </c>
      <c r="L521" s="337">
        <f t="shared" si="244"/>
        <v>1.5171592222218921</v>
      </c>
      <c r="M521" s="325">
        <f t="shared" si="224"/>
        <v>1.1161342389900553</v>
      </c>
      <c r="N521" s="337">
        <f t="shared" si="225"/>
        <v>0.46023177445403002</v>
      </c>
      <c r="O521" s="343">
        <f t="shared" si="226"/>
        <v>1.0849948859577707</v>
      </c>
      <c r="P521" s="691">
        <f t="shared" si="227"/>
        <v>0.39845040058122433</v>
      </c>
      <c r="Q521" s="336">
        <f t="shared" si="242"/>
        <v>15.405258363282979</v>
      </c>
      <c r="R521" s="692">
        <f t="shared" si="228"/>
        <v>0.1941146759122854</v>
      </c>
      <c r="S521" s="329">
        <f t="shared" si="229"/>
        <v>0.98678899845511181</v>
      </c>
      <c r="T521" s="330">
        <f t="shared" si="230"/>
        <v>0.68088682786311083</v>
      </c>
      <c r="U521" s="331">
        <f t="shared" si="231"/>
        <v>-5.5903293872121873</v>
      </c>
      <c r="V521" s="332">
        <f t="shared" si="232"/>
        <v>-140.89204417117713</v>
      </c>
      <c r="W521" s="334">
        <f t="shared" si="233"/>
        <v>39.107955828822867</v>
      </c>
      <c r="Y521" s="307">
        <f t="shared" si="234"/>
        <v>72444</v>
      </c>
      <c r="Z521" s="307">
        <f t="shared" si="235"/>
        <v>5248133136</v>
      </c>
      <c r="AB521" s="333">
        <f t="shared" si="236"/>
        <v>22.508547659745723</v>
      </c>
      <c r="AC521" s="334">
        <f t="shared" si="237"/>
        <v>-29.441922140230758</v>
      </c>
      <c r="AE521" s="333">
        <f t="shared" si="238"/>
        <v>28.925348942557587</v>
      </c>
      <c r="AF521" s="334">
        <f t="shared" si="239"/>
        <v>-123.1576966716017</v>
      </c>
      <c r="AH521">
        <f t="shared" si="240"/>
        <v>0</v>
      </c>
      <c r="AI521">
        <f t="shared" si="245"/>
        <v>0</v>
      </c>
    </row>
    <row r="522" spans="1:35" x14ac:dyDescent="0.25">
      <c r="A522" s="335">
        <v>72865.75</v>
      </c>
      <c r="B522" s="352">
        <f t="shared" si="241"/>
        <v>72.865750000000006</v>
      </c>
      <c r="C522" s="325">
        <f t="shared" si="216"/>
        <v>88.307114436466904</v>
      </c>
      <c r="D522" s="326">
        <f t="shared" si="217"/>
        <v>1.5594719688401013</v>
      </c>
      <c r="E522" s="326">
        <f t="shared" si="218"/>
        <v>1.0041833976267946</v>
      </c>
      <c r="F522" s="327">
        <f t="shared" si="219"/>
        <v>9.131117661373693E-2</v>
      </c>
      <c r="G522" s="326">
        <f t="shared" si="220"/>
        <v>1</v>
      </c>
      <c r="H522" s="327">
        <f t="shared" si="221"/>
        <v>0</v>
      </c>
      <c r="I522" s="325">
        <f t="shared" si="222"/>
        <v>96712.221126787394</v>
      </c>
      <c r="J522" s="328">
        <f t="shared" si="223"/>
        <v>1.5707859868400453</v>
      </c>
      <c r="K522" s="336">
        <f t="shared" si="243"/>
        <v>18.761033000452205</v>
      </c>
      <c r="L522" s="337">
        <f t="shared" si="244"/>
        <v>1.5174690860698918</v>
      </c>
      <c r="M522" s="325">
        <f t="shared" si="224"/>
        <v>1.1174190882232014</v>
      </c>
      <c r="N522" s="337">
        <f t="shared" si="225"/>
        <v>0.46254582204469058</v>
      </c>
      <c r="O522" s="343">
        <f t="shared" si="226"/>
        <v>1.085948108650806</v>
      </c>
      <c r="P522" s="691">
        <f t="shared" si="227"/>
        <v>0.40053040909635995</v>
      </c>
      <c r="Q522" s="336">
        <f t="shared" si="242"/>
        <v>15.408509055042659</v>
      </c>
      <c r="R522" s="692">
        <f t="shared" si="228"/>
        <v>0.1952175762868959</v>
      </c>
      <c r="S522" s="329">
        <f t="shared" si="229"/>
        <v>0.9869593510702932</v>
      </c>
      <c r="T522" s="330">
        <f t="shared" si="230"/>
        <v>0.68547107126305618</v>
      </c>
      <c r="U522" s="331">
        <f t="shared" si="231"/>
        <v>-5.6461679292650064</v>
      </c>
      <c r="V522" s="332">
        <f t="shared" si="232"/>
        <v>-141.1872145897286</v>
      </c>
      <c r="W522" s="334">
        <f t="shared" si="233"/>
        <v>38.812785410271402</v>
      </c>
      <c r="Y522" s="307">
        <f t="shared" si="234"/>
        <v>72865.75</v>
      </c>
      <c r="Z522" s="307">
        <f t="shared" si="235"/>
        <v>5309417523.0625</v>
      </c>
      <c r="AB522" s="333">
        <f t="shared" si="236"/>
        <v>22.498410479020624</v>
      </c>
      <c r="AC522" s="334">
        <f t="shared" si="237"/>
        <v>-29.556756859191132</v>
      </c>
      <c r="AE522" s="333">
        <f t="shared" si="238"/>
        <v>28.873852571663022</v>
      </c>
      <c r="AF522" s="334">
        <f t="shared" si="239"/>
        <v>-123.39401654383664</v>
      </c>
      <c r="AH522">
        <f t="shared" si="240"/>
        <v>0</v>
      </c>
      <c r="AI522">
        <f t="shared" si="245"/>
        <v>0</v>
      </c>
    </row>
    <row r="523" spans="1:35" x14ac:dyDescent="0.25">
      <c r="A523" s="335">
        <v>73287.5</v>
      </c>
      <c r="B523" s="352">
        <f t="shared" si="241"/>
        <v>73.287499999999994</v>
      </c>
      <c r="C523" s="325">
        <f t="shared" si="216"/>
        <v>88.818174341951817</v>
      </c>
      <c r="D523" s="326">
        <f t="shared" si="217"/>
        <v>1.5595371319739464</v>
      </c>
      <c r="E523" s="326">
        <f t="shared" si="218"/>
        <v>1.0042318628015332</v>
      </c>
      <c r="F523" s="327">
        <f t="shared" si="219"/>
        <v>9.1836731334155958E-2</v>
      </c>
      <c r="G523" s="326">
        <f t="shared" si="220"/>
        <v>1</v>
      </c>
      <c r="H523" s="327">
        <f t="shared" si="221"/>
        <v>0</v>
      </c>
      <c r="I523" s="325">
        <f t="shared" si="222"/>
        <v>97271.995496170479</v>
      </c>
      <c r="J523" s="328">
        <f t="shared" si="223"/>
        <v>1.5707860463437255</v>
      </c>
      <c r="K523" s="336">
        <f t="shared" si="243"/>
        <v>18.869315013102664</v>
      </c>
      <c r="L523" s="337">
        <f t="shared" si="244"/>
        <v>1.5177753936249092</v>
      </c>
      <c r="M523" s="325">
        <f t="shared" si="224"/>
        <v>1.1187099072671898</v>
      </c>
      <c r="N523" s="337">
        <f t="shared" si="225"/>
        <v>0.46485454186491276</v>
      </c>
      <c r="O523" s="343">
        <f t="shared" si="226"/>
        <v>1.0869060213755175</v>
      </c>
      <c r="P523" s="691">
        <f t="shared" si="227"/>
        <v>0.40260676027260711</v>
      </c>
      <c r="Q523" s="336">
        <f t="shared" si="242"/>
        <v>15.411777925549787</v>
      </c>
      <c r="R523" s="692">
        <f t="shared" si="228"/>
        <v>0.19632001724338632</v>
      </c>
      <c r="S523" s="329">
        <f t="shared" si="229"/>
        <v>0.98713824397472039</v>
      </c>
      <c r="T523" s="330">
        <f t="shared" si="230"/>
        <v>0.69006383220231149</v>
      </c>
      <c r="U523" s="331">
        <f t="shared" si="231"/>
        <v>-5.7017995602636438</v>
      </c>
      <c r="V523" s="332">
        <f t="shared" si="232"/>
        <v>-141.4829141490988</v>
      </c>
      <c r="W523" s="334">
        <f t="shared" si="233"/>
        <v>38.517085850901196</v>
      </c>
      <c r="Y523" s="307">
        <f t="shared" si="234"/>
        <v>73287.5</v>
      </c>
      <c r="Z523" s="307">
        <f t="shared" si="235"/>
        <v>5371057656.25</v>
      </c>
      <c r="AB523" s="333">
        <f t="shared" si="236"/>
        <v>22.488240906817225</v>
      </c>
      <c r="AC523" s="334">
        <f t="shared" si="237"/>
        <v>-29.671490040273426</v>
      </c>
      <c r="AE523" s="333">
        <f t="shared" si="238"/>
        <v>28.822574574539232</v>
      </c>
      <c r="AF523" s="334">
        <f t="shared" si="239"/>
        <v>-123.63078386740506</v>
      </c>
      <c r="AH523">
        <f t="shared" si="240"/>
        <v>0</v>
      </c>
      <c r="AI523">
        <f t="shared" si="245"/>
        <v>0</v>
      </c>
    </row>
    <row r="524" spans="1:35" x14ac:dyDescent="0.25">
      <c r="A524" s="335">
        <v>73709.25</v>
      </c>
      <c r="B524" s="352">
        <f t="shared" si="241"/>
        <v>73.709249999999997</v>
      </c>
      <c r="C524" s="325">
        <f t="shared" si="216"/>
        <v>89.32923462026416</v>
      </c>
      <c r="D524" s="326">
        <f t="shared" si="217"/>
        <v>1.5596015495002118</v>
      </c>
      <c r="E524" s="326">
        <f t="shared" si="218"/>
        <v>1.0042806053260929</v>
      </c>
      <c r="F524" s="327">
        <f t="shared" si="219"/>
        <v>9.2362235184360361E-2</v>
      </c>
      <c r="G524" s="326">
        <f t="shared" si="220"/>
        <v>1</v>
      </c>
      <c r="H524" s="327">
        <f t="shared" si="221"/>
        <v>0</v>
      </c>
      <c r="I524" s="325">
        <f t="shared" si="222"/>
        <v>97831.76986555387</v>
      </c>
      <c r="J524" s="328">
        <f t="shared" si="223"/>
        <v>1.5707861051664687</v>
      </c>
      <c r="K524" s="336">
        <f t="shared" si="243"/>
        <v>18.977598775950611</v>
      </c>
      <c r="L524" s="337">
        <f t="shared" si="244"/>
        <v>1.5180782057042339</v>
      </c>
      <c r="M524" s="325">
        <f t="shared" si="224"/>
        <v>1.1200066754812175</v>
      </c>
      <c r="N524" s="337">
        <f t="shared" si="225"/>
        <v>0.46715792776642062</v>
      </c>
      <c r="O524" s="343">
        <f t="shared" si="226"/>
        <v>1.0878686117426115</v>
      </c>
      <c r="P524" s="691">
        <f t="shared" si="227"/>
        <v>0.40467944589170329</v>
      </c>
      <c r="Q524" s="336">
        <f t="shared" si="242"/>
        <v>15.415064963250419</v>
      </c>
      <c r="R524" s="692">
        <f t="shared" si="228"/>
        <v>0.19742199651444048</v>
      </c>
      <c r="S524" s="329">
        <f t="shared" si="229"/>
        <v>0.98732580413938231</v>
      </c>
      <c r="T524" s="330">
        <f t="shared" si="230"/>
        <v>0.69466508283357398</v>
      </c>
      <c r="U524" s="331">
        <f t="shared" si="231"/>
        <v>-5.7572286299369626</v>
      </c>
      <c r="V524" s="332">
        <f t="shared" si="232"/>
        <v>-141.77913852075864</v>
      </c>
      <c r="W524" s="334">
        <f t="shared" si="233"/>
        <v>38.220861479241364</v>
      </c>
      <c r="Y524" s="307">
        <f t="shared" si="234"/>
        <v>73709.25</v>
      </c>
      <c r="Z524" s="307">
        <f t="shared" si="235"/>
        <v>5433053535.5625</v>
      </c>
      <c r="AB524" s="333">
        <f t="shared" si="236"/>
        <v>22.478039180740325</v>
      </c>
      <c r="AC524" s="334">
        <f t="shared" si="237"/>
        <v>-29.786117847314788</v>
      </c>
      <c r="AE524" s="333">
        <f t="shared" si="238"/>
        <v>28.771510537182621</v>
      </c>
      <c r="AF524" s="334">
        <f t="shared" si="239"/>
        <v>-123.86799780897644</v>
      </c>
      <c r="AH524">
        <f t="shared" si="240"/>
        <v>0</v>
      </c>
      <c r="AI524">
        <f t="shared" si="245"/>
        <v>0</v>
      </c>
    </row>
    <row r="525" spans="1:35" x14ac:dyDescent="0.25">
      <c r="A525" s="335">
        <v>74131</v>
      </c>
      <c r="B525" s="352">
        <f t="shared" si="241"/>
        <v>74.131</v>
      </c>
      <c r="C525" s="325">
        <f t="shared" ref="C525:C588" si="246">SQRT(1+(A525/pole1)^2)</f>
        <v>89.840295265041391</v>
      </c>
      <c r="D525" s="326">
        <f t="shared" ref="D525:D588" si="247">ATAN(A525/pole1)</f>
        <v>1.5596652341426269</v>
      </c>
      <c r="E525" s="326">
        <f t="shared" ref="E525:E588" si="248">SQRT(1+(A525/Zero1)^2)</f>
        <v>1.0043296251600924</v>
      </c>
      <c r="F525" s="327">
        <f t="shared" ref="F525:F588" si="249">ATAN(A525/Zero1)</f>
        <v>9.2887687881537659E-2</v>
      </c>
      <c r="G525" s="326">
        <f t="shared" ref="G525:G588" si="250">IF(VIN_nom&gt;Vout, 1, SQRT(1+(A525/z_RHP)^2))</f>
        <v>1</v>
      </c>
      <c r="H525" s="327">
        <f t="shared" ref="H525:H588" si="251">IF(VIN_nom&gt;Vout, 0, -ATAN(A525/z_RHP))</f>
        <v>0</v>
      </c>
      <c r="I525" s="325">
        <f t="shared" ref="I525:I588" si="252">SQRT(1+(A525/Pole2)^2)</f>
        <v>98391.544234937624</v>
      </c>
      <c r="J525" s="328">
        <f t="shared" ref="J525:J588" si="253">ATAN(A525/Pole2)</f>
        <v>1.570786163319897</v>
      </c>
      <c r="K525" s="336">
        <f t="shared" si="243"/>
        <v>19.085884259206811</v>
      </c>
      <c r="L525" s="337">
        <f t="shared" si="244"/>
        <v>1.5183775817475429</v>
      </c>
      <c r="M525" s="325">
        <f t="shared" ref="M525:M588" si="254">SQRT(1+(A525/pole4)^2)</f>
        <v>1.1213093722250551</v>
      </c>
      <c r="N525" s="337">
        <f t="shared" ref="N525:N588" si="255">ATAN(A525/pole4)</f>
        <v>0.46945597385570881</v>
      </c>
      <c r="O525" s="343">
        <f t="shared" ref="O525:O588" si="256">IF(VOUT_setting=1,1,SQRT(1+(A525*zterm1)^2))</f>
        <v>1.0888358673462146</v>
      </c>
      <c r="P525" s="691">
        <f t="shared" ref="P525:P588" si="257">IF(VOUT_setting=1,0,ATAN(((A525*zterm1))))</f>
        <v>0.40674845789035469</v>
      </c>
      <c r="Q525" s="336">
        <f t="shared" si="242"/>
        <v>15.418370156536275</v>
      </c>
      <c r="R525" s="692">
        <f t="shared" ref="R525:R588" si="258">IF(VOUT_setting=1,0,ATAN(A525*$Q$4/(1+Afbr-$Q$5*(A525)^2)))</f>
        <v>0.19852351183902073</v>
      </c>
      <c r="S525" s="329">
        <f t="shared" ref="S525:S588" si="259">SQRT((1-(Z525/pterm2))^2+(A525/pterm1)^2)</f>
        <v>0.98752215897223983</v>
      </c>
      <c r="T525" s="330">
        <f t="shared" ref="T525:T588" si="260">IF((ATAN((A525/pterm1)/(1-A525^2/pterm2))&gt;0),ATAN((A525/pterm1)/(1-A525^2/pterm2)),PI()+ATAN((A525/pterm1)/(1-A525^2/pterm2)))</f>
        <v>0.69927479366291956</v>
      </c>
      <c r="U525" s="331">
        <f t="shared" ref="U525:U588" si="261">20*LOG10(((E525*K525*G525*O525)/(C525*I525*S525*M525*Q525))*Adc)</f>
        <v>-5.8124594309170687</v>
      </c>
      <c r="V525" s="332">
        <f t="shared" ref="V525:V588" si="262">((F525+L525+H525+P525)-(D525+J525+T525+N525+R525))*radconv</f>
        <v>-142.07588334984575</v>
      </c>
      <c r="W525" s="334">
        <f t="shared" ref="W525:W588" si="263">IF(V525&gt;0,V525,V525+180)</f>
        <v>37.924116650154247</v>
      </c>
      <c r="Y525" s="307">
        <f t="shared" ref="Y525:Y588" si="264">IF(U525&lt;0,A525,1000000000)</f>
        <v>74131</v>
      </c>
      <c r="Z525" s="307">
        <f t="shared" ref="Z525:Z588" si="265">A525^2</f>
        <v>5495405161</v>
      </c>
      <c r="AB525" s="333">
        <f t="shared" ref="AB525:AB588" si="266">20*LOG10((K525/(I525*M525))*AEA)</f>
        <v>22.467805539332101</v>
      </c>
      <c r="AC525" s="334">
        <f t="shared" ref="AC525:AC588" si="267">(L525-(J525+N525))*radconv</f>
        <v>-29.90063653766547</v>
      </c>
      <c r="AE525" s="333">
        <f t="shared" ref="AE525:AE588" si="268">20*LOG10((E525*G525/(C525*S525))*Acs*Am)</f>
        <v>28.720656101639758</v>
      </c>
      <c r="AF525" s="334">
        <f t="shared" ref="AF525:AF588" si="269">(F525+H525-(D525+T525))*radconv</f>
        <v>-124.10565742389342</v>
      </c>
      <c r="AH525">
        <f t="shared" ref="AH525:AH588" si="270">SUM((U526&lt;0)*(U525&gt;0))*A525</f>
        <v>0</v>
      </c>
      <c r="AI525">
        <f t="shared" si="245"/>
        <v>0</v>
      </c>
    </row>
    <row r="526" spans="1:35" x14ac:dyDescent="0.25">
      <c r="A526" s="335">
        <v>74562.75</v>
      </c>
      <c r="B526" s="352">
        <f t="shared" ref="B526:B589" si="271">A526/1000</f>
        <v>74.562749999999994</v>
      </c>
      <c r="C526" s="325">
        <f t="shared" si="246"/>
        <v>90.363473903433203</v>
      </c>
      <c r="D526" s="326">
        <f t="shared" si="247"/>
        <v>1.5597296826204019</v>
      </c>
      <c r="E526" s="326">
        <f t="shared" si="248"/>
        <v>1.0043800944979091</v>
      </c>
      <c r="F526" s="327">
        <f t="shared" si="249"/>
        <v>9.3425546163466183E-2</v>
      </c>
      <c r="G526" s="326">
        <f t="shared" si="250"/>
        <v>1</v>
      </c>
      <c r="H526" s="327">
        <f t="shared" si="251"/>
        <v>0</v>
      </c>
      <c r="I526" s="325">
        <f t="shared" si="252"/>
        <v>98964.591262754038</v>
      </c>
      <c r="J526" s="328">
        <f t="shared" si="253"/>
        <v>1.5707862221707349</v>
      </c>
      <c r="K526" s="336">
        <f t="shared" si="243"/>
        <v>19.196739021906978</v>
      </c>
      <c r="L526" s="337">
        <f t="shared" si="244"/>
        <v>1.5186805576579894</v>
      </c>
      <c r="M526" s="325">
        <f t="shared" si="254"/>
        <v>1.1226490763620987</v>
      </c>
      <c r="N526" s="337">
        <f t="shared" si="255"/>
        <v>0.47180297117635134</v>
      </c>
      <c r="O526" s="343">
        <f t="shared" si="256"/>
        <v>1.0898308767886222</v>
      </c>
      <c r="P526" s="691">
        <f t="shared" si="257"/>
        <v>0.40886271410635566</v>
      </c>
      <c r="Q526" s="336">
        <f t="shared" si="242"/>
        <v>15.421772512600482</v>
      </c>
      <c r="R526" s="692">
        <f t="shared" si="258"/>
        <v>0.1996506619634314</v>
      </c>
      <c r="S526" s="329">
        <f t="shared" si="259"/>
        <v>0.98773241291856062</v>
      </c>
      <c r="T526" s="330">
        <f t="shared" si="260"/>
        <v>0.7040025350363498</v>
      </c>
      <c r="U526" s="331">
        <f t="shared" si="261"/>
        <v>-5.8687988412958747</v>
      </c>
      <c r="V526" s="332">
        <f t="shared" si="262"/>
        <v>-142.38019875272582</v>
      </c>
      <c r="W526" s="334">
        <f t="shared" si="263"/>
        <v>37.619801247274182</v>
      </c>
      <c r="Y526" s="307">
        <f t="shared" si="264"/>
        <v>74562.75</v>
      </c>
      <c r="Z526" s="307">
        <f t="shared" si="265"/>
        <v>5559603687.5625</v>
      </c>
      <c r="AB526" s="333">
        <f t="shared" si="266"/>
        <v>22.457296441374091</v>
      </c>
      <c r="AC526" s="334">
        <f t="shared" si="267"/>
        <v>-30.017753709742554</v>
      </c>
      <c r="AE526" s="333">
        <f t="shared" si="268"/>
        <v>28.66880849366148</v>
      </c>
      <c r="AF526" s="334">
        <f t="shared" si="269"/>
        <v>-124.34941266774078</v>
      </c>
      <c r="AH526">
        <f t="shared" si="270"/>
        <v>0</v>
      </c>
      <c r="AI526">
        <f t="shared" si="245"/>
        <v>0</v>
      </c>
    </row>
    <row r="527" spans="1:35" x14ac:dyDescent="0.25">
      <c r="A527" s="335">
        <v>74994.5</v>
      </c>
      <c r="B527" s="352">
        <f t="shared" si="271"/>
        <v>74.994500000000002</v>
      </c>
      <c r="C527" s="325">
        <f t="shared" si="246"/>
        <v>90.886652912838159</v>
      </c>
      <c r="D527" s="326">
        <f t="shared" si="247"/>
        <v>1.5597933891173081</v>
      </c>
      <c r="E527" s="326">
        <f t="shared" si="248"/>
        <v>1.0044308543651332</v>
      </c>
      <c r="F527" s="327">
        <f t="shared" si="249"/>
        <v>9.3963350238605567E-2</v>
      </c>
      <c r="G527" s="326">
        <f t="shared" si="250"/>
        <v>1</v>
      </c>
      <c r="H527" s="327">
        <f t="shared" si="251"/>
        <v>0</v>
      </c>
      <c r="I527" s="325">
        <f t="shared" si="252"/>
        <v>99537.638290570787</v>
      </c>
      <c r="J527" s="328">
        <f t="shared" si="253"/>
        <v>1.5707862803439541</v>
      </c>
      <c r="K527" s="336">
        <f t="shared" si="243"/>
        <v>19.307595526525397</v>
      </c>
      <c r="L527" s="337">
        <f t="shared" si="244"/>
        <v>1.5189800544622467</v>
      </c>
      <c r="M527" s="325">
        <f t="shared" si="254"/>
        <v>1.1239949497338853</v>
      </c>
      <c r="N527" s="337">
        <f t="shared" si="255"/>
        <v>0.47414436077184269</v>
      </c>
      <c r="O527" s="343">
        <f t="shared" si="256"/>
        <v>1.0908307489614455</v>
      </c>
      <c r="P527" s="691">
        <f t="shared" si="257"/>
        <v>0.41097310382232771</v>
      </c>
      <c r="Q527" s="336">
        <f t="shared" ref="Q527:Q590" si="272">IF(VOUT_setting=1,1,SQRT((1+Afbr-$Q$5*(A527)^2)^2+(A527*$Q$4)^2))</f>
        <v>15.42519387062868</v>
      </c>
      <c r="R527" s="692">
        <f t="shared" si="258"/>
        <v>0.20077732110452956</v>
      </c>
      <c r="S527" s="329">
        <f t="shared" si="259"/>
        <v>0.98795215509455503</v>
      </c>
      <c r="T527" s="330">
        <f t="shared" si="260"/>
        <v>0.70873907467636066</v>
      </c>
      <c r="U527" s="331">
        <f t="shared" si="261"/>
        <v>-5.9249393948257625</v>
      </c>
      <c r="V527" s="332">
        <f t="shared" si="262"/>
        <v>-142.68505025575058</v>
      </c>
      <c r="W527" s="334">
        <f t="shared" si="263"/>
        <v>37.314949744249418</v>
      </c>
      <c r="Y527" s="307">
        <f t="shared" si="264"/>
        <v>74994.5</v>
      </c>
      <c r="Z527" s="307">
        <f t="shared" si="265"/>
        <v>5624175030.25</v>
      </c>
      <c r="AB527" s="333">
        <f t="shared" si="266"/>
        <v>22.446754405280483</v>
      </c>
      <c r="AC527" s="334">
        <f t="shared" si="267"/>
        <v>-30.134748882112074</v>
      </c>
      <c r="AE527" s="333">
        <f t="shared" si="268"/>
        <v>28.617171477820413</v>
      </c>
      <c r="AF527" s="334">
        <f t="shared" si="269"/>
        <v>-124.59363260857874</v>
      </c>
      <c r="AH527">
        <f t="shared" si="270"/>
        <v>0</v>
      </c>
      <c r="AI527">
        <f t="shared" si="245"/>
        <v>0</v>
      </c>
    </row>
    <row r="528" spans="1:35" x14ac:dyDescent="0.25">
      <c r="A528" s="335">
        <v>75426.25</v>
      </c>
      <c r="B528" s="352">
        <f t="shared" si="271"/>
        <v>75.426249999999996</v>
      </c>
      <c r="C528" s="325">
        <f t="shared" si="246"/>
        <v>91.409832286885873</v>
      </c>
      <c r="D528" s="326">
        <f t="shared" si="247"/>
        <v>1.5598563663728893</v>
      </c>
      <c r="E528" s="326">
        <f t="shared" si="248"/>
        <v>1.0044819047177205</v>
      </c>
      <c r="F528" s="327">
        <f t="shared" si="249"/>
        <v>9.4501099804095615E-2</v>
      </c>
      <c r="G528" s="326">
        <f t="shared" si="250"/>
        <v>1</v>
      </c>
      <c r="H528" s="327">
        <f t="shared" si="251"/>
        <v>0</v>
      </c>
      <c r="I528" s="325">
        <f t="shared" si="252"/>
        <v>100110.6853183879</v>
      </c>
      <c r="J528" s="328">
        <f t="shared" si="253"/>
        <v>1.5707863378511906</v>
      </c>
      <c r="K528" s="336">
        <f t="shared" si="243"/>
        <v>19.418453743229158</v>
      </c>
      <c r="L528" s="337">
        <f t="shared" si="244"/>
        <v>1.5192761316918397</v>
      </c>
      <c r="M528" s="325">
        <f t="shared" si="254"/>
        <v>1.1253469702058851</v>
      </c>
      <c r="N528" s="337">
        <f t="shared" si="255"/>
        <v>0.47648013713670873</v>
      </c>
      <c r="O528" s="343">
        <f t="shared" si="256"/>
        <v>1.0918354705052298</v>
      </c>
      <c r="P528" s="691">
        <f t="shared" si="257"/>
        <v>0.41307961888837158</v>
      </c>
      <c r="Q528" s="336">
        <f t="shared" si="272"/>
        <v>15.428634217991492</v>
      </c>
      <c r="R528" s="692">
        <f t="shared" si="258"/>
        <v>0.20190348685719528</v>
      </c>
      <c r="S528" s="329">
        <f t="shared" si="259"/>
        <v>0.98818152353289979</v>
      </c>
      <c r="T528" s="330">
        <f t="shared" si="260"/>
        <v>0.71348437551077382</v>
      </c>
      <c r="U528" s="331">
        <f t="shared" si="261"/>
        <v>-5.9808855182417853</v>
      </c>
      <c r="V528" s="332">
        <f t="shared" si="262"/>
        <v>-142.99043308558831</v>
      </c>
      <c r="W528" s="334">
        <f t="shared" si="263"/>
        <v>37.009566914411693</v>
      </c>
      <c r="Y528" s="307">
        <f t="shared" si="264"/>
        <v>75426.25</v>
      </c>
      <c r="Z528" s="307">
        <f t="shared" si="265"/>
        <v>5689119189.0625</v>
      </c>
      <c r="AB528" s="333">
        <f t="shared" si="266"/>
        <v>22.436179689563307</v>
      </c>
      <c r="AC528" s="334">
        <f t="shared" si="267"/>
        <v>-30.251618329095184</v>
      </c>
      <c r="AE528" s="333">
        <f t="shared" si="268"/>
        <v>28.56574055428128</v>
      </c>
      <c r="AF528" s="334">
        <f t="shared" si="269"/>
        <v>-124.83831586960265</v>
      </c>
      <c r="AH528">
        <f t="shared" si="270"/>
        <v>0</v>
      </c>
      <c r="AI528">
        <f t="shared" si="245"/>
        <v>0</v>
      </c>
    </row>
    <row r="529" spans="1:35" x14ac:dyDescent="0.25">
      <c r="A529" s="335">
        <v>75858</v>
      </c>
      <c r="B529" s="352">
        <f t="shared" si="271"/>
        <v>75.858000000000004</v>
      </c>
      <c r="C529" s="325">
        <f t="shared" si="246"/>
        <v>91.933012019350898</v>
      </c>
      <c r="D529" s="326">
        <f t="shared" si="247"/>
        <v>1.559918626836716</v>
      </c>
      <c r="E529" s="326">
        <f t="shared" si="248"/>
        <v>1.0045332455113833</v>
      </c>
      <c r="F529" s="327">
        <f t="shared" si="249"/>
        <v>9.5038794557263648E-2</v>
      </c>
      <c r="G529" s="326">
        <f t="shared" si="250"/>
        <v>1</v>
      </c>
      <c r="H529" s="327">
        <f t="shared" si="251"/>
        <v>0</v>
      </c>
      <c r="I529" s="325">
        <f t="shared" si="252"/>
        <v>100683.7323462053</v>
      </c>
      <c r="J529" s="328">
        <f t="shared" si="253"/>
        <v>1.5707863947038159</v>
      </c>
      <c r="K529" s="336">
        <f t="shared" si="243"/>
        <v>19.529313642862288</v>
      </c>
      <c r="L529" s="337">
        <f t="shared" si="244"/>
        <v>1.5195688475289779</v>
      </c>
      <c r="M529" s="325">
        <f t="shared" si="254"/>
        <v>1.126705115648958</v>
      </c>
      <c r="N529" s="337">
        <f t="shared" si="255"/>
        <v>0.47881029503683864</v>
      </c>
      <c r="O529" s="343">
        <f t="shared" si="256"/>
        <v>1.0928450280449753</v>
      </c>
      <c r="P529" s="691">
        <f t="shared" si="257"/>
        <v>0.4151822513220324</v>
      </c>
      <c r="Q529" s="336">
        <f t="shared" si="272"/>
        <v>15.432093542000734</v>
      </c>
      <c r="R529" s="692">
        <f t="shared" si="258"/>
        <v>0.20302915682330261</v>
      </c>
      <c r="S529" s="329">
        <f t="shared" si="259"/>
        <v>0.98842065669286883</v>
      </c>
      <c r="T529" s="330">
        <f t="shared" si="260"/>
        <v>0.71823839861453842</v>
      </c>
      <c r="U529" s="331">
        <f t="shared" si="261"/>
        <v>-6.0366415804235052</v>
      </c>
      <c r="V529" s="332">
        <f t="shared" si="262"/>
        <v>-143.29634242977002</v>
      </c>
      <c r="W529" s="334">
        <f t="shared" si="263"/>
        <v>36.703657570229979</v>
      </c>
      <c r="Y529" s="307">
        <f t="shared" si="264"/>
        <v>75858</v>
      </c>
      <c r="Z529" s="307">
        <f t="shared" si="265"/>
        <v>5754436164</v>
      </c>
      <c r="AB529" s="333">
        <f t="shared" si="266"/>
        <v>22.425572553464225</v>
      </c>
      <c r="AC529" s="334">
        <f t="shared" si="267"/>
        <v>-30.368358417855919</v>
      </c>
      <c r="AE529" s="333">
        <f t="shared" si="268"/>
        <v>28.514511280168122</v>
      </c>
      <c r="AF529" s="334">
        <f t="shared" si="269"/>
        <v>-125.08346095122113</v>
      </c>
      <c r="AH529">
        <f t="shared" si="270"/>
        <v>0</v>
      </c>
      <c r="AI529">
        <f t="shared" si="245"/>
        <v>0</v>
      </c>
    </row>
    <row r="530" spans="1:35" x14ac:dyDescent="0.25">
      <c r="A530" s="335">
        <v>76299.75</v>
      </c>
      <c r="B530" s="352">
        <f t="shared" si="271"/>
        <v>76.299750000000003</v>
      </c>
      <c r="C530" s="325">
        <f t="shared" si="246"/>
        <v>92.468309770923071</v>
      </c>
      <c r="D530" s="326">
        <f t="shared" si="247"/>
        <v>1.5599816001518396</v>
      </c>
      <c r="E530" s="326">
        <f t="shared" si="248"/>
        <v>1.0045860760006324</v>
      </c>
      <c r="F530" s="327">
        <f t="shared" si="249"/>
        <v>9.5588886108500498E-2</v>
      </c>
      <c r="G530" s="326">
        <f t="shared" si="250"/>
        <v>1</v>
      </c>
      <c r="H530" s="327">
        <f t="shared" si="251"/>
        <v>0</v>
      </c>
      <c r="I530" s="325">
        <f t="shared" si="252"/>
        <v>101270.05203245542</v>
      </c>
      <c r="J530" s="328">
        <f t="shared" si="253"/>
        <v>1.570786452207297</v>
      </c>
      <c r="K530" s="336">
        <f t="shared" si="243"/>
        <v>19.642742941935932</v>
      </c>
      <c r="L530" s="337">
        <f t="shared" si="244"/>
        <v>1.5198649233511341</v>
      </c>
      <c r="M530" s="325">
        <f t="shared" si="254"/>
        <v>1.1281010341839777</v>
      </c>
      <c r="N530" s="337">
        <f t="shared" si="255"/>
        <v>0.48118860266282126</v>
      </c>
      <c r="O530" s="343">
        <f t="shared" si="256"/>
        <v>1.0938829598451156</v>
      </c>
      <c r="P530" s="691">
        <f t="shared" si="257"/>
        <v>0.41732955726945042</v>
      </c>
      <c r="Q530" s="336">
        <f t="shared" si="272"/>
        <v>15.43565261705643</v>
      </c>
      <c r="R530" s="692">
        <f t="shared" si="258"/>
        <v>0.2041803834144589</v>
      </c>
      <c r="S530" s="329">
        <f t="shared" si="259"/>
        <v>0.98867557998377609</v>
      </c>
      <c r="T530" s="330">
        <f t="shared" si="260"/>
        <v>0.72311151735825363</v>
      </c>
      <c r="U530" s="331">
        <f t="shared" si="261"/>
        <v>-6.093496821374849</v>
      </c>
      <c r="V530" s="332">
        <f t="shared" si="262"/>
        <v>-143.60987699401616</v>
      </c>
      <c r="W530" s="334">
        <f t="shared" si="263"/>
        <v>36.390123005983838</v>
      </c>
      <c r="Y530" s="307">
        <f t="shared" si="264"/>
        <v>76299.75</v>
      </c>
      <c r="Z530" s="307">
        <f t="shared" si="265"/>
        <v>5821651850.0625</v>
      </c>
      <c r="AB530" s="333">
        <f t="shared" si="266"/>
        <v>22.414686455276676</v>
      </c>
      <c r="AC530" s="334">
        <f t="shared" si="267"/>
        <v>-30.487664807026192</v>
      </c>
      <c r="AE530" s="333">
        <f t="shared" si="268"/>
        <v>28.462299590565255</v>
      </c>
      <c r="AF530" s="334">
        <f t="shared" si="269"/>
        <v>-125.3347602695361</v>
      </c>
      <c r="AH530">
        <f t="shared" si="270"/>
        <v>0</v>
      </c>
      <c r="AI530">
        <f t="shared" si="245"/>
        <v>0</v>
      </c>
    </row>
    <row r="531" spans="1:35" x14ac:dyDescent="0.25">
      <c r="A531" s="335">
        <v>76741.5</v>
      </c>
      <c r="B531" s="352">
        <f t="shared" si="271"/>
        <v>76.741500000000002</v>
      </c>
      <c r="C531" s="325">
        <f t="shared" si="246"/>
        <v>93.003607884969966</v>
      </c>
      <c r="D531" s="326">
        <f t="shared" si="247"/>
        <v>1.5600438485599146</v>
      </c>
      <c r="E531" s="326">
        <f t="shared" si="248"/>
        <v>1.0046392104463209</v>
      </c>
      <c r="F531" s="327">
        <f t="shared" si="249"/>
        <v>9.6138919638488807E-2</v>
      </c>
      <c r="G531" s="326">
        <f t="shared" si="250"/>
        <v>1</v>
      </c>
      <c r="H531" s="327">
        <f t="shared" si="251"/>
        <v>0</v>
      </c>
      <c r="I531" s="325">
        <f t="shared" si="252"/>
        <v>101856.37171870586</v>
      </c>
      <c r="J531" s="328">
        <f t="shared" si="253"/>
        <v>1.5707865090487592</v>
      </c>
      <c r="K531" s="336">
        <f t="shared" si="243"/>
        <v>19.756173943137419</v>
      </c>
      <c r="L531" s="337">
        <f t="shared" si="244"/>
        <v>1.5201575993322054</v>
      </c>
      <c r="M531" s="325">
        <f t="shared" si="254"/>
        <v>1.1295033178570641</v>
      </c>
      <c r="N531" s="337">
        <f t="shared" si="255"/>
        <v>0.48356101832014259</v>
      </c>
      <c r="O531" s="343">
        <f t="shared" si="256"/>
        <v>1.09492592587909</v>
      </c>
      <c r="P531" s="691">
        <f t="shared" si="257"/>
        <v>0.41947278227309154</v>
      </c>
      <c r="Q531" s="336">
        <f t="shared" si="272"/>
        <v>15.43923153093521</v>
      </c>
      <c r="R531" s="692">
        <f t="shared" si="258"/>
        <v>0.20533108593009136</v>
      </c>
      <c r="S531" s="329">
        <f t="shared" si="259"/>
        <v>0.98894102012554297</v>
      </c>
      <c r="T531" s="330">
        <f t="shared" si="260"/>
        <v>0.72799367866806008</v>
      </c>
      <c r="U531" s="331">
        <f t="shared" si="261"/>
        <v>-6.1501621673395857</v>
      </c>
      <c r="V531" s="332">
        <f t="shared" si="262"/>
        <v>-143.92395241661035</v>
      </c>
      <c r="W531" s="334">
        <f t="shared" si="263"/>
        <v>36.076047583389652</v>
      </c>
      <c r="Y531" s="307">
        <f t="shared" si="264"/>
        <v>76741.5</v>
      </c>
      <c r="Z531" s="307">
        <f t="shared" si="265"/>
        <v>5889257822.25</v>
      </c>
      <c r="AB531" s="333">
        <f t="shared" si="266"/>
        <v>22.403766968609329</v>
      </c>
      <c r="AC531" s="334">
        <f t="shared" si="267"/>
        <v>-30.60682836987327</v>
      </c>
      <c r="AE531" s="333">
        <f t="shared" si="268"/>
        <v>28.410289767811342</v>
      </c>
      <c r="AF531" s="334">
        <f t="shared" si="269"/>
        <v>-125.58653947898287</v>
      </c>
      <c r="AH531">
        <f t="shared" si="270"/>
        <v>0</v>
      </c>
      <c r="AI531">
        <f t="shared" si="245"/>
        <v>0</v>
      </c>
    </row>
    <row r="532" spans="1:35" x14ac:dyDescent="0.25">
      <c r="A532" s="335">
        <v>77183.25</v>
      </c>
      <c r="B532" s="352">
        <f t="shared" si="271"/>
        <v>77.183250000000001</v>
      </c>
      <c r="C532" s="325">
        <f t="shared" si="246"/>
        <v>93.538906355268537</v>
      </c>
      <c r="D532" s="326">
        <f t="shared" si="247"/>
        <v>1.5601053845058093</v>
      </c>
      <c r="E532" s="326">
        <f t="shared" si="248"/>
        <v>1.0046926488002237</v>
      </c>
      <c r="F532" s="327">
        <f t="shared" si="249"/>
        <v>9.6688894823649812E-2</v>
      </c>
      <c r="G532" s="326">
        <f t="shared" si="250"/>
        <v>1</v>
      </c>
      <c r="H532" s="327">
        <f t="shared" si="251"/>
        <v>0</v>
      </c>
      <c r="I532" s="325">
        <f t="shared" si="252"/>
        <v>102442.69140495664</v>
      </c>
      <c r="J532" s="328">
        <f t="shared" si="253"/>
        <v>1.5707865652395694</v>
      </c>
      <c r="K532" s="336">
        <f t="shared" si="243"/>
        <v>19.869606617315583</v>
      </c>
      <c r="L532" s="337">
        <f t="shared" si="244"/>
        <v>1.5204469336492015</v>
      </c>
      <c r="M532" s="325">
        <f t="shared" si="254"/>
        <v>1.1309119429907</v>
      </c>
      <c r="N532" s="337">
        <f t="shared" si="255"/>
        <v>0.48592753727032389</v>
      </c>
      <c r="O532" s="343">
        <f t="shared" si="256"/>
        <v>1.0959739117746539</v>
      </c>
      <c r="P532" s="691">
        <f t="shared" si="257"/>
        <v>0.42161191832237838</v>
      </c>
      <c r="Q532" s="336">
        <f t="shared" si="272"/>
        <v>15.442830269857</v>
      </c>
      <c r="R532" s="692">
        <f t="shared" si="258"/>
        <v>0.20648126182444476</v>
      </c>
      <c r="S532" s="329">
        <f t="shared" si="259"/>
        <v>0.9892171267160359</v>
      </c>
      <c r="T532" s="330">
        <f t="shared" si="260"/>
        <v>0.73288483476312738</v>
      </c>
      <c r="U532" s="331">
        <f t="shared" si="261"/>
        <v>-6.2066421169241242</v>
      </c>
      <c r="V532" s="332">
        <f t="shared" si="262"/>
        <v>-144.23856340046123</v>
      </c>
      <c r="W532" s="334">
        <f t="shared" si="263"/>
        <v>35.761436599538769</v>
      </c>
      <c r="Y532" s="307">
        <f t="shared" si="264"/>
        <v>77183.25</v>
      </c>
      <c r="Z532" s="307">
        <f t="shared" si="265"/>
        <v>5957254080.5625</v>
      </c>
      <c r="AB532" s="333">
        <f t="shared" si="266"/>
        <v>22.392814373063015</v>
      </c>
      <c r="AC532" s="334">
        <f t="shared" si="267"/>
        <v>-30.725845502256487</v>
      </c>
      <c r="AE532" s="333">
        <f t="shared" si="268"/>
        <v>28.358477231500373</v>
      </c>
      <c r="AF532" s="334">
        <f t="shared" si="269"/>
        <v>-125.83879657349964</v>
      </c>
      <c r="AH532">
        <f t="shared" si="270"/>
        <v>0</v>
      </c>
      <c r="AI532">
        <f t="shared" si="245"/>
        <v>0</v>
      </c>
    </row>
    <row r="533" spans="1:35" x14ac:dyDescent="0.25">
      <c r="A533" s="335">
        <v>77625</v>
      </c>
      <c r="B533" s="352">
        <f t="shared" si="271"/>
        <v>77.625</v>
      </c>
      <c r="C533" s="325">
        <f t="shared" si="246"/>
        <v>94.074205175737404</v>
      </c>
      <c r="D533" s="326">
        <f t="shared" si="247"/>
        <v>1.5601662201511601</v>
      </c>
      <c r="E533" s="326">
        <f t="shared" si="248"/>
        <v>1.0047463910138497</v>
      </c>
      <c r="F533" s="327">
        <f t="shared" si="249"/>
        <v>9.7238811340614614E-2</v>
      </c>
      <c r="G533" s="326">
        <f t="shared" si="250"/>
        <v>1</v>
      </c>
      <c r="H533" s="327">
        <f t="shared" si="251"/>
        <v>0</v>
      </c>
      <c r="I533" s="325">
        <f t="shared" si="252"/>
        <v>103029.01109120772</v>
      </c>
      <c r="J533" s="328">
        <f t="shared" si="253"/>
        <v>1.5707866207908359</v>
      </c>
      <c r="K533" s="336">
        <f t="shared" si="243"/>
        <v>19.983040935980732</v>
      </c>
      <c r="L533" s="337">
        <f t="shared" si="244"/>
        <v>1.5207329831604248</v>
      </c>
      <c r="M533" s="325">
        <f t="shared" si="254"/>
        <v>1.1323268859183782</v>
      </c>
      <c r="N533" s="337">
        <f t="shared" si="255"/>
        <v>0.48828815506260215</v>
      </c>
      <c r="O533" s="343">
        <f t="shared" si="256"/>
        <v>1.09702690314544</v>
      </c>
      <c r="P533" s="691">
        <f t="shared" si="257"/>
        <v>0.42374695758695391</v>
      </c>
      <c r="Q533" s="336">
        <f t="shared" si="272"/>
        <v>15.446448819978281</v>
      </c>
      <c r="R533" s="692">
        <f t="shared" si="258"/>
        <v>0.20763090855953514</v>
      </c>
      <c r="S533" s="329">
        <f t="shared" si="259"/>
        <v>0.98950404975664241</v>
      </c>
      <c r="T533" s="330">
        <f t="shared" si="260"/>
        <v>0.73778493578972371</v>
      </c>
      <c r="U533" s="331">
        <f t="shared" si="261"/>
        <v>-6.2629411099953236</v>
      </c>
      <c r="V533" s="332">
        <f t="shared" si="262"/>
        <v>-144.55370459561505</v>
      </c>
      <c r="W533" s="334">
        <f t="shared" si="263"/>
        <v>35.446295404384955</v>
      </c>
      <c r="Y533" s="307">
        <f t="shared" si="264"/>
        <v>77625</v>
      </c>
      <c r="Z533" s="307">
        <f t="shared" si="265"/>
        <v>6025640625</v>
      </c>
      <c r="AB533" s="333">
        <f t="shared" si="266"/>
        <v>22.381828948745138</v>
      </c>
      <c r="AC533" s="334">
        <f t="shared" si="267"/>
        <v>-30.844712692061588</v>
      </c>
      <c r="AE533" s="333">
        <f t="shared" si="268"/>
        <v>28.306857459226716</v>
      </c>
      <c r="AF533" s="334">
        <f t="shared" si="269"/>
        <v>-126.09152941201603</v>
      </c>
      <c r="AH533">
        <f t="shared" si="270"/>
        <v>0</v>
      </c>
      <c r="AI533">
        <f t="shared" si="245"/>
        <v>0</v>
      </c>
    </row>
    <row r="534" spans="1:35" x14ac:dyDescent="0.25">
      <c r="A534" s="335">
        <v>78077</v>
      </c>
      <c r="B534" s="352">
        <f t="shared" si="271"/>
        <v>78.076999999999998</v>
      </c>
      <c r="C534" s="325">
        <f t="shared" si="246"/>
        <v>94.621924981570444</v>
      </c>
      <c r="D534" s="326">
        <f t="shared" si="247"/>
        <v>1.560227754910287</v>
      </c>
      <c r="E534" s="326">
        <f t="shared" si="248"/>
        <v>1.0048016946835774</v>
      </c>
      <c r="F534" s="327">
        <f t="shared" si="249"/>
        <v>9.78014266005761E-2</v>
      </c>
      <c r="G534" s="326">
        <f t="shared" si="250"/>
        <v>1</v>
      </c>
      <c r="H534" s="327">
        <f t="shared" si="251"/>
        <v>0</v>
      </c>
      <c r="I534" s="325">
        <f t="shared" si="252"/>
        <v>103628.93525235236</v>
      </c>
      <c r="J534" s="328">
        <f t="shared" si="253"/>
        <v>1.570786676980416</v>
      </c>
      <c r="K534" s="336">
        <f t="shared" si="243"/>
        <v>20.099108963459415</v>
      </c>
      <c r="L534" s="337">
        <f t="shared" si="244"/>
        <v>1.5210223278733461</v>
      </c>
      <c r="M534" s="325">
        <f t="shared" si="254"/>
        <v>1.1337811747170741</v>
      </c>
      <c r="N534" s="337">
        <f t="shared" si="255"/>
        <v>0.49069743419090123</v>
      </c>
      <c r="O534" s="343">
        <f t="shared" si="256"/>
        <v>1.0981094932699984</v>
      </c>
      <c r="P534" s="691">
        <f t="shared" si="257"/>
        <v>0.42592728807422281</v>
      </c>
      <c r="Q534" s="336">
        <f t="shared" si="272"/>
        <v>15.450171823480593</v>
      </c>
      <c r="R534" s="692">
        <f t="shared" si="258"/>
        <v>0.20880668038424943</v>
      </c>
      <c r="S534" s="329">
        <f t="shared" si="259"/>
        <v>0.98980898301581022</v>
      </c>
      <c r="T534" s="330">
        <f t="shared" si="260"/>
        <v>0.74280793916915455</v>
      </c>
      <c r="U534" s="331">
        <f t="shared" si="261"/>
        <v>-6.320363685390439</v>
      </c>
      <c r="V534" s="332">
        <f t="shared" si="262"/>
        <v>-144.87670123484514</v>
      </c>
      <c r="W534" s="334">
        <f t="shared" si="263"/>
        <v>35.123298765154857</v>
      </c>
      <c r="Y534" s="307">
        <f t="shared" si="264"/>
        <v>78077</v>
      </c>
      <c r="Z534" s="307">
        <f t="shared" si="265"/>
        <v>6096017929</v>
      </c>
      <c r="AB534" s="333">
        <f t="shared" si="266"/>
        <v>22.370554940195909</v>
      </c>
      <c r="AC534" s="334">
        <f t="shared" si="267"/>
        <v>-30.966179206471843</v>
      </c>
      <c r="AE534" s="333">
        <f t="shared" si="268"/>
        <v>28.254234812230152</v>
      </c>
      <c r="AF534" s="334">
        <f t="shared" si="269"/>
        <v>-126.35061650853929</v>
      </c>
      <c r="AH534">
        <f t="shared" si="270"/>
        <v>0</v>
      </c>
      <c r="AI534">
        <f t="shared" si="245"/>
        <v>0</v>
      </c>
    </row>
    <row r="535" spans="1:35" x14ac:dyDescent="0.25">
      <c r="A535" s="335">
        <v>78529</v>
      </c>
      <c r="B535" s="352">
        <f t="shared" si="271"/>
        <v>78.528999999999996</v>
      </c>
      <c r="C535" s="325">
        <f t="shared" si="246"/>
        <v>95.169645141567869</v>
      </c>
      <c r="D535" s="326">
        <f t="shared" si="247"/>
        <v>1.5602885813801854</v>
      </c>
      <c r="E535" s="326">
        <f t="shared" si="248"/>
        <v>1.0048573163740766</v>
      </c>
      <c r="F535" s="327">
        <f t="shared" si="249"/>
        <v>9.8363979753902181E-2</v>
      </c>
      <c r="G535" s="326">
        <f t="shared" si="250"/>
        <v>1</v>
      </c>
      <c r="H535" s="327">
        <f t="shared" si="251"/>
        <v>0</v>
      </c>
      <c r="I535" s="325">
        <f t="shared" si="252"/>
        <v>104228.85941349731</v>
      </c>
      <c r="J535" s="328">
        <f t="shared" si="253"/>
        <v>1.5707867325231599</v>
      </c>
      <c r="K535" s="336">
        <f t="shared" ref="K535:K598" si="273">SQRT(1+(A535/Zero2)^2)</f>
        <v>20.215178654319786</v>
      </c>
      <c r="L535" s="337">
        <f t="shared" ref="L535:L598" si="274">ATAN(A535/Zero2)</f>
        <v>1.521308349943195</v>
      </c>
      <c r="M535" s="325">
        <f t="shared" si="254"/>
        <v>1.1352420278076318</v>
      </c>
      <c r="N535" s="337">
        <f t="shared" si="255"/>
        <v>0.49310052661726816</v>
      </c>
      <c r="O535" s="343">
        <f t="shared" si="256"/>
        <v>1.0991972933353291</v>
      </c>
      <c r="P535" s="691">
        <f t="shared" si="257"/>
        <v>0.42810331344228753</v>
      </c>
      <c r="Q535" s="336">
        <f t="shared" si="272"/>
        <v>15.45391553868828</v>
      </c>
      <c r="R535" s="692">
        <f t="shared" si="258"/>
        <v>0.20998189285757926</v>
      </c>
      <c r="S535" s="329">
        <f t="shared" si="259"/>
        <v>0.99012555945144598</v>
      </c>
      <c r="T535" s="330">
        <f t="shared" si="260"/>
        <v>0.74784019511284905</v>
      </c>
      <c r="U535" s="331">
        <f t="shared" si="261"/>
        <v>-6.3776060299962891</v>
      </c>
      <c r="V535" s="332">
        <f t="shared" si="262"/>
        <v>-145.20024146456359</v>
      </c>
      <c r="W535" s="334">
        <f t="shared" si="263"/>
        <v>34.799758535436411</v>
      </c>
      <c r="Y535" s="307">
        <f t="shared" si="264"/>
        <v>78529</v>
      </c>
      <c r="Z535" s="307">
        <f t="shared" si="265"/>
        <v>6166803841</v>
      </c>
      <c r="AB535" s="333">
        <f t="shared" si="266"/>
        <v>22.359247156389767</v>
      </c>
      <c r="AC535" s="334">
        <f t="shared" si="267"/>
        <v>-31.087481585336004</v>
      </c>
      <c r="AE535" s="333">
        <f t="shared" si="268"/>
        <v>28.201804580883039</v>
      </c>
      <c r="AF535" s="334">
        <f t="shared" si="269"/>
        <v>-126.61019671440974</v>
      </c>
      <c r="AH535">
        <f t="shared" si="270"/>
        <v>0</v>
      </c>
      <c r="AI535">
        <f t="shared" si="245"/>
        <v>0</v>
      </c>
    </row>
    <row r="536" spans="1:35" x14ac:dyDescent="0.25">
      <c r="A536" s="335">
        <v>78981</v>
      </c>
      <c r="B536" s="352">
        <f t="shared" si="271"/>
        <v>78.980999999999995</v>
      </c>
      <c r="C536" s="325">
        <f t="shared" si="246"/>
        <v>95.717365649649835</v>
      </c>
      <c r="D536" s="326">
        <f t="shared" si="247"/>
        <v>1.5603487117194659</v>
      </c>
      <c r="E536" s="326">
        <f t="shared" si="248"/>
        <v>1.0049132560325404</v>
      </c>
      <c r="F536" s="327">
        <f t="shared" si="249"/>
        <v>9.8926470454877388E-2</v>
      </c>
      <c r="G536" s="326">
        <f t="shared" si="250"/>
        <v>1</v>
      </c>
      <c r="H536" s="327">
        <f t="shared" si="251"/>
        <v>0</v>
      </c>
      <c r="I536" s="325">
        <f t="shared" si="252"/>
        <v>104828.78357464257</v>
      </c>
      <c r="J536" s="328">
        <f t="shared" si="253"/>
        <v>1.5707867874301733</v>
      </c>
      <c r="K536" s="336">
        <f t="shared" si="273"/>
        <v>20.331249980073451</v>
      </c>
      <c r="L536" s="337">
        <f t="shared" si="274"/>
        <v>1.5215911062297836</v>
      </c>
      <c r="M536" s="325">
        <f t="shared" si="254"/>
        <v>1.1367094198815624</v>
      </c>
      <c r="N536" s="337">
        <f t="shared" si="255"/>
        <v>0.49549742849295653</v>
      </c>
      <c r="O536" s="343">
        <f t="shared" si="256"/>
        <v>1.1002902878890357</v>
      </c>
      <c r="P536" s="691">
        <f t="shared" si="257"/>
        <v>0.43027502588317862</v>
      </c>
      <c r="Q536" s="336">
        <f t="shared" si="272"/>
        <v>15.457679950567016</v>
      </c>
      <c r="R536" s="692">
        <f t="shared" si="258"/>
        <v>0.21115654328617672</v>
      </c>
      <c r="S536" s="329">
        <f t="shared" si="259"/>
        <v>0.9904539409507257</v>
      </c>
      <c r="T536" s="330">
        <f t="shared" si="260"/>
        <v>0.75288164341764208</v>
      </c>
      <c r="U536" s="331">
        <f t="shared" si="261"/>
        <v>-6.4346727158182473</v>
      </c>
      <c r="V536" s="332">
        <f t="shared" si="262"/>
        <v>-145.52431936716667</v>
      </c>
      <c r="W536" s="334">
        <f t="shared" si="263"/>
        <v>34.475680632833331</v>
      </c>
      <c r="Y536" s="307">
        <f t="shared" si="264"/>
        <v>78981</v>
      </c>
      <c r="Z536" s="307">
        <f t="shared" si="265"/>
        <v>6237998361</v>
      </c>
      <c r="AB536" s="333">
        <f t="shared" si="266"/>
        <v>22.347905898599038</v>
      </c>
      <c r="AC536" s="334">
        <f t="shared" si="267"/>
        <v>-31.208616350946162</v>
      </c>
      <c r="AE536" s="333">
        <f t="shared" si="268"/>
        <v>28.149562102713972</v>
      </c>
      <c r="AF536" s="334">
        <f t="shared" si="269"/>
        <v>-126.87026729668517</v>
      </c>
      <c r="AH536">
        <f t="shared" si="270"/>
        <v>0</v>
      </c>
      <c r="AI536">
        <f t="shared" si="245"/>
        <v>0</v>
      </c>
    </row>
    <row r="537" spans="1:35" x14ac:dyDescent="0.25">
      <c r="A537" s="335">
        <v>79433</v>
      </c>
      <c r="B537" s="352">
        <f t="shared" si="271"/>
        <v>79.433000000000007</v>
      </c>
      <c r="C537" s="325">
        <f t="shared" si="246"/>
        <v>96.265086499874812</v>
      </c>
      <c r="D537" s="326">
        <f t="shared" si="247"/>
        <v>1.5604081578100431</v>
      </c>
      <c r="E537" s="326">
        <f t="shared" si="248"/>
        <v>1.0049695136058716</v>
      </c>
      <c r="F537" s="327">
        <f t="shared" si="249"/>
        <v>9.948889835802105E-2</v>
      </c>
      <c r="G537" s="326">
        <f t="shared" si="250"/>
        <v>1</v>
      </c>
      <c r="H537" s="327">
        <f t="shared" si="251"/>
        <v>0</v>
      </c>
      <c r="I537" s="325">
        <f t="shared" si="252"/>
        <v>105428.70773578815</v>
      </c>
      <c r="J537" s="328">
        <f t="shared" si="253"/>
        <v>1.5707868417123088</v>
      </c>
      <c r="K537" s="336">
        <f t="shared" si="273"/>
        <v>20.447322912878498</v>
      </c>
      <c r="L537" s="337">
        <f t="shared" si="274"/>
        <v>1.5218706523039396</v>
      </c>
      <c r="M537" s="325">
        <f t="shared" si="254"/>
        <v>1.1381833256478986</v>
      </c>
      <c r="N537" s="337">
        <f t="shared" si="255"/>
        <v>0.49788813627354583</v>
      </c>
      <c r="O537" s="343">
        <f t="shared" si="256"/>
        <v>1.1013884614664182</v>
      </c>
      <c r="P537" s="691">
        <f t="shared" si="257"/>
        <v>0.43244241778257553</v>
      </c>
      <c r="Q537" s="336">
        <f t="shared" si="272"/>
        <v>15.46146504401405</v>
      </c>
      <c r="R537" s="692">
        <f t="shared" si="258"/>
        <v>0.21233062898532667</v>
      </c>
      <c r="S537" s="329">
        <f t="shared" si="259"/>
        <v>0.99079428976666262</v>
      </c>
      <c r="T537" s="330">
        <f t="shared" si="260"/>
        <v>0.75793222157059537</v>
      </c>
      <c r="U537" s="331">
        <f t="shared" si="261"/>
        <v>-6.4915682549293452</v>
      </c>
      <c r="V537" s="332">
        <f t="shared" si="262"/>
        <v>-145.84892895751807</v>
      </c>
      <c r="W537" s="334">
        <f t="shared" si="263"/>
        <v>34.151071042481931</v>
      </c>
      <c r="Y537" s="307">
        <f t="shared" si="264"/>
        <v>79433</v>
      </c>
      <c r="Z537" s="307">
        <f t="shared" si="265"/>
        <v>6309601489</v>
      </c>
      <c r="AB537" s="333">
        <f t="shared" si="266"/>
        <v>22.33653146836502</v>
      </c>
      <c r="AC537" s="334">
        <f t="shared" si="267"/>
        <v>-31.329580116869927</v>
      </c>
      <c r="AE537" s="333">
        <f t="shared" si="268"/>
        <v>28.09750277460623</v>
      </c>
      <c r="AF537" s="334">
        <f t="shared" si="269"/>
        <v>-127.1308253742162</v>
      </c>
      <c r="AH537">
        <f t="shared" si="270"/>
        <v>0</v>
      </c>
      <c r="AI537">
        <f t="shared" si="245"/>
        <v>0</v>
      </c>
    </row>
    <row r="538" spans="1:35" x14ac:dyDescent="0.25">
      <c r="A538" s="335">
        <v>79895.5</v>
      </c>
      <c r="B538" s="352">
        <f t="shared" si="271"/>
        <v>79.895499999999998</v>
      </c>
      <c r="C538" s="325">
        <f t="shared" si="246"/>
        <v>96.825531302022043</v>
      </c>
      <c r="D538" s="326">
        <f t="shared" si="247"/>
        <v>1.5604682886748285</v>
      </c>
      <c r="E538" s="326">
        <f t="shared" si="248"/>
        <v>1.0050274070703509</v>
      </c>
      <c r="F538" s="327">
        <f t="shared" si="249"/>
        <v>0.10006432614801916</v>
      </c>
      <c r="G538" s="326">
        <f t="shared" si="250"/>
        <v>1</v>
      </c>
      <c r="H538" s="327">
        <f t="shared" si="251"/>
        <v>0</v>
      </c>
      <c r="I538" s="325">
        <f t="shared" si="252"/>
        <v>106042.56818828809</v>
      </c>
      <c r="J538" s="328">
        <f t="shared" si="253"/>
        <v>1.5707868966196652</v>
      </c>
      <c r="K538" s="336">
        <f t="shared" si="273"/>
        <v>20.566093865283769</v>
      </c>
      <c r="L538" s="337">
        <f t="shared" si="274"/>
        <v>1.5221534259727234</v>
      </c>
      <c r="M538" s="325">
        <f t="shared" si="254"/>
        <v>1.1396981864340379</v>
      </c>
      <c r="N538" s="337">
        <f t="shared" si="255"/>
        <v>0.50032796542603508</v>
      </c>
      <c r="O538" s="343">
        <f t="shared" si="256"/>
        <v>1.1025174904542527</v>
      </c>
      <c r="P538" s="691">
        <f t="shared" si="257"/>
        <v>0.43465567838987806</v>
      </c>
      <c r="Q538" s="336">
        <f t="shared" si="272"/>
        <v>15.465359457491745</v>
      </c>
      <c r="R538" s="692">
        <f t="shared" si="258"/>
        <v>0.21353140144785368</v>
      </c>
      <c r="S538" s="329">
        <f t="shared" si="259"/>
        <v>0.99115510207781599</v>
      </c>
      <c r="T538" s="330">
        <f t="shared" si="260"/>
        <v>0.76310950790255794</v>
      </c>
      <c r="U538" s="331">
        <f t="shared" si="261"/>
        <v>-6.5496129707965958</v>
      </c>
      <c r="V538" s="332">
        <f t="shared" si="262"/>
        <v>-146.1816232988887</v>
      </c>
      <c r="W538" s="334">
        <f t="shared" si="263"/>
        <v>33.818376701111305</v>
      </c>
      <c r="Y538" s="307">
        <f t="shared" si="264"/>
        <v>79895.5</v>
      </c>
      <c r="Z538" s="307">
        <f t="shared" si="265"/>
        <v>6383290920.25</v>
      </c>
      <c r="AB538" s="333">
        <f t="shared" si="266"/>
        <v>22.324858786577167</v>
      </c>
      <c r="AC538" s="334">
        <f t="shared" si="267"/>
        <v>-31.453173438362807</v>
      </c>
      <c r="AE538" s="333">
        <f t="shared" si="268"/>
        <v>28.044418944678977</v>
      </c>
      <c r="AF538" s="334">
        <f t="shared" si="269"/>
        <v>-127.39793769166289</v>
      </c>
      <c r="AH538">
        <f t="shared" si="270"/>
        <v>0</v>
      </c>
      <c r="AI538">
        <f t="shared" ref="AI538:AI601" si="275">IF(AH538&gt;0,W538,0)</f>
        <v>0</v>
      </c>
    </row>
    <row r="539" spans="1:35" x14ac:dyDescent="0.25">
      <c r="A539" s="335">
        <v>80358</v>
      </c>
      <c r="B539" s="352">
        <f t="shared" si="271"/>
        <v>80.358000000000004</v>
      </c>
      <c r="C539" s="325">
        <f t="shared" si="246"/>
        <v>97.385976450233869</v>
      </c>
      <c r="D539" s="326">
        <f t="shared" si="247"/>
        <v>1.5605277274473375</v>
      </c>
      <c r="E539" s="326">
        <f t="shared" si="248"/>
        <v>1.0050856332782314</v>
      </c>
      <c r="F539" s="327">
        <f t="shared" si="249"/>
        <v>0.10063968745761837</v>
      </c>
      <c r="G539" s="326">
        <f t="shared" si="250"/>
        <v>1</v>
      </c>
      <c r="H539" s="327">
        <f t="shared" si="251"/>
        <v>0</v>
      </c>
      <c r="I539" s="325">
        <f t="shared" si="252"/>
        <v>106656.42864078836</v>
      </c>
      <c r="J539" s="328">
        <f t="shared" si="253"/>
        <v>1.5707869508949837</v>
      </c>
      <c r="K539" s="336">
        <f t="shared" si="273"/>
        <v>20.684866443288314</v>
      </c>
      <c r="L539" s="337">
        <f t="shared" si="274"/>
        <v>1.5224329522887849</v>
      </c>
      <c r="M539" s="325">
        <f t="shared" si="254"/>
        <v>1.1412198135424263</v>
      </c>
      <c r="N539" s="337">
        <f t="shared" si="255"/>
        <v>0.50276130281748055</v>
      </c>
      <c r="O539" s="343">
        <f t="shared" si="256"/>
        <v>1.1036519090836454</v>
      </c>
      <c r="P539" s="691">
        <f t="shared" si="257"/>
        <v>0.4368643998779515</v>
      </c>
      <c r="Q539" s="336">
        <f t="shared" si="272"/>
        <v>15.469275492356941</v>
      </c>
      <c r="R539" s="692">
        <f t="shared" si="258"/>
        <v>0.21473157697946199</v>
      </c>
      <c r="S539" s="329">
        <f t="shared" si="259"/>
        <v>0.99152878895754937</v>
      </c>
      <c r="T539" s="330">
        <f t="shared" si="260"/>
        <v>0.76829621332286679</v>
      </c>
      <c r="U539" s="331">
        <f t="shared" si="261"/>
        <v>-6.607487866271228</v>
      </c>
      <c r="V539" s="332">
        <f t="shared" si="262"/>
        <v>-146.51486141298417</v>
      </c>
      <c r="W539" s="334">
        <f t="shared" si="263"/>
        <v>33.485138587015825</v>
      </c>
      <c r="Y539" s="307">
        <f t="shared" si="264"/>
        <v>80358</v>
      </c>
      <c r="Z539" s="307">
        <f t="shared" si="265"/>
        <v>6457408164</v>
      </c>
      <c r="AB539" s="333">
        <f t="shared" si="266"/>
        <v>22.313152012587928</v>
      </c>
      <c r="AC539" s="334">
        <f t="shared" si="267"/>
        <v>-31.576580832738525</v>
      </c>
      <c r="AE539" s="333">
        <f t="shared" si="268"/>
        <v>27.991517308164777</v>
      </c>
      <c r="AF539" s="334">
        <f t="shared" si="269"/>
        <v>-127.66555383819903</v>
      </c>
      <c r="AH539">
        <f t="shared" si="270"/>
        <v>0</v>
      </c>
      <c r="AI539">
        <f t="shared" si="275"/>
        <v>0</v>
      </c>
    </row>
    <row r="540" spans="1:35" x14ac:dyDescent="0.25">
      <c r="A540" s="335">
        <v>80820.5</v>
      </c>
      <c r="B540" s="352">
        <f t="shared" si="271"/>
        <v>80.820499999999996</v>
      </c>
      <c r="C540" s="325">
        <f t="shared" si="246"/>
        <v>97.946421938569785</v>
      </c>
      <c r="D540" s="326">
        <f t="shared" si="247"/>
        <v>1.5605864860075189</v>
      </c>
      <c r="E540" s="326">
        <f t="shared" si="248"/>
        <v>1.005144192171687</v>
      </c>
      <c r="F540" s="327">
        <f t="shared" si="249"/>
        <v>0.10121498191746928</v>
      </c>
      <c r="G540" s="326">
        <f t="shared" si="250"/>
        <v>1</v>
      </c>
      <c r="H540" s="327">
        <f t="shared" si="251"/>
        <v>0</v>
      </c>
      <c r="I540" s="325">
        <f t="shared" si="252"/>
        <v>107270.28909328893</v>
      </c>
      <c r="J540" s="328">
        <f t="shared" si="253"/>
        <v>1.5707870045491148</v>
      </c>
      <c r="K540" s="336">
        <f t="shared" si="273"/>
        <v>20.803640619049411</v>
      </c>
      <c r="L540" s="337">
        <f t="shared" si="274"/>
        <v>1.522709286828374</v>
      </c>
      <c r="M540" s="325">
        <f t="shared" si="254"/>
        <v>1.1427481799439612</v>
      </c>
      <c r="N540" s="337">
        <f t="shared" si="255"/>
        <v>0.50518814562160463</v>
      </c>
      <c r="O540" s="343">
        <f t="shared" si="256"/>
        <v>1.1047917007520742</v>
      </c>
      <c r="P540" s="691">
        <f t="shared" si="257"/>
        <v>0.43906857471230476</v>
      </c>
      <c r="Q540" s="336">
        <f t="shared" si="272"/>
        <v>15.47321313220912</v>
      </c>
      <c r="R540" s="692">
        <f t="shared" si="258"/>
        <v>0.215931152732208</v>
      </c>
      <c r="S540" s="329">
        <f t="shared" si="259"/>
        <v>0.99191552528747007</v>
      </c>
      <c r="T540" s="330">
        <f t="shared" si="260"/>
        <v>0.77349226330215259</v>
      </c>
      <c r="U540" s="331">
        <f t="shared" si="261"/>
        <v>-6.6651975868386408</v>
      </c>
      <c r="V540" s="332">
        <f t="shared" si="262"/>
        <v>-146.84863665434187</v>
      </c>
      <c r="W540" s="334">
        <f t="shared" si="263"/>
        <v>33.151363345658126</v>
      </c>
      <c r="Y540" s="307">
        <f t="shared" si="264"/>
        <v>80820.5</v>
      </c>
      <c r="Z540" s="307">
        <f t="shared" si="265"/>
        <v>6531953220.25</v>
      </c>
      <c r="AB540" s="333">
        <f t="shared" si="266"/>
        <v>22.3014114698939</v>
      </c>
      <c r="AC540" s="334">
        <f t="shared" si="267"/>
        <v>-31.699798954400464</v>
      </c>
      <c r="AE540" s="333">
        <f t="shared" si="268"/>
        <v>27.938793120502812</v>
      </c>
      <c r="AF540" s="334">
        <f t="shared" si="269"/>
        <v>-127.93367024543947</v>
      </c>
      <c r="AH540">
        <f t="shared" si="270"/>
        <v>0</v>
      </c>
      <c r="AI540">
        <f t="shared" si="275"/>
        <v>0</v>
      </c>
    </row>
    <row r="541" spans="1:35" x14ac:dyDescent="0.25">
      <c r="A541" s="335">
        <v>81283</v>
      </c>
      <c r="B541" s="352">
        <f t="shared" si="271"/>
        <v>81.283000000000001</v>
      </c>
      <c r="C541" s="325">
        <f t="shared" si="246"/>
        <v>98.506867761224512</v>
      </c>
      <c r="D541" s="326">
        <f t="shared" si="247"/>
        <v>1.5606445759649816</v>
      </c>
      <c r="E541" s="326">
        <f t="shared" si="248"/>
        <v>1.0052030836925756</v>
      </c>
      <c r="F541" s="327">
        <f t="shared" si="249"/>
        <v>0.10179020915848527</v>
      </c>
      <c r="G541" s="326">
        <f t="shared" si="250"/>
        <v>1</v>
      </c>
      <c r="H541" s="327">
        <f t="shared" si="251"/>
        <v>0</v>
      </c>
      <c r="I541" s="325">
        <f t="shared" si="252"/>
        <v>107884.14954578978</v>
      </c>
      <c r="J541" s="328">
        <f t="shared" si="253"/>
        <v>1.5707870575926624</v>
      </c>
      <c r="K541" s="336">
        <f t="shared" si="273"/>
        <v>20.922416365356217</v>
      </c>
      <c r="L541" s="337">
        <f t="shared" si="274"/>
        <v>1.5229824839076984</v>
      </c>
      <c r="M541" s="325">
        <f t="shared" si="254"/>
        <v>1.1442832586345533</v>
      </c>
      <c r="N541" s="337">
        <f t="shared" si="255"/>
        <v>0.50760849133319641</v>
      </c>
      <c r="O541" s="343">
        <f t="shared" si="256"/>
        <v>1.1059368488469852</v>
      </c>
      <c r="P541" s="691">
        <f t="shared" si="257"/>
        <v>0.4412681955661476</v>
      </c>
      <c r="Q541" s="336">
        <f t="shared" si="272"/>
        <v>15.47717236057402</v>
      </c>
      <c r="R541" s="692">
        <f t="shared" si="258"/>
        <v>0.21713012586773389</v>
      </c>
      <c r="S541" s="329">
        <f t="shared" si="259"/>
        <v>0.99231548625928978</v>
      </c>
      <c r="T541" s="330">
        <f t="shared" si="260"/>
        <v>0.77869758074930207</v>
      </c>
      <c r="U541" s="331">
        <f t="shared" si="261"/>
        <v>-6.7227467164972357</v>
      </c>
      <c r="V541" s="332">
        <f t="shared" si="262"/>
        <v>-147.18294229444359</v>
      </c>
      <c r="W541" s="334">
        <f t="shared" si="263"/>
        <v>32.817057705556408</v>
      </c>
      <c r="Y541" s="307">
        <f t="shared" si="264"/>
        <v>81283</v>
      </c>
      <c r="Z541" s="307">
        <f t="shared" si="265"/>
        <v>6606926089</v>
      </c>
      <c r="AB541" s="333">
        <f t="shared" si="266"/>
        <v>22.289637482007137</v>
      </c>
      <c r="AC541" s="334">
        <f t="shared" si="267"/>
        <v>-31.822824548328661</v>
      </c>
      <c r="AE541" s="333">
        <f t="shared" si="268"/>
        <v>27.886241698208117</v>
      </c>
      <c r="AF541" s="334">
        <f t="shared" si="269"/>
        <v>-128.20228318271739</v>
      </c>
      <c r="AH541">
        <f t="shared" si="270"/>
        <v>0</v>
      </c>
      <c r="AI541">
        <f t="shared" si="275"/>
        <v>0</v>
      </c>
    </row>
    <row r="542" spans="1:35" x14ac:dyDescent="0.25">
      <c r="A542" s="335">
        <v>81756.25</v>
      </c>
      <c r="B542" s="352">
        <f t="shared" si="271"/>
        <v>81.756249999999994</v>
      </c>
      <c r="C542" s="325">
        <f t="shared" si="246"/>
        <v>99.080340502606887</v>
      </c>
      <c r="D542" s="326">
        <f t="shared" si="247"/>
        <v>1.5607033358624207</v>
      </c>
      <c r="E542" s="326">
        <f t="shared" si="248"/>
        <v>1.0052636882967192</v>
      </c>
      <c r="F542" s="327">
        <f t="shared" si="249"/>
        <v>0.10237873658087908</v>
      </c>
      <c r="G542" s="326">
        <f t="shared" si="250"/>
        <v>1</v>
      </c>
      <c r="H542" s="327">
        <f t="shared" si="251"/>
        <v>0</v>
      </c>
      <c r="I542" s="325">
        <f t="shared" si="252"/>
        <v>108512.27810610586</v>
      </c>
      <c r="J542" s="328">
        <f t="shared" si="253"/>
        <v>1.5707871112478868</v>
      </c>
      <c r="K542" s="336">
        <f t="shared" si="273"/>
        <v>21.043954443211703</v>
      </c>
      <c r="L542" s="337">
        <f t="shared" si="274"/>
        <v>1.5232588386538557</v>
      </c>
      <c r="M542" s="325">
        <f t="shared" si="254"/>
        <v>1.1458609375160975</v>
      </c>
      <c r="N542" s="337">
        <f t="shared" si="255"/>
        <v>0.51007836608127155</v>
      </c>
      <c r="O542" s="343">
        <f t="shared" si="256"/>
        <v>1.1071141411829946</v>
      </c>
      <c r="P542" s="691">
        <f t="shared" si="257"/>
        <v>0.44351422133166568</v>
      </c>
      <c r="Q542" s="336">
        <f t="shared" si="272"/>
        <v>15.481245944009505</v>
      </c>
      <c r="R542" s="692">
        <f t="shared" si="258"/>
        <v>0.21835634028656387</v>
      </c>
      <c r="S542" s="329">
        <f t="shared" si="259"/>
        <v>0.9927386159632039</v>
      </c>
      <c r="T542" s="330">
        <f t="shared" si="260"/>
        <v>0.78403339662482496</v>
      </c>
      <c r="U542" s="331">
        <f t="shared" si="261"/>
        <v>-6.7814719596171695</v>
      </c>
      <c r="V542" s="332">
        <f t="shared" si="262"/>
        <v>-147.52556020799898</v>
      </c>
      <c r="W542" s="334">
        <f t="shared" si="263"/>
        <v>32.474439792001021</v>
      </c>
      <c r="Y542" s="307">
        <f t="shared" si="264"/>
        <v>81756.25</v>
      </c>
      <c r="Z542" s="307">
        <f t="shared" si="265"/>
        <v>6684084414.0625</v>
      </c>
      <c r="AB542" s="333">
        <f t="shared" si="266"/>
        <v>22.277555545587884</v>
      </c>
      <c r="AC542" s="334">
        <f t="shared" si="267"/>
        <v>-31.948507061077606</v>
      </c>
      <c r="AE542" s="333">
        <f t="shared" si="268"/>
        <v>27.832642823430049</v>
      </c>
      <c r="AF542" s="334">
        <f t="shared" si="269"/>
        <v>-128.47764946965543</v>
      </c>
      <c r="AH542">
        <f t="shared" si="270"/>
        <v>0</v>
      </c>
      <c r="AI542">
        <f t="shared" si="275"/>
        <v>0</v>
      </c>
    </row>
    <row r="543" spans="1:35" x14ac:dyDescent="0.25">
      <c r="A543" s="335">
        <v>82229.5</v>
      </c>
      <c r="B543" s="352">
        <f t="shared" si="271"/>
        <v>82.229500000000002</v>
      </c>
      <c r="C543" s="325">
        <f t="shared" si="246"/>
        <v>99.653813582149184</v>
      </c>
      <c r="D543" s="326">
        <f t="shared" si="247"/>
        <v>1.5607614194744628</v>
      </c>
      <c r="E543" s="326">
        <f t="shared" si="248"/>
        <v>1.0053246410464944</v>
      </c>
      <c r="F543" s="327">
        <f t="shared" si="249"/>
        <v>0.10296719284233491</v>
      </c>
      <c r="G543" s="326">
        <f t="shared" si="250"/>
        <v>1</v>
      </c>
      <c r="H543" s="327">
        <f t="shared" si="251"/>
        <v>0</v>
      </c>
      <c r="I543" s="325">
        <f t="shared" si="252"/>
        <v>109140.40666642223</v>
      </c>
      <c r="J543" s="328">
        <f t="shared" si="253"/>
        <v>1.5707871642855149</v>
      </c>
      <c r="K543" s="336">
        <f t="shared" si="273"/>
        <v>21.165494109777274</v>
      </c>
      <c r="L543" s="337">
        <f t="shared" si="274"/>
        <v>1.5235320195695468</v>
      </c>
      <c r="M543" s="325">
        <f t="shared" si="254"/>
        <v>1.1474455872248366</v>
      </c>
      <c r="N543" s="337">
        <f t="shared" si="255"/>
        <v>0.51254143390844886</v>
      </c>
      <c r="O543" s="343">
        <f t="shared" si="256"/>
        <v>1.1082970066203892</v>
      </c>
      <c r="P543" s="691">
        <f t="shared" si="257"/>
        <v>0.44575546409765976</v>
      </c>
      <c r="Q543" s="336">
        <f t="shared" si="272"/>
        <v>15.485342096061029</v>
      </c>
      <c r="R543" s="692">
        <f t="shared" si="258"/>
        <v>0.21958191776717015</v>
      </c>
      <c r="S543" s="329">
        <f t="shared" si="259"/>
        <v>0.99317596423656651</v>
      </c>
      <c r="T543" s="330">
        <f t="shared" si="260"/>
        <v>0.78937874424210241</v>
      </c>
      <c r="U543" s="331">
        <f t="shared" si="261"/>
        <v>-6.8400385773646306</v>
      </c>
      <c r="V543" s="332">
        <f t="shared" si="262"/>
        <v>-147.8687189347315</v>
      </c>
      <c r="W543" s="334">
        <f t="shared" si="263"/>
        <v>32.131281065268496</v>
      </c>
      <c r="Y543" s="307">
        <f t="shared" si="264"/>
        <v>82229.5</v>
      </c>
      <c r="Z543" s="307">
        <f t="shared" si="265"/>
        <v>6761690670.25</v>
      </c>
      <c r="AB543" s="333">
        <f t="shared" si="266"/>
        <v>22.265439276255417</v>
      </c>
      <c r="AC543" s="334">
        <f t="shared" si="267"/>
        <v>-32.073981377692299</v>
      </c>
      <c r="AE543" s="333">
        <f t="shared" si="268"/>
        <v>27.779215109154386</v>
      </c>
      <c r="AF543" s="334">
        <f t="shared" si="269"/>
        <v>-128.75352721409041</v>
      </c>
      <c r="AH543">
        <f t="shared" si="270"/>
        <v>0</v>
      </c>
      <c r="AI543">
        <f t="shared" si="275"/>
        <v>0</v>
      </c>
    </row>
    <row r="544" spans="1:35" x14ac:dyDescent="0.25">
      <c r="A544" s="335">
        <v>82702.75</v>
      </c>
      <c r="B544" s="352">
        <f t="shared" si="271"/>
        <v>82.702749999999995</v>
      </c>
      <c r="C544" s="325">
        <f t="shared" si="246"/>
        <v>100.22728699404684</v>
      </c>
      <c r="D544" s="326">
        <f t="shared" si="247"/>
        <v>1.5608188384092785</v>
      </c>
      <c r="E544" s="326">
        <f t="shared" si="248"/>
        <v>1.0053859418785807</v>
      </c>
      <c r="F544" s="327">
        <f t="shared" si="249"/>
        <v>0.10355557754829046</v>
      </c>
      <c r="G544" s="326">
        <f t="shared" si="250"/>
        <v>1</v>
      </c>
      <c r="H544" s="327">
        <f t="shared" si="251"/>
        <v>0</v>
      </c>
      <c r="I544" s="325">
        <f t="shared" si="252"/>
        <v>109768.53522673892</v>
      </c>
      <c r="J544" s="328">
        <f t="shared" si="253"/>
        <v>1.5707872167161483</v>
      </c>
      <c r="K544" s="336">
        <f t="shared" si="273"/>
        <v>21.287035337840397</v>
      </c>
      <c r="L544" s="337">
        <f t="shared" si="274"/>
        <v>1.5238020809778967</v>
      </c>
      <c r="M544" s="325">
        <f t="shared" si="254"/>
        <v>1.149037178920139</v>
      </c>
      <c r="N544" s="337">
        <f t="shared" si="255"/>
        <v>0.51499769315370014</v>
      </c>
      <c r="O544" s="343">
        <f t="shared" si="256"/>
        <v>1.1094854273340711</v>
      </c>
      <c r="P544" s="691">
        <f t="shared" si="257"/>
        <v>0.44799191668194294</v>
      </c>
      <c r="Q544" s="336">
        <f t="shared" si="272"/>
        <v>15.489460798841035</v>
      </c>
      <c r="R544" s="692">
        <f t="shared" si="258"/>
        <v>0.22080685530000554</v>
      </c>
      <c r="S544" s="329">
        <f t="shared" si="259"/>
        <v>0.9936277196240183</v>
      </c>
      <c r="T544" s="330">
        <f t="shared" si="260"/>
        <v>0.79473353264806557</v>
      </c>
      <c r="U544" s="331">
        <f t="shared" si="261"/>
        <v>-6.8984512870079007</v>
      </c>
      <c r="V544" s="332">
        <f t="shared" si="262"/>
        <v>-148.21241098314644</v>
      </c>
      <c r="W544" s="334">
        <f t="shared" si="263"/>
        <v>31.787589016853559</v>
      </c>
      <c r="Y544" s="307">
        <f t="shared" si="264"/>
        <v>82702.75</v>
      </c>
      <c r="Z544" s="307">
        <f t="shared" si="265"/>
        <v>6839744857.5625</v>
      </c>
      <c r="AB544" s="333">
        <f t="shared" si="266"/>
        <v>22.253289020243585</v>
      </c>
      <c r="AC544" s="334">
        <f t="shared" si="267"/>
        <v>-32.199244291124522</v>
      </c>
      <c r="AE544" s="333">
        <f t="shared" si="268"/>
        <v>27.725953730513595</v>
      </c>
      <c r="AF544" s="334">
        <f t="shared" si="269"/>
        <v>-129.02991189250127</v>
      </c>
      <c r="AH544">
        <f t="shared" si="270"/>
        <v>0</v>
      </c>
      <c r="AI544">
        <f t="shared" si="275"/>
        <v>0</v>
      </c>
    </row>
    <row r="545" spans="1:35" x14ac:dyDescent="0.25">
      <c r="A545" s="335">
        <v>83176</v>
      </c>
      <c r="B545" s="352">
        <f t="shared" si="271"/>
        <v>83.176000000000002</v>
      </c>
      <c r="C545" s="325">
        <f t="shared" si="246"/>
        <v>100.80076073262734</v>
      </c>
      <c r="D545" s="326">
        <f t="shared" si="247"/>
        <v>1.5608756040108926</v>
      </c>
      <c r="E545" s="326">
        <f t="shared" si="248"/>
        <v>1.0054475907293117</v>
      </c>
      <c r="F545" s="327">
        <f t="shared" si="249"/>
        <v>0.1041438903044776</v>
      </c>
      <c r="G545" s="326">
        <f t="shared" si="250"/>
        <v>1</v>
      </c>
      <c r="H545" s="327">
        <f t="shared" si="251"/>
        <v>0</v>
      </c>
      <c r="I545" s="325">
        <f t="shared" si="252"/>
        <v>110396.66378705591</v>
      </c>
      <c r="J545" s="328">
        <f t="shared" si="253"/>
        <v>1.5707872685501481</v>
      </c>
      <c r="K545" s="336">
        <f t="shared" si="273"/>
        <v>21.408578100806185</v>
      </c>
      <c r="L545" s="337">
        <f t="shared" si="274"/>
        <v>1.5240690759702415</v>
      </c>
      <c r="M545" s="325">
        <f t="shared" si="254"/>
        <v>1.1506356837949512</v>
      </c>
      <c r="N545" s="337">
        <f t="shared" si="255"/>
        <v>0.51744714249378632</v>
      </c>
      <c r="O545" s="343">
        <f t="shared" si="256"/>
        <v>1.1106793854916968</v>
      </c>
      <c r="P545" s="691">
        <f t="shared" si="257"/>
        <v>0.45022357212466779</v>
      </c>
      <c r="Q545" s="336">
        <f t="shared" si="272"/>
        <v>15.493602034382571</v>
      </c>
      <c r="R545" s="692">
        <f t="shared" si="258"/>
        <v>0.22203114988616307</v>
      </c>
      <c r="S545" s="329">
        <f t="shared" si="259"/>
        <v>0.99409407090256119</v>
      </c>
      <c r="T545" s="330">
        <f t="shared" si="260"/>
        <v>0.80009766806375082</v>
      </c>
      <c r="U545" s="331">
        <f t="shared" si="261"/>
        <v>-6.9567147423521289</v>
      </c>
      <c r="V545" s="332">
        <f t="shared" si="262"/>
        <v>-148.556628762473</v>
      </c>
      <c r="W545" s="334">
        <f t="shared" si="263"/>
        <v>31.443371237527003</v>
      </c>
      <c r="Y545" s="307">
        <f t="shared" si="264"/>
        <v>83176</v>
      </c>
      <c r="Z545" s="307">
        <f t="shared" si="265"/>
        <v>6918246976</v>
      </c>
      <c r="AB545" s="333">
        <f t="shared" si="266"/>
        <v>22.241105123530712</v>
      </c>
      <c r="AC545" s="334">
        <f t="shared" si="267"/>
        <v>-32.324292684242401</v>
      </c>
      <c r="AE545" s="333">
        <f t="shared" si="268"/>
        <v>27.672853925864011</v>
      </c>
      <c r="AF545" s="334">
        <f t="shared" si="269"/>
        <v>-129.30679880430384</v>
      </c>
      <c r="AH545">
        <f t="shared" si="270"/>
        <v>0</v>
      </c>
      <c r="AI545">
        <f t="shared" si="275"/>
        <v>0</v>
      </c>
    </row>
    <row r="546" spans="1:35" x14ac:dyDescent="0.25">
      <c r="A546" s="335">
        <v>83660.5</v>
      </c>
      <c r="B546" s="352">
        <f t="shared" si="271"/>
        <v>83.660499999999999</v>
      </c>
      <c r="C546" s="325">
        <f t="shared" si="246"/>
        <v>101.3878673015912</v>
      </c>
      <c r="D546" s="326">
        <f t="shared" si="247"/>
        <v>1.5609330537936501</v>
      </c>
      <c r="E546" s="326">
        <f t="shared" si="248"/>
        <v>1.0055110655433024</v>
      </c>
      <c r="F546" s="327">
        <f t="shared" si="249"/>
        <v>0.10474611336141046</v>
      </c>
      <c r="G546" s="326">
        <f t="shared" si="250"/>
        <v>1</v>
      </c>
      <c r="H546" s="327">
        <f t="shared" si="251"/>
        <v>0</v>
      </c>
      <c r="I546" s="325">
        <f t="shared" si="252"/>
        <v>111039.72408810972</v>
      </c>
      <c r="J546" s="328">
        <f t="shared" si="253"/>
        <v>1.5707873210088301</v>
      </c>
      <c r="K546" s="336">
        <f t="shared" si="273"/>
        <v>21.533011715836178</v>
      </c>
      <c r="L546" s="337">
        <f t="shared" si="274"/>
        <v>1.5243392954660291</v>
      </c>
      <c r="M546" s="325">
        <f t="shared" si="254"/>
        <v>1.1522793195920567</v>
      </c>
      <c r="N546" s="337">
        <f t="shared" si="255"/>
        <v>0.51994776394576236</v>
      </c>
      <c r="O546" s="343">
        <f t="shared" si="256"/>
        <v>1.1119074440076084</v>
      </c>
      <c r="P546" s="691">
        <f t="shared" si="257"/>
        <v>0.45250330142673301</v>
      </c>
      <c r="Q546" s="336">
        <f t="shared" si="272"/>
        <v>15.497865038260182</v>
      </c>
      <c r="R546" s="692">
        <f t="shared" si="258"/>
        <v>0.22328387897268187</v>
      </c>
      <c r="S546" s="329">
        <f t="shared" si="259"/>
        <v>0.99458682598275627</v>
      </c>
      <c r="T546" s="330">
        <f t="shared" si="260"/>
        <v>0.80559890063863349</v>
      </c>
      <c r="U546" s="331">
        <f t="shared" si="261"/>
        <v>-7.0162133993755171</v>
      </c>
      <c r="V546" s="332">
        <f t="shared" si="262"/>
        <v>-148.90956580859367</v>
      </c>
      <c r="W546" s="334">
        <f t="shared" si="263"/>
        <v>31.090434191406331</v>
      </c>
      <c r="Y546" s="307">
        <f t="shared" si="264"/>
        <v>83660.5</v>
      </c>
      <c r="Z546" s="307">
        <f t="shared" si="265"/>
        <v>6999079260.25</v>
      </c>
      <c r="AB546" s="333">
        <f t="shared" si="266"/>
        <v>22.228597104936213</v>
      </c>
      <c r="AC546" s="334">
        <f t="shared" si="267"/>
        <v>-32.452088308756821</v>
      </c>
      <c r="AE546" s="333">
        <f t="shared" si="268"/>
        <v>27.618654318424198</v>
      </c>
      <c r="AF546" s="334">
        <f t="shared" si="269"/>
        <v>-129.59078300388725</v>
      </c>
      <c r="AH546">
        <f t="shared" si="270"/>
        <v>0</v>
      </c>
      <c r="AI546">
        <f t="shared" si="275"/>
        <v>0</v>
      </c>
    </row>
    <row r="547" spans="1:35" x14ac:dyDescent="0.25">
      <c r="A547" s="335">
        <v>84145</v>
      </c>
      <c r="B547" s="352">
        <f t="shared" si="271"/>
        <v>84.144999999999996</v>
      </c>
      <c r="C547" s="325">
        <f t="shared" si="246"/>
        <v>101.97497420133028</v>
      </c>
      <c r="D547" s="326">
        <f t="shared" si="247"/>
        <v>1.5609898420581354</v>
      </c>
      <c r="E547" s="326">
        <f t="shared" si="248"/>
        <v>1.0055749049825005</v>
      </c>
      <c r="F547" s="327">
        <f t="shared" si="249"/>
        <v>0.1053482601718224</v>
      </c>
      <c r="G547" s="326">
        <f t="shared" si="250"/>
        <v>1</v>
      </c>
      <c r="H547" s="327">
        <f t="shared" si="251"/>
        <v>0</v>
      </c>
      <c r="I547" s="325">
        <f t="shared" si="252"/>
        <v>111682.78438916385</v>
      </c>
      <c r="J547" s="328">
        <f t="shared" si="253"/>
        <v>1.5707873728634068</v>
      </c>
      <c r="K547" s="336">
        <f t="shared" si="273"/>
        <v>21.657446885108428</v>
      </c>
      <c r="L547" s="337">
        <f t="shared" si="274"/>
        <v>1.5246064098313097</v>
      </c>
      <c r="M547" s="325">
        <f t="shared" si="254"/>
        <v>1.1539301401632904</v>
      </c>
      <c r="N547" s="337">
        <f t="shared" si="255"/>
        <v>0.52244124613940846</v>
      </c>
      <c r="O547" s="343">
        <f t="shared" si="256"/>
        <v>1.1131412685225439</v>
      </c>
      <c r="P547" s="691">
        <f t="shared" si="257"/>
        <v>0.454777988748294</v>
      </c>
      <c r="Q547" s="336">
        <f t="shared" si="272"/>
        <v>15.502151620557056</v>
      </c>
      <c r="R547" s="692">
        <f t="shared" si="258"/>
        <v>0.22453592785443233</v>
      </c>
      <c r="S547" s="329">
        <f t="shared" si="259"/>
        <v>0.99509528018893723</v>
      </c>
      <c r="T547" s="330">
        <f t="shared" si="260"/>
        <v>0.81110972189742403</v>
      </c>
      <c r="U547" s="331">
        <f t="shared" si="261"/>
        <v>-7.0755652929940744</v>
      </c>
      <c r="V547" s="332">
        <f t="shared" si="262"/>
        <v>-149.2630374504628</v>
      </c>
      <c r="W547" s="334">
        <f t="shared" si="263"/>
        <v>30.736962549537196</v>
      </c>
      <c r="Y547" s="307">
        <f t="shared" si="264"/>
        <v>84145</v>
      </c>
      <c r="Z547" s="307">
        <f t="shared" si="265"/>
        <v>7080381025</v>
      </c>
      <c r="AB547" s="333">
        <f t="shared" si="266"/>
        <v>22.21605456000697</v>
      </c>
      <c r="AC547" s="334">
        <f t="shared" si="267"/>
        <v>-32.57965276016003</v>
      </c>
      <c r="AE547" s="333">
        <f t="shared" si="268"/>
        <v>27.564614157462902</v>
      </c>
      <c r="AF547" s="334">
        <f t="shared" si="269"/>
        <v>-129.87528306098903</v>
      </c>
      <c r="AH547">
        <f t="shared" si="270"/>
        <v>0</v>
      </c>
      <c r="AI547">
        <f t="shared" si="275"/>
        <v>0</v>
      </c>
    </row>
    <row r="548" spans="1:35" x14ac:dyDescent="0.25">
      <c r="A548" s="335">
        <v>84629.5</v>
      </c>
      <c r="B548" s="352">
        <f t="shared" si="271"/>
        <v>84.629499999999993</v>
      </c>
      <c r="C548" s="325">
        <f t="shared" si="246"/>
        <v>102.56208142616413</v>
      </c>
      <c r="D548" s="326">
        <f t="shared" si="247"/>
        <v>1.5610459801643806</v>
      </c>
      <c r="E548" s="326">
        <f t="shared" si="248"/>
        <v>1.005639108977465</v>
      </c>
      <c r="F548" s="327">
        <f t="shared" si="249"/>
        <v>0.10595033031362222</v>
      </c>
      <c r="G548" s="326">
        <f t="shared" si="250"/>
        <v>1</v>
      </c>
      <c r="H548" s="327">
        <f t="shared" si="251"/>
        <v>0</v>
      </c>
      <c r="I548" s="325">
        <f t="shared" si="252"/>
        <v>112325.84469021828</v>
      </c>
      <c r="J548" s="328">
        <f t="shared" si="253"/>
        <v>1.5707874241242532</v>
      </c>
      <c r="K548" s="336">
        <f t="shared" si="273"/>
        <v>21.781883581985799</v>
      </c>
      <c r="L548" s="337">
        <f t="shared" si="274"/>
        <v>1.5248704722450974</v>
      </c>
      <c r="M548" s="325">
        <f t="shared" si="254"/>
        <v>1.1555881147171292</v>
      </c>
      <c r="N548" s="337">
        <f t="shared" si="255"/>
        <v>0.52492758873145495</v>
      </c>
      <c r="O548" s="343">
        <f t="shared" si="256"/>
        <v>1.1143808398844395</v>
      </c>
      <c r="P548" s="691">
        <f t="shared" si="257"/>
        <v>0.45704762733632304</v>
      </c>
      <c r="Q548" s="336">
        <f t="shared" si="272"/>
        <v>15.506461761738006</v>
      </c>
      <c r="R548" s="692">
        <f t="shared" si="258"/>
        <v>0.22578729334838363</v>
      </c>
      <c r="S548" s="329">
        <f t="shared" si="259"/>
        <v>0.99561963665424358</v>
      </c>
      <c r="T548" s="330">
        <f t="shared" si="260"/>
        <v>0.81663002200186685</v>
      </c>
      <c r="U548" s="331">
        <f t="shared" si="261"/>
        <v>-7.1347752157663811</v>
      </c>
      <c r="V548" s="332">
        <f t="shared" si="262"/>
        <v>-149.61703520841675</v>
      </c>
      <c r="W548" s="334">
        <f t="shared" si="263"/>
        <v>30.382964791583248</v>
      </c>
      <c r="Y548" s="307">
        <f t="shared" si="264"/>
        <v>84629.5</v>
      </c>
      <c r="Z548" s="307">
        <f t="shared" si="265"/>
        <v>7162152270.25</v>
      </c>
      <c r="AB548" s="333">
        <f t="shared" si="266"/>
        <v>22.203477858748847</v>
      </c>
      <c r="AC548" s="334">
        <f t="shared" si="267"/>
        <v>-32.706982972445502</v>
      </c>
      <c r="AE548" s="333">
        <f t="shared" si="268"/>
        <v>27.510728534236826</v>
      </c>
      <c r="AF548" s="334">
        <f t="shared" si="269"/>
        <v>-130.16029335740663</v>
      </c>
      <c r="AH548">
        <f t="shared" si="270"/>
        <v>0</v>
      </c>
      <c r="AI548">
        <f t="shared" si="275"/>
        <v>0</v>
      </c>
    </row>
    <row r="549" spans="1:35" x14ac:dyDescent="0.25">
      <c r="A549" s="335">
        <v>85114</v>
      </c>
      <c r="B549" s="352">
        <f t="shared" si="271"/>
        <v>85.114000000000004</v>
      </c>
      <c r="C549" s="325">
        <f t="shared" si="246"/>
        <v>103.14918897054159</v>
      </c>
      <c r="D549" s="326">
        <f t="shared" si="247"/>
        <v>1.5611014792137976</v>
      </c>
      <c r="E549" s="326">
        <f t="shared" si="248"/>
        <v>1.0057036774583767</v>
      </c>
      <c r="F549" s="327">
        <f t="shared" si="249"/>
        <v>0.10655232336504848</v>
      </c>
      <c r="G549" s="326">
        <f t="shared" si="250"/>
        <v>1</v>
      </c>
      <c r="H549" s="327">
        <f t="shared" si="251"/>
        <v>0</v>
      </c>
      <c r="I549" s="325">
        <f t="shared" si="252"/>
        <v>112968.90499127298</v>
      </c>
      <c r="J549" s="328">
        <f t="shared" si="253"/>
        <v>1.5707874748015087</v>
      </c>
      <c r="K549" s="336">
        <f t="shared" si="273"/>
        <v>21.906321780436059</v>
      </c>
      <c r="L549" s="337">
        <f t="shared" si="274"/>
        <v>1.5251315346798038</v>
      </c>
      <c r="M549" s="325">
        <f t="shared" si="254"/>
        <v>1.1572532125054515</v>
      </c>
      <c r="N549" s="337">
        <f t="shared" si="255"/>
        <v>0.52740679173368321</v>
      </c>
      <c r="O549" s="343">
        <f t="shared" si="256"/>
        <v>1.1156261389373434</v>
      </c>
      <c r="P549" s="691">
        <f t="shared" si="257"/>
        <v>0.45931221067579303</v>
      </c>
      <c r="Q549" s="336">
        <f t="shared" si="272"/>
        <v>15.510795442182257</v>
      </c>
      <c r="R549" s="692">
        <f t="shared" si="258"/>
        <v>0.22703797228333411</v>
      </c>
      <c r="S549" s="329">
        <f t="shared" si="259"/>
        <v>0.99616009864016919</v>
      </c>
      <c r="T549" s="330">
        <f t="shared" si="260"/>
        <v>0.82215968800947226</v>
      </c>
      <c r="U549" s="331">
        <f t="shared" si="261"/>
        <v>-7.1938478941898829</v>
      </c>
      <c r="V549" s="332">
        <f t="shared" si="262"/>
        <v>-149.97155048660017</v>
      </c>
      <c r="W549" s="334">
        <f t="shared" si="263"/>
        <v>30.028449513399835</v>
      </c>
      <c r="Y549" s="307">
        <f t="shared" si="264"/>
        <v>85114</v>
      </c>
      <c r="Z549" s="307">
        <f t="shared" si="265"/>
        <v>7244392996</v>
      </c>
      <c r="AB549" s="333">
        <f t="shared" si="266"/>
        <v>22.190867370621334</v>
      </c>
      <c r="AC549" s="334">
        <f t="shared" si="267"/>
        <v>-32.834075969069339</v>
      </c>
      <c r="AE549" s="333">
        <f t="shared" si="268"/>
        <v>27.456992606001979</v>
      </c>
      <c r="AF549" s="334">
        <f t="shared" si="269"/>
        <v>-130.44580808224129</v>
      </c>
      <c r="AH549">
        <f t="shared" si="270"/>
        <v>0</v>
      </c>
      <c r="AI549">
        <f t="shared" si="275"/>
        <v>0</v>
      </c>
    </row>
    <row r="550" spans="1:35" x14ac:dyDescent="0.25">
      <c r="A550" s="335">
        <v>85609.5</v>
      </c>
      <c r="B550" s="352">
        <f t="shared" si="271"/>
        <v>85.609499999999997</v>
      </c>
      <c r="C550" s="325">
        <f t="shared" si="246"/>
        <v>103.74962642282478</v>
      </c>
      <c r="D550" s="326">
        <f t="shared" si="247"/>
        <v>1.5611575886243649</v>
      </c>
      <c r="E550" s="326">
        <f t="shared" si="248"/>
        <v>1.0057700888099139</v>
      </c>
      <c r="F550" s="327">
        <f t="shared" si="249"/>
        <v>0.10716790378257558</v>
      </c>
      <c r="G550" s="326">
        <f t="shared" si="250"/>
        <v>1</v>
      </c>
      <c r="H550" s="327">
        <f t="shared" si="251"/>
        <v>0</v>
      </c>
      <c r="I550" s="325">
        <f t="shared" si="252"/>
        <v>113626.56521660375</v>
      </c>
      <c r="J550" s="328">
        <f t="shared" si="253"/>
        <v>1.5707875260360415</v>
      </c>
      <c r="K550" s="336">
        <f t="shared" si="273"/>
        <v>22.033586727725964</v>
      </c>
      <c r="L550" s="337">
        <f t="shared" si="274"/>
        <v>1.5253954742436635</v>
      </c>
      <c r="M550" s="325">
        <f t="shared" si="254"/>
        <v>1.1589634500320993</v>
      </c>
      <c r="N550" s="337">
        <f t="shared" si="255"/>
        <v>0.529934897916854</v>
      </c>
      <c r="O550" s="343">
        <f t="shared" si="256"/>
        <v>1.1169056152954395</v>
      </c>
      <c r="P550" s="691">
        <f t="shared" si="257"/>
        <v>0.46162297345062342</v>
      </c>
      <c r="Q550" s="336">
        <f t="shared" si="272"/>
        <v>15.515251840160163</v>
      </c>
      <c r="R550" s="692">
        <f t="shared" si="258"/>
        <v>0.22831633299604132</v>
      </c>
      <c r="S550" s="329">
        <f t="shared" si="259"/>
        <v>0.99672970126056215</v>
      </c>
      <c r="T550" s="330">
        <f t="shared" si="260"/>
        <v>0.82782446487760619</v>
      </c>
      <c r="U550" s="331">
        <f t="shared" si="261"/>
        <v>-7.2541246515950615</v>
      </c>
      <c r="V550" s="332">
        <f t="shared" si="262"/>
        <v>-150.3346408119869</v>
      </c>
      <c r="W550" s="334">
        <f t="shared" si="263"/>
        <v>29.665359188013099</v>
      </c>
      <c r="Y550" s="307">
        <f t="shared" si="264"/>
        <v>85609.5</v>
      </c>
      <c r="Z550" s="307">
        <f t="shared" si="265"/>
        <v>7328986490.25</v>
      </c>
      <c r="AB550" s="333">
        <f t="shared" si="266"/>
        <v>22.177936014439762</v>
      </c>
      <c r="AC550" s="334">
        <f t="shared" si="267"/>
        <v>-32.963806096141006</v>
      </c>
      <c r="AE550" s="333">
        <f t="shared" si="268"/>
        <v>27.402186520097381</v>
      </c>
      <c r="AF550" s="334">
        <f t="shared" si="269"/>
        <v>-130.73832056154421</v>
      </c>
      <c r="AH550">
        <f t="shared" si="270"/>
        <v>0</v>
      </c>
      <c r="AI550">
        <f t="shared" si="275"/>
        <v>0</v>
      </c>
    </row>
    <row r="551" spans="1:35" x14ac:dyDescent="0.25">
      <c r="A551" s="335">
        <v>86105</v>
      </c>
      <c r="B551" s="352">
        <f t="shared" si="271"/>
        <v>86.105000000000004</v>
      </c>
      <c r="C551" s="325">
        <f t="shared" si="246"/>
        <v>104.35006419798044</v>
      </c>
      <c r="D551" s="326">
        <f t="shared" si="247"/>
        <v>1.5612130523199366</v>
      </c>
      <c r="E551" s="326">
        <f t="shared" si="248"/>
        <v>1.0058368812368019</v>
      </c>
      <c r="F551" s="327">
        <f t="shared" si="249"/>
        <v>0.10778340267828797</v>
      </c>
      <c r="G551" s="326">
        <f t="shared" si="250"/>
        <v>1</v>
      </c>
      <c r="H551" s="327">
        <f t="shared" si="251"/>
        <v>0</v>
      </c>
      <c r="I551" s="325">
        <f t="shared" si="252"/>
        <v>114284.22544193479</v>
      </c>
      <c r="J551" s="328">
        <f t="shared" si="253"/>
        <v>1.5707875766809054</v>
      </c>
      <c r="K551" s="336">
        <f t="shared" si="273"/>
        <v>22.160853192335885</v>
      </c>
      <c r="L551" s="337">
        <f t="shared" si="274"/>
        <v>1.525656382294666</v>
      </c>
      <c r="M551" s="325">
        <f t="shared" si="254"/>
        <v>1.160681073009465</v>
      </c>
      <c r="N551" s="337">
        <f t="shared" si="255"/>
        <v>0.53245553778225874</v>
      </c>
      <c r="O551" s="343">
        <f t="shared" si="256"/>
        <v>1.1181910418435457</v>
      </c>
      <c r="P551" s="691">
        <f t="shared" si="257"/>
        <v>0.46392843579605691</v>
      </c>
      <c r="Q551" s="336">
        <f t="shared" si="272"/>
        <v>15.51973281661555</v>
      </c>
      <c r="R551" s="692">
        <f t="shared" si="258"/>
        <v>0.22959396894987613</v>
      </c>
      <c r="S551" s="329">
        <f t="shared" si="259"/>
        <v>0.99731657930430639</v>
      </c>
      <c r="T551" s="330">
        <f t="shared" si="260"/>
        <v>0.83349878889809692</v>
      </c>
      <c r="U551" s="331">
        <f t="shared" si="261"/>
        <v>-7.3142676532702104</v>
      </c>
      <c r="V551" s="332">
        <f t="shared" si="262"/>
        <v>-150.69825386024226</v>
      </c>
      <c r="W551" s="334">
        <f t="shared" si="263"/>
        <v>29.301746139757739</v>
      </c>
      <c r="Y551" s="307">
        <f t="shared" si="264"/>
        <v>86105</v>
      </c>
      <c r="Z551" s="307">
        <f t="shared" si="265"/>
        <v>7414071025</v>
      </c>
      <c r="AB551" s="333">
        <f t="shared" si="266"/>
        <v>22.16497009940624</v>
      </c>
      <c r="AC551" s="334">
        <f t="shared" si="267"/>
        <v>-33.093282093822594</v>
      </c>
      <c r="AE551" s="333">
        <f t="shared" si="268"/>
        <v>27.347526966403084</v>
      </c>
      <c r="AF551" s="334">
        <f t="shared" si="269"/>
        <v>-131.03134772649602</v>
      </c>
      <c r="AH551">
        <f t="shared" si="270"/>
        <v>0</v>
      </c>
      <c r="AI551">
        <f t="shared" si="275"/>
        <v>0</v>
      </c>
    </row>
    <row r="552" spans="1:35" x14ac:dyDescent="0.25">
      <c r="A552" s="335">
        <v>86600.5</v>
      </c>
      <c r="B552" s="352">
        <f t="shared" si="271"/>
        <v>86.600499999999997</v>
      </c>
      <c r="C552" s="325">
        <f t="shared" si="246"/>
        <v>104.95050229046703</v>
      </c>
      <c r="D552" s="326">
        <f t="shared" si="247"/>
        <v>1.5612678813828751</v>
      </c>
      <c r="E552" s="326">
        <f t="shared" si="248"/>
        <v>1.0059040546631302</v>
      </c>
      <c r="F552" s="327">
        <f t="shared" si="249"/>
        <v>0.10839881960212165</v>
      </c>
      <c r="G552" s="326">
        <f t="shared" si="250"/>
        <v>1</v>
      </c>
      <c r="H552" s="327">
        <f t="shared" si="251"/>
        <v>0</v>
      </c>
      <c r="I552" s="325">
        <f t="shared" si="252"/>
        <v>114941.88566726613</v>
      </c>
      <c r="J552" s="328">
        <f t="shared" si="253"/>
        <v>1.5707876267462224</v>
      </c>
      <c r="K552" s="336">
        <f t="shared" si="273"/>
        <v>22.28812114827387</v>
      </c>
      <c r="L552" s="337">
        <f t="shared" si="274"/>
        <v>1.5259143107279336</v>
      </c>
      <c r="M552" s="325">
        <f t="shared" si="254"/>
        <v>1.1624060486983356</v>
      </c>
      <c r="N552" s="337">
        <f t="shared" si="255"/>
        <v>0.53496871246822408</v>
      </c>
      <c r="O552" s="343">
        <f t="shared" si="256"/>
        <v>1.1194823980850497</v>
      </c>
      <c r="P552" s="691">
        <f t="shared" si="257"/>
        <v>0.46622859150496537</v>
      </c>
      <c r="Q552" s="336">
        <f t="shared" si="272"/>
        <v>15.524238350285639</v>
      </c>
      <c r="R552" s="692">
        <f t="shared" si="258"/>
        <v>0.23087087679131452</v>
      </c>
      <c r="S552" s="329">
        <f t="shared" si="259"/>
        <v>0.9979209503930756</v>
      </c>
      <c r="T552" s="330">
        <f t="shared" si="260"/>
        <v>0.83918252921365599</v>
      </c>
      <c r="U552" s="331">
        <f t="shared" si="261"/>
        <v>-7.3742817457529455</v>
      </c>
      <c r="V552" s="332">
        <f t="shared" si="262"/>
        <v>-151.06238005048451</v>
      </c>
      <c r="W552" s="334">
        <f t="shared" si="263"/>
        <v>28.937619949515494</v>
      </c>
      <c r="Y552" s="307">
        <f t="shared" si="264"/>
        <v>86600.5</v>
      </c>
      <c r="Z552" s="307">
        <f t="shared" si="265"/>
        <v>7499646600.25</v>
      </c>
      <c r="AB552" s="333">
        <f t="shared" si="266"/>
        <v>22.151970018554685</v>
      </c>
      <c r="AC552" s="334">
        <f t="shared" si="267"/>
        <v>-33.222501054543869</v>
      </c>
      <c r="AE552" s="333">
        <f t="shared" si="268"/>
        <v>27.293008974125826</v>
      </c>
      <c r="AF552" s="334">
        <f t="shared" si="269"/>
        <v>-131.3248827402858</v>
      </c>
      <c r="AH552">
        <f t="shared" si="270"/>
        <v>0</v>
      </c>
      <c r="AI552">
        <f t="shared" si="275"/>
        <v>0</v>
      </c>
    </row>
    <row r="553" spans="1:35" x14ac:dyDescent="0.25">
      <c r="A553" s="335">
        <v>87096</v>
      </c>
      <c r="B553" s="352">
        <f t="shared" si="271"/>
        <v>87.096000000000004</v>
      </c>
      <c r="C553" s="325">
        <f t="shared" si="246"/>
        <v>105.55094069486897</v>
      </c>
      <c r="D553" s="326">
        <f t="shared" si="247"/>
        <v>1.5613220866433857</v>
      </c>
      <c r="E553" s="326">
        <f t="shared" si="248"/>
        <v>1.0059716090125754</v>
      </c>
      <c r="F553" s="327">
        <f t="shared" si="249"/>
        <v>0.10901415410438096</v>
      </c>
      <c r="G553" s="326">
        <f t="shared" si="250"/>
        <v>1</v>
      </c>
      <c r="H553" s="327">
        <f t="shared" si="251"/>
        <v>0</v>
      </c>
      <c r="I553" s="325">
        <f t="shared" si="252"/>
        <v>115599.54589259777</v>
      </c>
      <c r="J553" s="328">
        <f t="shared" si="253"/>
        <v>1.5707876762418838</v>
      </c>
      <c r="K553" s="336">
        <f t="shared" si="273"/>
        <v>22.415390570137955</v>
      </c>
      <c r="L553" s="337">
        <f t="shared" si="274"/>
        <v>1.5261693102615999</v>
      </c>
      <c r="M553" s="325">
        <f t="shared" si="254"/>
        <v>1.1641383444138114</v>
      </c>
      <c r="N553" s="337">
        <f t="shared" si="255"/>
        <v>0.53747442348354479</v>
      </c>
      <c r="O553" s="343">
        <f t="shared" si="256"/>
        <v>1.1207796635234699</v>
      </c>
      <c r="P553" s="691">
        <f t="shared" si="257"/>
        <v>0.46852343462336793</v>
      </c>
      <c r="Q553" s="336">
        <f t="shared" si="272"/>
        <v>15.528768419815881</v>
      </c>
      <c r="R553" s="692">
        <f t="shared" si="258"/>
        <v>0.23214705317992188</v>
      </c>
      <c r="S553" s="329">
        <f t="shared" si="259"/>
        <v>0.99854303214084539</v>
      </c>
      <c r="T553" s="330">
        <f t="shared" si="260"/>
        <v>0.84487555159563943</v>
      </c>
      <c r="U553" s="331">
        <f t="shared" si="261"/>
        <v>-7.4341717066382493</v>
      </c>
      <c r="V553" s="332">
        <f t="shared" si="262"/>
        <v>-151.42700966909405</v>
      </c>
      <c r="W553" s="334">
        <f t="shared" si="263"/>
        <v>28.572990330905952</v>
      </c>
      <c r="Y553" s="307">
        <f t="shared" si="264"/>
        <v>87096</v>
      </c>
      <c r="Z553" s="307">
        <f t="shared" si="265"/>
        <v>7585713216</v>
      </c>
      <c r="AB553" s="333">
        <f t="shared" si="266"/>
        <v>22.13893616406418</v>
      </c>
      <c r="AC553" s="334">
        <f t="shared" si="267"/>
        <v>-33.351460159384182</v>
      </c>
      <c r="AE553" s="333">
        <f t="shared" si="268"/>
        <v>27.238627641536567</v>
      </c>
      <c r="AF553" s="334">
        <f t="shared" si="269"/>
        <v>-131.61891855846935</v>
      </c>
      <c r="AH553">
        <f t="shared" si="270"/>
        <v>0</v>
      </c>
      <c r="AI553">
        <f t="shared" si="275"/>
        <v>0</v>
      </c>
    </row>
    <row r="554" spans="1:35" x14ac:dyDescent="0.25">
      <c r="A554" s="335">
        <v>87603.25</v>
      </c>
      <c r="B554" s="352">
        <f t="shared" si="271"/>
        <v>87.603250000000003</v>
      </c>
      <c r="C554" s="325">
        <f t="shared" si="246"/>
        <v>106.16561786538384</v>
      </c>
      <c r="D554" s="326">
        <f t="shared" si="247"/>
        <v>1.5613769421793535</v>
      </c>
      <c r="E554" s="326">
        <f t="shared" si="248"/>
        <v>1.0060411598063213</v>
      </c>
      <c r="F554" s="327">
        <f t="shared" si="249"/>
        <v>0.10964399444701148</v>
      </c>
      <c r="G554" s="326">
        <f t="shared" si="250"/>
        <v>1</v>
      </c>
      <c r="H554" s="327">
        <f t="shared" si="251"/>
        <v>0</v>
      </c>
      <c r="I554" s="325">
        <f t="shared" si="252"/>
        <v>116272.8014915879</v>
      </c>
      <c r="J554" s="328">
        <f t="shared" si="253"/>
        <v>1.5707877263312697</v>
      </c>
      <c r="K554" s="336">
        <f t="shared" si="273"/>
        <v>22.54567947791892</v>
      </c>
      <c r="L554" s="337">
        <f t="shared" si="274"/>
        <v>1.5264273745526618</v>
      </c>
      <c r="M554" s="325">
        <f t="shared" si="254"/>
        <v>1.1659192671800216</v>
      </c>
      <c r="N554" s="337">
        <f t="shared" si="255"/>
        <v>0.54003182418518436</v>
      </c>
      <c r="O554" s="343">
        <f t="shared" si="256"/>
        <v>1.1221137912145269</v>
      </c>
      <c r="P554" s="691">
        <f t="shared" si="257"/>
        <v>0.47086718731624061</v>
      </c>
      <c r="Q554" s="336">
        <f t="shared" si="272"/>
        <v>15.533431305902711</v>
      </c>
      <c r="R554" s="692">
        <f t="shared" si="258"/>
        <v>0.23345273092610974</v>
      </c>
      <c r="S554" s="329">
        <f t="shared" si="259"/>
        <v>0.99919843833291122</v>
      </c>
      <c r="T554" s="330">
        <f t="shared" si="260"/>
        <v>0.85071304618365584</v>
      </c>
      <c r="U554" s="331">
        <f t="shared" si="261"/>
        <v>-7.4953581978539567</v>
      </c>
      <c r="V554" s="332">
        <f t="shared" si="262"/>
        <v>-151.80079709829297</v>
      </c>
      <c r="W554" s="334">
        <f t="shared" si="263"/>
        <v>28.199202901707025</v>
      </c>
      <c r="Y554" s="307">
        <f t="shared" si="264"/>
        <v>87603.25</v>
      </c>
      <c r="Z554" s="307">
        <f t="shared" si="265"/>
        <v>7674329410.5625</v>
      </c>
      <c r="AB554" s="333">
        <f t="shared" si="266"/>
        <v>22.125558656320038</v>
      </c>
      <c r="AC554" s="334">
        <f t="shared" si="267"/>
        <v>-33.483205301451981</v>
      </c>
      <c r="AE554" s="333">
        <f t="shared" si="268"/>
        <v>27.183093254848455</v>
      </c>
      <c r="AF554" s="334">
        <f t="shared" si="269"/>
        <v>-131.92043815893174</v>
      </c>
      <c r="AH554">
        <f t="shared" si="270"/>
        <v>0</v>
      </c>
      <c r="AI554">
        <f t="shared" si="275"/>
        <v>0</v>
      </c>
    </row>
    <row r="555" spans="1:35" x14ac:dyDescent="0.25">
      <c r="A555" s="335">
        <v>88110.5</v>
      </c>
      <c r="B555" s="352">
        <f t="shared" si="271"/>
        <v>88.110500000000002</v>
      </c>
      <c r="C555" s="325">
        <f t="shared" si="246"/>
        <v>106.78029535168683</v>
      </c>
      <c r="D555" s="326">
        <f t="shared" si="247"/>
        <v>1.5614311661670712</v>
      </c>
      <c r="E555" s="326">
        <f t="shared" si="248"/>
        <v>1.0061111096401756</v>
      </c>
      <c r="F555" s="327">
        <f t="shared" si="249"/>
        <v>0.11027374746018716</v>
      </c>
      <c r="G555" s="326">
        <f t="shared" si="250"/>
        <v>1</v>
      </c>
      <c r="H555" s="327">
        <f t="shared" si="251"/>
        <v>0</v>
      </c>
      <c r="I555" s="325">
        <f t="shared" si="252"/>
        <v>116946.05709057832</v>
      </c>
      <c r="J555" s="328">
        <f t="shared" si="253"/>
        <v>1.5707877758439293</v>
      </c>
      <c r="K555" s="336">
        <f t="shared" si="273"/>
        <v>22.675969869924423</v>
      </c>
      <c r="L555" s="337">
        <f t="shared" si="274"/>
        <v>1.5266824733161579</v>
      </c>
      <c r="M555" s="325">
        <f t="shared" si="254"/>
        <v>1.1677077921171963</v>
      </c>
      <c r="N555" s="337">
        <f t="shared" si="255"/>
        <v>0.54258140741062588</v>
      </c>
      <c r="O555" s="343">
        <f t="shared" si="256"/>
        <v>1.1234540682154635</v>
      </c>
      <c r="P555" s="691">
        <f t="shared" si="257"/>
        <v>0.47320536064916202</v>
      </c>
      <c r="Q555" s="336">
        <f t="shared" si="272"/>
        <v>15.538119859723214</v>
      </c>
      <c r="R555" s="692">
        <f t="shared" si="258"/>
        <v>0.23475763507534175</v>
      </c>
      <c r="S555" s="329">
        <f t="shared" si="259"/>
        <v>0.99987286643563944</v>
      </c>
      <c r="T555" s="330">
        <f t="shared" si="260"/>
        <v>0.85655997282293028</v>
      </c>
      <c r="U555" s="331">
        <f t="shared" si="261"/>
        <v>-7.5564245147318099</v>
      </c>
      <c r="V555" s="332">
        <f t="shared" si="262"/>
        <v>-152.17509108349569</v>
      </c>
      <c r="W555" s="334">
        <f t="shared" si="263"/>
        <v>27.824908916504313</v>
      </c>
      <c r="Y555" s="307">
        <f t="shared" si="264"/>
        <v>88110.5</v>
      </c>
      <c r="Z555" s="307">
        <f t="shared" si="265"/>
        <v>7763460210.25</v>
      </c>
      <c r="AB555" s="333">
        <f t="shared" si="266"/>
        <v>22.112146582915443</v>
      </c>
      <c r="AC555" s="334">
        <f t="shared" si="267"/>
        <v>-33.61467241429645</v>
      </c>
      <c r="AE555" s="333">
        <f t="shared" si="268"/>
        <v>27.127691909106879</v>
      </c>
      <c r="AF555" s="334">
        <f t="shared" si="269"/>
        <v>-132.22246699468388</v>
      </c>
      <c r="AH555">
        <f t="shared" si="270"/>
        <v>0</v>
      </c>
      <c r="AI555">
        <f t="shared" si="275"/>
        <v>0</v>
      </c>
    </row>
    <row r="556" spans="1:35" x14ac:dyDescent="0.25">
      <c r="A556" s="335">
        <v>88617.75</v>
      </c>
      <c r="B556" s="352">
        <f t="shared" si="271"/>
        <v>88.617750000000001</v>
      </c>
      <c r="C556" s="325">
        <f t="shared" si="246"/>
        <v>107.39497314835569</v>
      </c>
      <c r="D556" s="326">
        <f t="shared" si="247"/>
        <v>1.5614847694502638</v>
      </c>
      <c r="E556" s="326">
        <f t="shared" si="248"/>
        <v>1.0061814584309143</v>
      </c>
      <c r="F556" s="327">
        <f t="shared" si="249"/>
        <v>0.11090341266266775</v>
      </c>
      <c r="G556" s="326">
        <f t="shared" si="250"/>
        <v>1</v>
      </c>
      <c r="H556" s="327">
        <f t="shared" si="251"/>
        <v>0</v>
      </c>
      <c r="I556" s="325">
        <f t="shared" si="252"/>
        <v>117619.31268956904</v>
      </c>
      <c r="J556" s="328">
        <f t="shared" si="253"/>
        <v>1.5707878247897655</v>
      </c>
      <c r="K556" s="336">
        <f t="shared" si="273"/>
        <v>22.806261720716698</v>
      </c>
      <c r="L556" s="337">
        <f t="shared" si="274"/>
        <v>1.5269346573446501</v>
      </c>
      <c r="M556" s="325">
        <f t="shared" si="254"/>
        <v>1.1695038843472849</v>
      </c>
      <c r="N556" s="337">
        <f t="shared" si="255"/>
        <v>0.54512317595530102</v>
      </c>
      <c r="O556" s="343">
        <f t="shared" si="256"/>
        <v>1.1248004725443044</v>
      </c>
      <c r="P556" s="691">
        <f t="shared" si="257"/>
        <v>0.47553794904662205</v>
      </c>
      <c r="Q556" s="336">
        <f t="shared" si="272"/>
        <v>15.542834058071577</v>
      </c>
      <c r="R556" s="692">
        <f t="shared" si="258"/>
        <v>0.23606176208672874</v>
      </c>
      <c r="S556" s="329">
        <f t="shared" si="259"/>
        <v>1.0005665496356422</v>
      </c>
      <c r="T556" s="330">
        <f t="shared" si="260"/>
        <v>0.86241617660344994</v>
      </c>
      <c r="U556" s="331">
        <f t="shared" si="261"/>
        <v>-7.6173755629809348</v>
      </c>
      <c r="V556" s="332">
        <f t="shared" si="262"/>
        <v>-152.54988076499427</v>
      </c>
      <c r="W556" s="334">
        <f t="shared" si="263"/>
        <v>27.450119235005729</v>
      </c>
      <c r="Y556" s="307">
        <f t="shared" si="264"/>
        <v>88617.75</v>
      </c>
      <c r="Z556" s="307">
        <f t="shared" si="265"/>
        <v>7853105615.0625</v>
      </c>
      <c r="AB556" s="333">
        <f t="shared" si="266"/>
        <v>22.098700361431973</v>
      </c>
      <c r="AC556" s="334">
        <f t="shared" si="267"/>
        <v>-33.745858748452001</v>
      </c>
      <c r="AE556" s="333">
        <f t="shared" si="268"/>
        <v>27.072418566095543</v>
      </c>
      <c r="AF556" s="334">
        <f t="shared" si="269"/>
        <v>-132.52499683890852</v>
      </c>
      <c r="AH556">
        <f t="shared" si="270"/>
        <v>0</v>
      </c>
      <c r="AI556">
        <f t="shared" si="275"/>
        <v>0</v>
      </c>
    </row>
    <row r="557" spans="1:35" x14ac:dyDescent="0.25">
      <c r="A557" s="335">
        <v>89125</v>
      </c>
      <c r="B557" s="352">
        <f t="shared" si="271"/>
        <v>89.125</v>
      </c>
      <c r="C557" s="325">
        <f t="shared" si="246"/>
        <v>108.00965125009161</v>
      </c>
      <c r="D557" s="326">
        <f t="shared" si="247"/>
        <v>1.5615377626258256</v>
      </c>
      <c r="E557" s="326">
        <f t="shared" si="248"/>
        <v>1.0062522060948624</v>
      </c>
      <c r="F557" s="327">
        <f t="shared" si="249"/>
        <v>0.11153298957362567</v>
      </c>
      <c r="G557" s="326">
        <f t="shared" si="250"/>
        <v>1</v>
      </c>
      <c r="H557" s="327">
        <f t="shared" si="251"/>
        <v>0</v>
      </c>
      <c r="I557" s="325">
        <f t="shared" si="252"/>
        <v>118292.56828856003</v>
      </c>
      <c r="J557" s="328">
        <f t="shared" si="253"/>
        <v>1.5707878731784566</v>
      </c>
      <c r="K557" s="336">
        <f t="shared" si="273"/>
        <v>22.936555005435675</v>
      </c>
      <c r="L557" s="337">
        <f t="shared" si="274"/>
        <v>1.5271839762780748</v>
      </c>
      <c r="M557" s="325">
        <f t="shared" si="254"/>
        <v>1.1713075090590463</v>
      </c>
      <c r="N557" s="337">
        <f t="shared" si="255"/>
        <v>0.54765713300142849</v>
      </c>
      <c r="O557" s="343">
        <f t="shared" si="256"/>
        <v>1.1261529822239453</v>
      </c>
      <c r="P557" s="691">
        <f t="shared" si="257"/>
        <v>0.47786494720281097</v>
      </c>
      <c r="Q557" s="336">
        <f t="shared" si="272"/>
        <v>15.547573877643284</v>
      </c>
      <c r="R557" s="692">
        <f t="shared" si="258"/>
        <v>0.23736510843391551</v>
      </c>
      <c r="S557" s="329">
        <f t="shared" si="259"/>
        <v>1.0012797209386761</v>
      </c>
      <c r="T557" s="330">
        <f t="shared" si="260"/>
        <v>0.86828149896988682</v>
      </c>
      <c r="U557" s="331">
        <f t="shared" si="261"/>
        <v>-7.6782161755797471</v>
      </c>
      <c r="V557" s="332">
        <f t="shared" si="262"/>
        <v>-152.92515513362315</v>
      </c>
      <c r="W557" s="334">
        <f t="shared" si="263"/>
        <v>27.07484486637685</v>
      </c>
      <c r="Y557" s="307">
        <f t="shared" si="264"/>
        <v>89125</v>
      </c>
      <c r="Z557" s="307">
        <f t="shared" si="265"/>
        <v>7943265625</v>
      </c>
      <c r="AB557" s="333">
        <f t="shared" si="266"/>
        <v>22.085220408263389</v>
      </c>
      <c r="AC557" s="334">
        <f t="shared" si="267"/>
        <v>-33.876761642641931</v>
      </c>
      <c r="AE557" s="333">
        <f t="shared" si="268"/>
        <v>27.017268260640034</v>
      </c>
      <c r="AF557" s="334">
        <f t="shared" si="269"/>
        <v>-132.82801924176121</v>
      </c>
      <c r="AH557">
        <f t="shared" si="270"/>
        <v>0</v>
      </c>
      <c r="AI557">
        <f t="shared" si="275"/>
        <v>0</v>
      </c>
    </row>
    <row r="558" spans="1:35" x14ac:dyDescent="0.25">
      <c r="A558" s="335">
        <v>89644</v>
      </c>
      <c r="B558" s="352">
        <f t="shared" si="271"/>
        <v>89.644000000000005</v>
      </c>
      <c r="C558" s="325">
        <f t="shared" si="246"/>
        <v>108.6385681396429</v>
      </c>
      <c r="D558" s="326">
        <f t="shared" si="247"/>
        <v>1.5615913626725024</v>
      </c>
      <c r="E558" s="326">
        <f t="shared" si="248"/>
        <v>1.006325005318002</v>
      </c>
      <c r="F558" s="327">
        <f t="shared" si="249"/>
        <v>0.11217705819578525</v>
      </c>
      <c r="G558" s="326">
        <f t="shared" si="250"/>
        <v>1</v>
      </c>
      <c r="H558" s="327">
        <f t="shared" si="251"/>
        <v>0</v>
      </c>
      <c r="I558" s="325">
        <f t="shared" si="252"/>
        <v>118981.41926120954</v>
      </c>
      <c r="J558" s="328">
        <f t="shared" si="253"/>
        <v>1.5707879221212406</v>
      </c>
      <c r="K558" s="336">
        <f t="shared" si="273"/>
        <v>23.069867878265047</v>
      </c>
      <c r="L558" s="337">
        <f t="shared" si="274"/>
        <v>1.5274361556502485</v>
      </c>
      <c r="M558" s="325">
        <f t="shared" si="254"/>
        <v>1.1731606731416144</v>
      </c>
      <c r="N558" s="337">
        <f t="shared" si="255"/>
        <v>0.55024170563877584</v>
      </c>
      <c r="O558" s="343">
        <f t="shared" si="256"/>
        <v>1.1275431178109447</v>
      </c>
      <c r="P558" s="691">
        <f t="shared" si="257"/>
        <v>0.4802400569902126</v>
      </c>
      <c r="Q558" s="336">
        <f t="shared" si="272"/>
        <v>15.552449984892682</v>
      </c>
      <c r="R558" s="692">
        <f t="shared" si="258"/>
        <v>0.2386978339911581</v>
      </c>
      <c r="S558" s="329">
        <f t="shared" si="259"/>
        <v>1.002029825486048</v>
      </c>
      <c r="T558" s="330">
        <f t="shared" si="260"/>
        <v>0.87429195505954449</v>
      </c>
      <c r="U558" s="331">
        <f t="shared" si="261"/>
        <v>-7.7403567701632516</v>
      </c>
      <c r="V558" s="332">
        <f t="shared" si="262"/>
        <v>-153.30961242109328</v>
      </c>
      <c r="W558" s="334">
        <f t="shared" si="263"/>
        <v>26.690387578906723</v>
      </c>
      <c r="Y558" s="307">
        <f t="shared" si="264"/>
        <v>89644</v>
      </c>
      <c r="Z558" s="307">
        <f t="shared" si="265"/>
        <v>8036046736</v>
      </c>
      <c r="AB558" s="333">
        <f t="shared" si="266"/>
        <v>22.071393724051354</v>
      </c>
      <c r="AC558" s="334">
        <f t="shared" si="267"/>
        <v>-34.010400737268796</v>
      </c>
      <c r="AE558" s="333">
        <f t="shared" si="268"/>
        <v>26.960962689800667</v>
      </c>
      <c r="AF558" s="334">
        <f t="shared" si="269"/>
        <v>-133.13856165169187</v>
      </c>
      <c r="AH558">
        <f t="shared" si="270"/>
        <v>0</v>
      </c>
      <c r="AI558">
        <f t="shared" si="275"/>
        <v>0</v>
      </c>
    </row>
    <row r="559" spans="1:35" x14ac:dyDescent="0.25">
      <c r="A559" s="335">
        <v>90163</v>
      </c>
      <c r="B559" s="352">
        <f t="shared" si="271"/>
        <v>90.162999999999997</v>
      </c>
      <c r="C559" s="325">
        <f t="shared" si="246"/>
        <v>109.26748533771611</v>
      </c>
      <c r="D559" s="326">
        <f t="shared" si="247"/>
        <v>1.5616443457015399</v>
      </c>
      <c r="E559" s="326">
        <f t="shared" si="248"/>
        <v>1.0063982219288037</v>
      </c>
      <c r="F559" s="327">
        <f t="shared" si="249"/>
        <v>0.11282103337160525</v>
      </c>
      <c r="G559" s="326">
        <f t="shared" si="250"/>
        <v>1</v>
      </c>
      <c r="H559" s="327">
        <f t="shared" si="251"/>
        <v>0</v>
      </c>
      <c r="I559" s="325">
        <f t="shared" si="252"/>
        <v>119670.27023385934</v>
      </c>
      <c r="J559" s="328">
        <f t="shared" si="253"/>
        <v>1.5707879705005718</v>
      </c>
      <c r="K559" s="336">
        <f t="shared" si="273"/>
        <v>23.203182201351098</v>
      </c>
      <c r="L559" s="337">
        <f t="shared" si="274"/>
        <v>1.5276854372353994</v>
      </c>
      <c r="M559" s="325">
        <f t="shared" si="254"/>
        <v>1.1750216492063181</v>
      </c>
      <c r="N559" s="337">
        <f t="shared" si="255"/>
        <v>0.55281810865109882</v>
      </c>
      <c r="O559" s="343">
        <f t="shared" si="256"/>
        <v>1.128939598348442</v>
      </c>
      <c r="P559" s="691">
        <f t="shared" si="257"/>
        <v>0.48260930416845421</v>
      </c>
      <c r="Q559" s="336">
        <f t="shared" si="272"/>
        <v>15.557352864426807</v>
      </c>
      <c r="R559" s="692">
        <f t="shared" si="258"/>
        <v>0.24002973487652135</v>
      </c>
      <c r="S559" s="329">
        <f t="shared" si="259"/>
        <v>1.0028008241728823</v>
      </c>
      <c r="T559" s="330">
        <f t="shared" si="260"/>
        <v>0.88031160965975752</v>
      </c>
      <c r="U559" s="331">
        <f t="shared" si="261"/>
        <v>-7.8023917593112193</v>
      </c>
      <c r="V559" s="332">
        <f t="shared" si="262"/>
        <v>-153.69455331216335</v>
      </c>
      <c r="W559" s="334">
        <f t="shared" si="263"/>
        <v>26.30544668783665</v>
      </c>
      <c r="Y559" s="307">
        <f t="shared" si="264"/>
        <v>90163</v>
      </c>
      <c r="Z559" s="307">
        <f t="shared" si="265"/>
        <v>8129366569</v>
      </c>
      <c r="AB559" s="333">
        <f t="shared" si="266"/>
        <v>22.057532605186807</v>
      </c>
      <c r="AC559" s="334">
        <f t="shared" si="267"/>
        <v>-34.143737745544065</v>
      </c>
      <c r="AE559" s="333">
        <f t="shared" si="268"/>
        <v>26.904775638067569</v>
      </c>
      <c r="AF559" s="334">
        <f t="shared" si="269"/>
        <v>-133.44960109902999</v>
      </c>
      <c r="AH559">
        <f t="shared" si="270"/>
        <v>0</v>
      </c>
      <c r="AI559">
        <f t="shared" si="275"/>
        <v>0</v>
      </c>
    </row>
    <row r="560" spans="1:35" x14ac:dyDescent="0.25">
      <c r="A560" s="335">
        <v>90682</v>
      </c>
      <c r="B560" s="352">
        <f t="shared" si="271"/>
        <v>90.682000000000002</v>
      </c>
      <c r="C560" s="325">
        <f t="shared" si="246"/>
        <v>109.89640283901436</v>
      </c>
      <c r="D560" s="326">
        <f t="shared" si="247"/>
        <v>1.5616967223058835</v>
      </c>
      <c r="E560" s="326">
        <f t="shared" si="248"/>
        <v>1.006471855836178</v>
      </c>
      <c r="F560" s="327">
        <f t="shared" si="249"/>
        <v>0.11346491458741954</v>
      </c>
      <c r="G560" s="326">
        <f t="shared" si="250"/>
        <v>1</v>
      </c>
      <c r="H560" s="327">
        <f t="shared" si="251"/>
        <v>0</v>
      </c>
      <c r="I560" s="325">
        <f t="shared" si="252"/>
        <v>120359.12120650942</v>
      </c>
      <c r="J560" s="328">
        <f t="shared" si="253"/>
        <v>1.5707880183261242</v>
      </c>
      <c r="K560" s="336">
        <f t="shared" si="273"/>
        <v>23.336497949839202</v>
      </c>
      <c r="L560" s="337">
        <f t="shared" si="274"/>
        <v>1.5279318706653393</v>
      </c>
      <c r="M560" s="325">
        <f t="shared" si="254"/>
        <v>1.1768904001947069</v>
      </c>
      <c r="N560" s="337">
        <f t="shared" si="255"/>
        <v>0.55538634667101983</v>
      </c>
      <c r="O560" s="343">
        <f t="shared" si="256"/>
        <v>1.1303424003198466</v>
      </c>
      <c r="P560" s="691">
        <f t="shared" si="257"/>
        <v>0.48497268391701531</v>
      </c>
      <c r="Q560" s="336">
        <f t="shared" si="272"/>
        <v>15.562282490966536</v>
      </c>
      <c r="R560" s="692">
        <f t="shared" si="258"/>
        <v>0.24136080736036647</v>
      </c>
      <c r="S560" s="329">
        <f t="shared" si="259"/>
        <v>1.0035929656943179</v>
      </c>
      <c r="T560" s="330">
        <f t="shared" si="260"/>
        <v>0.88634028122717268</v>
      </c>
      <c r="U560" s="331">
        <f t="shared" si="261"/>
        <v>-7.8643260873798093</v>
      </c>
      <c r="V560" s="332">
        <f t="shared" si="262"/>
        <v>-154.07996552632073</v>
      </c>
      <c r="W560" s="334">
        <f t="shared" si="263"/>
        <v>25.920034473679266</v>
      </c>
      <c r="Y560" s="307">
        <f t="shared" si="264"/>
        <v>90682</v>
      </c>
      <c r="Z560" s="307">
        <f t="shared" si="265"/>
        <v>8223225124</v>
      </c>
      <c r="AB560" s="333">
        <f t="shared" si="266"/>
        <v>22.043637493448283</v>
      </c>
      <c r="AC560" s="334">
        <f t="shared" si="267"/>
        <v>-34.276770089758415</v>
      </c>
      <c r="AE560" s="333">
        <f t="shared" si="268"/>
        <v>26.848702020753294</v>
      </c>
      <c r="AF560" s="334">
        <f t="shared" si="269"/>
        <v>-133.76112781846959</v>
      </c>
      <c r="AH560">
        <f t="shared" si="270"/>
        <v>0</v>
      </c>
      <c r="AI560">
        <f t="shared" si="275"/>
        <v>0</v>
      </c>
    </row>
    <row r="561" spans="1:35" x14ac:dyDescent="0.25">
      <c r="A561" s="335">
        <v>91201</v>
      </c>
      <c r="B561" s="352">
        <f t="shared" si="271"/>
        <v>91.200999999999993</v>
      </c>
      <c r="C561" s="325">
        <f t="shared" si="246"/>
        <v>110.52532063836136</v>
      </c>
      <c r="D561" s="326">
        <f t="shared" si="247"/>
        <v>1.5617485028373854</v>
      </c>
      <c r="E561" s="326">
        <f t="shared" si="248"/>
        <v>1.0065459069485427</v>
      </c>
      <c r="F561" s="327">
        <f t="shared" si="249"/>
        <v>0.11410870133002347</v>
      </c>
      <c r="G561" s="326">
        <f t="shared" si="250"/>
        <v>1</v>
      </c>
      <c r="H561" s="327">
        <f t="shared" si="251"/>
        <v>0</v>
      </c>
      <c r="I561" s="325">
        <f t="shared" si="252"/>
        <v>121047.97217915974</v>
      </c>
      <c r="J561" s="328">
        <f t="shared" si="253"/>
        <v>1.5707880656073525</v>
      </c>
      <c r="K561" s="336">
        <f t="shared" si="273"/>
        <v>23.469815099439202</v>
      </c>
      <c r="L561" s="337">
        <f t="shared" si="274"/>
        <v>1.528175504445574</v>
      </c>
      <c r="M561" s="325">
        <f t="shared" si="254"/>
        <v>1.1787668891289962</v>
      </c>
      <c r="N561" s="337">
        <f t="shared" si="255"/>
        <v>0.55794642473268352</v>
      </c>
      <c r="O561" s="343">
        <f t="shared" si="256"/>
        <v>1.1317515002189737</v>
      </c>
      <c r="P561" s="691">
        <f t="shared" si="257"/>
        <v>0.48733019170140263</v>
      </c>
      <c r="Q561" s="336">
        <f t="shared" si="272"/>
        <v>15.567238839126967</v>
      </c>
      <c r="R561" s="692">
        <f t="shared" si="258"/>
        <v>0.24269104772914857</v>
      </c>
      <c r="S561" s="329">
        <f t="shared" si="259"/>
        <v>1.0044064983484626</v>
      </c>
      <c r="T561" s="330">
        <f t="shared" si="260"/>
        <v>0.89237778432361503</v>
      </c>
      <c r="U561" s="331">
        <f t="shared" si="261"/>
        <v>-7.9261646216483816</v>
      </c>
      <c r="V561" s="332">
        <f t="shared" si="262"/>
        <v>-154.4658366181157</v>
      </c>
      <c r="W561" s="334">
        <f t="shared" si="263"/>
        <v>25.534163381884298</v>
      </c>
      <c r="Y561" s="307">
        <f t="shared" si="264"/>
        <v>91201</v>
      </c>
      <c r="Z561" s="307">
        <f t="shared" si="265"/>
        <v>8317622401</v>
      </c>
      <c r="AB561" s="333">
        <f t="shared" si="266"/>
        <v>22.029708829073268</v>
      </c>
      <c r="AC561" s="334">
        <f t="shared" si="267"/>
        <v>-34.409495279727977</v>
      </c>
      <c r="AE561" s="333">
        <f t="shared" si="268"/>
        <v>26.792736830753306</v>
      </c>
      <c r="AF561" s="334">
        <f t="shared" si="269"/>
        <v>-134.07313180770774</v>
      </c>
      <c r="AH561">
        <f t="shared" si="270"/>
        <v>0</v>
      </c>
      <c r="AI561">
        <f t="shared" si="275"/>
        <v>0</v>
      </c>
    </row>
    <row r="562" spans="1:35" x14ac:dyDescent="0.25">
      <c r="A562" s="335">
        <v>91732</v>
      </c>
      <c r="B562" s="352">
        <f t="shared" si="271"/>
        <v>91.731999999999999</v>
      </c>
      <c r="C562" s="325">
        <f t="shared" si="246"/>
        <v>111.16878019290615</v>
      </c>
      <c r="D562" s="326">
        <f t="shared" si="247"/>
        <v>1.5618008742518974</v>
      </c>
      <c r="E562" s="326">
        <f t="shared" si="248"/>
        <v>1.0066221019153723</v>
      </c>
      <c r="F562" s="327">
        <f t="shared" si="249"/>
        <v>0.11476727500549261</v>
      </c>
      <c r="G562" s="326">
        <f t="shared" si="250"/>
        <v>1</v>
      </c>
      <c r="H562" s="327">
        <f t="shared" si="251"/>
        <v>0</v>
      </c>
      <c r="I562" s="325">
        <f t="shared" si="252"/>
        <v>121752.75034192945</v>
      </c>
      <c r="J562" s="328">
        <f t="shared" si="253"/>
        <v>1.5707881134280757</v>
      </c>
      <c r="K562" s="336">
        <f t="shared" si="273"/>
        <v>23.606216151808969</v>
      </c>
      <c r="L562" s="337">
        <f t="shared" si="274"/>
        <v>1.5284219233207281</v>
      </c>
      <c r="M562" s="325">
        <f t="shared" si="254"/>
        <v>1.1806947349943953</v>
      </c>
      <c r="N562" s="337">
        <f t="shared" si="255"/>
        <v>0.56055725587244187</v>
      </c>
      <c r="O562" s="343">
        <f t="shared" si="256"/>
        <v>1.1331996739960017</v>
      </c>
      <c r="P562" s="691">
        <f t="shared" si="257"/>
        <v>0.48973612671893052</v>
      </c>
      <c r="Q562" s="336">
        <f t="shared" si="272"/>
        <v>15.572337413872592</v>
      </c>
      <c r="R562" s="692">
        <f t="shared" si="258"/>
        <v>0.24405118004768017</v>
      </c>
      <c r="S562" s="329">
        <f t="shared" si="259"/>
        <v>1.0052612382320549</v>
      </c>
      <c r="T562" s="330">
        <f t="shared" si="260"/>
        <v>0.89856382560200909</v>
      </c>
      <c r="U562" s="331">
        <f t="shared" si="261"/>
        <v>-7.9893388028401873</v>
      </c>
      <c r="V562" s="332">
        <f t="shared" si="262"/>
        <v>-154.86109134748943</v>
      </c>
      <c r="W562" s="334">
        <f t="shared" si="263"/>
        <v>25.138908652510565</v>
      </c>
      <c r="Y562" s="307">
        <f t="shared" si="264"/>
        <v>91732</v>
      </c>
      <c r="Z562" s="307">
        <f t="shared" si="265"/>
        <v>8414759824</v>
      </c>
      <c r="AB562" s="333">
        <f t="shared" si="266"/>
        <v>22.015423846835482</v>
      </c>
      <c r="AC562" s="334">
        <f t="shared" si="267"/>
        <v>-34.544968863599209</v>
      </c>
      <c r="AE562" s="333">
        <f t="shared" si="268"/>
        <v>26.735584723487861</v>
      </c>
      <c r="AF562" s="334">
        <f t="shared" si="269"/>
        <v>-134.39283303413461</v>
      </c>
      <c r="AH562">
        <f t="shared" si="270"/>
        <v>0</v>
      </c>
      <c r="AI562">
        <f t="shared" si="275"/>
        <v>0</v>
      </c>
    </row>
    <row r="563" spans="1:35" x14ac:dyDescent="0.25">
      <c r="A563" s="335">
        <v>92263</v>
      </c>
      <c r="B563" s="352">
        <f t="shared" si="271"/>
        <v>92.263000000000005</v>
      </c>
      <c r="C563" s="325">
        <f t="shared" si="246"/>
        <v>111.81224004885141</v>
      </c>
      <c r="D563" s="326">
        <f t="shared" si="247"/>
        <v>1.5618526428899162</v>
      </c>
      <c r="E563" s="326">
        <f t="shared" si="248"/>
        <v>1.0066987334074213</v>
      </c>
      <c r="F563" s="327">
        <f t="shared" si="249"/>
        <v>0.1154257487031889</v>
      </c>
      <c r="G563" s="326">
        <f t="shared" si="250"/>
        <v>1</v>
      </c>
      <c r="H563" s="327">
        <f t="shared" si="251"/>
        <v>0</v>
      </c>
      <c r="I563" s="325">
        <f t="shared" si="252"/>
        <v>122457.52850469944</v>
      </c>
      <c r="J563" s="328">
        <f t="shared" si="253"/>
        <v>1.5707881606983551</v>
      </c>
      <c r="K563" s="336">
        <f t="shared" si="273"/>
        <v>23.742618621131527</v>
      </c>
      <c r="L563" s="337">
        <f t="shared" si="274"/>
        <v>1.528665510834297</v>
      </c>
      <c r="M563" s="325">
        <f t="shared" si="254"/>
        <v>1.1826306027227085</v>
      </c>
      <c r="N563" s="337">
        <f t="shared" si="255"/>
        <v>0.5631595572764142</v>
      </c>
      <c r="O563" s="343">
        <f t="shared" si="256"/>
        <v>1.1346543905595587</v>
      </c>
      <c r="P563" s="691">
        <f t="shared" si="257"/>
        <v>0.49213590640052102</v>
      </c>
      <c r="Q563" s="336">
        <f t="shared" si="272"/>
        <v>15.577463906110561</v>
      </c>
      <c r="R563" s="692">
        <f t="shared" si="258"/>
        <v>0.2454104335143594</v>
      </c>
      <c r="S563" s="329">
        <f t="shared" si="259"/>
        <v>1.0061388942123535</v>
      </c>
      <c r="T563" s="330">
        <f t="shared" si="260"/>
        <v>0.9047587064653968</v>
      </c>
      <c r="U563" s="331">
        <f t="shared" si="261"/>
        <v>-8.0524227723159552</v>
      </c>
      <c r="V563" s="332">
        <f t="shared" si="262"/>
        <v>-155.25679953547072</v>
      </c>
      <c r="W563" s="334">
        <f t="shared" si="263"/>
        <v>24.743200464529281</v>
      </c>
      <c r="Y563" s="307">
        <f t="shared" si="264"/>
        <v>92263</v>
      </c>
      <c r="Z563" s="307">
        <f t="shared" si="265"/>
        <v>8512461169</v>
      </c>
      <c r="AB563" s="333">
        <f t="shared" si="266"/>
        <v>22.00110466960076</v>
      </c>
      <c r="AC563" s="334">
        <f t="shared" si="267"/>
        <v>-34.680115923140136</v>
      </c>
      <c r="AE563" s="333">
        <f t="shared" si="268"/>
        <v>26.678535758078645</v>
      </c>
      <c r="AF563" s="334">
        <f t="shared" si="269"/>
        <v>-134.71301192323017</v>
      </c>
      <c r="AH563">
        <f t="shared" si="270"/>
        <v>0</v>
      </c>
      <c r="AI563">
        <f t="shared" si="275"/>
        <v>0</v>
      </c>
    </row>
    <row r="564" spans="1:35" x14ac:dyDescent="0.25">
      <c r="A564" s="335">
        <v>92794</v>
      </c>
      <c r="B564" s="352">
        <f t="shared" si="271"/>
        <v>92.793999999999997</v>
      </c>
      <c r="C564" s="325">
        <f t="shared" si="246"/>
        <v>112.45570020102332</v>
      </c>
      <c r="D564" s="326">
        <f t="shared" si="247"/>
        <v>1.5619038190982406</v>
      </c>
      <c r="E564" s="326">
        <f t="shared" si="248"/>
        <v>1.0067758013250103</v>
      </c>
      <c r="F564" s="327">
        <f t="shared" si="249"/>
        <v>0.11608412187499544</v>
      </c>
      <c r="G564" s="326">
        <f t="shared" si="250"/>
        <v>1</v>
      </c>
      <c r="H564" s="327">
        <f t="shared" si="251"/>
        <v>0</v>
      </c>
      <c r="I564" s="325">
        <f t="shared" si="252"/>
        <v>123162.30666746967</v>
      </c>
      <c r="J564" s="328">
        <f t="shared" si="253"/>
        <v>1.57078820742764</v>
      </c>
      <c r="K564" s="336">
        <f t="shared" si="273"/>
        <v>23.879022483125002</v>
      </c>
      <c r="L564" s="337">
        <f t="shared" si="274"/>
        <v>1.5289063154777855</v>
      </c>
      <c r="M564" s="325">
        <f t="shared" si="254"/>
        <v>1.1845744529852171</v>
      </c>
      <c r="N564" s="337">
        <f t="shared" si="255"/>
        <v>0.56575333560424923</v>
      </c>
      <c r="O564" s="343">
        <f t="shared" si="256"/>
        <v>1.1361156247769038</v>
      </c>
      <c r="P564" s="691">
        <f t="shared" si="257"/>
        <v>0.49452952680336787</v>
      </c>
      <c r="Q564" s="336">
        <f t="shared" si="272"/>
        <v>15.582618288314272</v>
      </c>
      <c r="R564" s="692">
        <f t="shared" si="258"/>
        <v>0.24676880420461947</v>
      </c>
      <c r="S564" s="329">
        <f t="shared" si="259"/>
        <v>1.0070397305859153</v>
      </c>
      <c r="T564" s="330">
        <f t="shared" si="260"/>
        <v>0.91096221587022397</v>
      </c>
      <c r="U564" s="331">
        <f t="shared" si="261"/>
        <v>-8.1154214958819999</v>
      </c>
      <c r="V564" s="332">
        <f t="shared" si="262"/>
        <v>-155.65294731918488</v>
      </c>
      <c r="W564" s="334">
        <f t="shared" si="263"/>
        <v>24.347052680815125</v>
      </c>
      <c r="Y564" s="307">
        <f t="shared" si="264"/>
        <v>92794</v>
      </c>
      <c r="Z564" s="307">
        <f t="shared" si="265"/>
        <v>8610726436</v>
      </c>
      <c r="AB564" s="333">
        <f t="shared" si="266"/>
        <v>21.986751763496692</v>
      </c>
      <c r="AC564" s="334">
        <f t="shared" si="267"/>
        <v>-34.814934062103376</v>
      </c>
      <c r="AE564" s="333">
        <f t="shared" si="268"/>
        <v>26.621584820848533</v>
      </c>
      <c r="AF564" s="334">
        <f t="shared" si="269"/>
        <v>-135.03365700732218</v>
      </c>
      <c r="AH564">
        <f t="shared" si="270"/>
        <v>0</v>
      </c>
      <c r="AI564">
        <f t="shared" si="275"/>
        <v>0</v>
      </c>
    </row>
    <row r="565" spans="1:35" x14ac:dyDescent="0.25">
      <c r="A565" s="335">
        <v>93325</v>
      </c>
      <c r="B565" s="352">
        <f t="shared" si="271"/>
        <v>93.325000000000003</v>
      </c>
      <c r="C565" s="325">
        <f t="shared" si="246"/>
        <v>113.09916064436595</v>
      </c>
      <c r="D565" s="326">
        <f t="shared" si="247"/>
        <v>1.5619544129882155</v>
      </c>
      <c r="E565" s="326">
        <f t="shared" si="248"/>
        <v>1.0068533055679232</v>
      </c>
      <c r="F565" s="327">
        <f t="shared" si="249"/>
        <v>0.11674239397331121</v>
      </c>
      <c r="G565" s="326">
        <f t="shared" si="250"/>
        <v>1</v>
      </c>
      <c r="H565" s="327">
        <f t="shared" si="251"/>
        <v>0</v>
      </c>
      <c r="I565" s="325">
        <f t="shared" si="252"/>
        <v>123867.0848302402</v>
      </c>
      <c r="J565" s="328">
        <f t="shared" si="253"/>
        <v>1.5707882536251649</v>
      </c>
      <c r="K565" s="336">
        <f t="shared" si="273"/>
        <v>24.015427714058944</v>
      </c>
      <c r="L565" s="337">
        <f t="shared" si="274"/>
        <v>1.5291443846422978</v>
      </c>
      <c r="M565" s="325">
        <f t="shared" si="254"/>
        <v>1.1865262465492845</v>
      </c>
      <c r="N565" s="337">
        <f t="shared" si="255"/>
        <v>0.5683385979307668</v>
      </c>
      <c r="O565" s="343">
        <f t="shared" si="256"/>
        <v>1.1375833515321141</v>
      </c>
      <c r="P565" s="691">
        <f t="shared" si="257"/>
        <v>0.49691698428718889</v>
      </c>
      <c r="Q565" s="336">
        <f t="shared" si="272"/>
        <v>15.587800532843884</v>
      </c>
      <c r="R565" s="692">
        <f t="shared" si="258"/>
        <v>0.24812628821170116</v>
      </c>
      <c r="S565" s="329">
        <f t="shared" si="259"/>
        <v>1.0079640109869044</v>
      </c>
      <c r="T565" s="330">
        <f t="shared" si="260"/>
        <v>0.9171741386598905</v>
      </c>
      <c r="U565" s="331">
        <f t="shared" si="261"/>
        <v>-8.1783398571597594</v>
      </c>
      <c r="V565" s="332">
        <f t="shared" si="262"/>
        <v>-156.0495206570875</v>
      </c>
      <c r="W565" s="334">
        <f t="shared" si="263"/>
        <v>23.950479342912502</v>
      </c>
      <c r="Y565" s="307">
        <f t="shared" si="264"/>
        <v>93325</v>
      </c>
      <c r="Z565" s="307">
        <f t="shared" si="265"/>
        <v>8709555625</v>
      </c>
      <c r="AB565" s="333">
        <f t="shared" si="266"/>
        <v>21.97236559273394</v>
      </c>
      <c r="AC565" s="334">
        <f t="shared" si="267"/>
        <v>-34.94942097106513</v>
      </c>
      <c r="AE565" s="333">
        <f t="shared" si="268"/>
        <v>26.564726881011552</v>
      </c>
      <c r="AF565" s="334">
        <f t="shared" si="269"/>
        <v>-135.35475656955813</v>
      </c>
      <c r="AH565">
        <f t="shared" si="270"/>
        <v>0</v>
      </c>
      <c r="AI565">
        <f t="shared" si="275"/>
        <v>0</v>
      </c>
    </row>
    <row r="566" spans="1:35" x14ac:dyDescent="0.25">
      <c r="A566" s="335">
        <v>93868.5</v>
      </c>
      <c r="B566" s="352">
        <f t="shared" si="271"/>
        <v>93.868499999999997</v>
      </c>
      <c r="C566" s="325">
        <f t="shared" si="246"/>
        <v>113.75776875798613</v>
      </c>
      <c r="D566" s="326">
        <f t="shared" si="247"/>
        <v>1.5620056051545304</v>
      </c>
      <c r="E566" s="326">
        <f t="shared" si="248"/>
        <v>1.0069330860466903</v>
      </c>
      <c r="F566" s="327">
        <f t="shared" si="249"/>
        <v>0.11741605687766957</v>
      </c>
      <c r="G566" s="326">
        <f t="shared" si="250"/>
        <v>1</v>
      </c>
      <c r="H566" s="327">
        <f t="shared" si="251"/>
        <v>0</v>
      </c>
      <c r="I566" s="325">
        <f t="shared" si="252"/>
        <v>124588.45381605173</v>
      </c>
      <c r="J566" s="328">
        <f t="shared" si="253"/>
        <v>1.5707883003689367</v>
      </c>
      <c r="K566" s="336">
        <f t="shared" si="273"/>
        <v>24.155045384371579</v>
      </c>
      <c r="L566" s="337">
        <f t="shared" si="274"/>
        <v>1.5293852735830327</v>
      </c>
      <c r="M566" s="325">
        <f t="shared" si="254"/>
        <v>1.1885321714309793</v>
      </c>
      <c r="N566" s="337">
        <f t="shared" si="255"/>
        <v>0.57097590734453829</v>
      </c>
      <c r="O566" s="343">
        <f t="shared" si="256"/>
        <v>1.1390923266921016</v>
      </c>
      <c r="P566" s="691">
        <f t="shared" si="257"/>
        <v>0.49935425796061367</v>
      </c>
      <c r="Q566" s="336">
        <f t="shared" si="272"/>
        <v>15.593133594866023</v>
      </c>
      <c r="R566" s="692">
        <f t="shared" si="258"/>
        <v>0.2495148057598999</v>
      </c>
      <c r="S566" s="329">
        <f t="shared" si="259"/>
        <v>1.0089346021522492</v>
      </c>
      <c r="T566" s="330">
        <f t="shared" si="260"/>
        <v>0.92354077712091509</v>
      </c>
      <c r="U566" s="331">
        <f t="shared" si="261"/>
        <v>-8.2426611365934281</v>
      </c>
      <c r="V566" s="332">
        <f t="shared" si="262"/>
        <v>-156.45585538244455</v>
      </c>
      <c r="W566" s="334">
        <f t="shared" si="263"/>
        <v>23.544144617555446</v>
      </c>
      <c r="Y566" s="307">
        <f t="shared" si="264"/>
        <v>93868.5</v>
      </c>
      <c r="Z566" s="307">
        <f t="shared" si="265"/>
        <v>8811295292.25</v>
      </c>
      <c r="AB566" s="333">
        <f t="shared" si="266"/>
        <v>21.95760679842811</v>
      </c>
      <c r="AC566" s="334">
        <f t="shared" si="267"/>
        <v>-35.086728428486623</v>
      </c>
      <c r="AE566" s="333">
        <f t="shared" si="268"/>
        <v>26.506621620246733</v>
      </c>
      <c r="AF566" s="334">
        <f t="shared" si="269"/>
        <v>-135.68387313727627</v>
      </c>
      <c r="AH566">
        <f t="shared" si="270"/>
        <v>0</v>
      </c>
      <c r="AI566">
        <f t="shared" si="275"/>
        <v>0</v>
      </c>
    </row>
    <row r="567" spans="1:35" x14ac:dyDescent="0.25">
      <c r="A567" s="335">
        <v>94412</v>
      </c>
      <c r="B567" s="352">
        <f t="shared" si="271"/>
        <v>94.412000000000006</v>
      </c>
      <c r="C567" s="325">
        <f t="shared" si="246"/>
        <v>114.41637716629214</v>
      </c>
      <c r="D567" s="326">
        <f t="shared" si="247"/>
        <v>1.562056207971934</v>
      </c>
      <c r="E567" s="326">
        <f t="shared" si="248"/>
        <v>1.0070133234210237</v>
      </c>
      <c r="F567" s="327">
        <f t="shared" si="249"/>
        <v>0.11808961273467765</v>
      </c>
      <c r="G567" s="326">
        <f t="shared" si="250"/>
        <v>1</v>
      </c>
      <c r="H567" s="327">
        <f t="shared" si="251"/>
        <v>0</v>
      </c>
      <c r="I567" s="325">
        <f t="shared" si="252"/>
        <v>125309.82280186351</v>
      </c>
      <c r="J567" s="328">
        <f t="shared" si="253"/>
        <v>1.5707883465745305</v>
      </c>
      <c r="K567" s="336">
        <f t="shared" si="273"/>
        <v>24.29466444023042</v>
      </c>
      <c r="L567" s="337">
        <f t="shared" si="274"/>
        <v>1.5296233938071786</v>
      </c>
      <c r="M567" s="325">
        <f t="shared" si="254"/>
        <v>1.1905463351401699</v>
      </c>
      <c r="N567" s="337">
        <f t="shared" si="255"/>
        <v>0.57360431139979629</v>
      </c>
      <c r="O567" s="343">
        <f t="shared" si="256"/>
        <v>1.1406080504784804</v>
      </c>
      <c r="P567" s="691">
        <f t="shared" si="257"/>
        <v>0.50178506838520542</v>
      </c>
      <c r="Q567" s="336">
        <f t="shared" si="272"/>
        <v>15.59849578748465</v>
      </c>
      <c r="R567" s="692">
        <f t="shared" si="258"/>
        <v>0.25090238616290977</v>
      </c>
      <c r="S567" s="329">
        <f t="shared" si="259"/>
        <v>1.0099303106153286</v>
      </c>
      <c r="T567" s="330">
        <f t="shared" si="260"/>
        <v>0.92991576062462944</v>
      </c>
      <c r="U567" s="331">
        <f t="shared" si="261"/>
        <v>-8.3069083169286966</v>
      </c>
      <c r="V567" s="332">
        <f t="shared" si="262"/>
        <v>-156.8626055975821</v>
      </c>
      <c r="W567" s="334">
        <f t="shared" si="263"/>
        <v>23.137394402417897</v>
      </c>
      <c r="Y567" s="307">
        <f t="shared" si="264"/>
        <v>94412</v>
      </c>
      <c r="Z567" s="307">
        <f t="shared" si="265"/>
        <v>8913625744</v>
      </c>
      <c r="AB567" s="333">
        <f t="shared" si="266"/>
        <v>21.942814132619258</v>
      </c>
      <c r="AC567" s="334">
        <f t="shared" si="267"/>
        <v>-35.223684251389713</v>
      </c>
      <c r="AE567" s="333">
        <f t="shared" si="268"/>
        <v>26.44860338599084</v>
      </c>
      <c r="AF567" s="334">
        <f t="shared" si="269"/>
        <v>-136.01344020687705</v>
      </c>
      <c r="AH567">
        <f t="shared" si="270"/>
        <v>0</v>
      </c>
      <c r="AI567">
        <f t="shared" si="275"/>
        <v>0</v>
      </c>
    </row>
    <row r="568" spans="1:35" x14ac:dyDescent="0.25">
      <c r="A568" s="335">
        <v>94955.5</v>
      </c>
      <c r="B568" s="352">
        <f t="shared" si="271"/>
        <v>94.955500000000001</v>
      </c>
      <c r="C568" s="325">
        <f t="shared" si="246"/>
        <v>115.07498586422426</v>
      </c>
      <c r="D568" s="326">
        <f t="shared" si="247"/>
        <v>1.5621062315592271</v>
      </c>
      <c r="E568" s="326">
        <f t="shared" si="248"/>
        <v>1.0070940175817178</v>
      </c>
      <c r="F568" s="327">
        <f t="shared" si="249"/>
        <v>0.11876306095884065</v>
      </c>
      <c r="G568" s="326">
        <f t="shared" si="250"/>
        <v>1</v>
      </c>
      <c r="H568" s="327">
        <f t="shared" si="251"/>
        <v>0</v>
      </c>
      <c r="I568" s="325">
        <f t="shared" si="252"/>
        <v>126031.19178767558</v>
      </c>
      <c r="J568" s="328">
        <f t="shared" si="253"/>
        <v>1.5707883922511869</v>
      </c>
      <c r="K568" s="336">
        <f t="shared" si="273"/>
        <v>24.434284857884169</v>
      </c>
      <c r="L568" s="337">
        <f t="shared" si="274"/>
        <v>1.5298587927498282</v>
      </c>
      <c r="M568" s="325">
        <f t="shared" si="254"/>
        <v>1.1925686959324764</v>
      </c>
      <c r="N568" s="337">
        <f t="shared" si="255"/>
        <v>0.5762238189933967</v>
      </c>
      <c r="O568" s="343">
        <f t="shared" si="256"/>
        <v>1.1421304960229024</v>
      </c>
      <c r="P568" s="691">
        <f t="shared" si="257"/>
        <v>0.50420941262384478</v>
      </c>
      <c r="Q568" s="336">
        <f t="shared" si="272"/>
        <v>15.603887080697564</v>
      </c>
      <c r="R568" s="692">
        <f t="shared" si="258"/>
        <v>0.25228902528975672</v>
      </c>
      <c r="S568" s="329">
        <f t="shared" si="259"/>
        <v>1.010951416532853</v>
      </c>
      <c r="T568" s="330">
        <f t="shared" si="260"/>
        <v>0.93629884538702945</v>
      </c>
      <c r="U568" s="331">
        <f t="shared" si="261"/>
        <v>-8.3710863703952381</v>
      </c>
      <c r="V568" s="332">
        <f t="shared" si="262"/>
        <v>-157.26975567206495</v>
      </c>
      <c r="W568" s="334">
        <f t="shared" si="263"/>
        <v>22.730244327935054</v>
      </c>
      <c r="Y568" s="307">
        <f t="shared" si="264"/>
        <v>94955.5</v>
      </c>
      <c r="Z568" s="307">
        <f t="shared" si="265"/>
        <v>9016546980.25</v>
      </c>
      <c r="AB568" s="333">
        <f t="shared" si="266"/>
        <v>21.927988086508069</v>
      </c>
      <c r="AC568" s="334">
        <f t="shared" si="267"/>
        <v>-35.360286232225555</v>
      </c>
      <c r="AE568" s="333">
        <f t="shared" si="268"/>
        <v>26.390667050722204</v>
      </c>
      <c r="AF568" s="334">
        <f t="shared" si="269"/>
        <v>-136.34344442387678</v>
      </c>
      <c r="AH568">
        <f t="shared" si="270"/>
        <v>0</v>
      </c>
      <c r="AI568">
        <f t="shared" si="275"/>
        <v>0</v>
      </c>
    </row>
    <row r="569" spans="1:35" x14ac:dyDescent="0.25">
      <c r="A569" s="335">
        <v>95499</v>
      </c>
      <c r="B569" s="352">
        <f t="shared" si="271"/>
        <v>95.498999999999995</v>
      </c>
      <c r="C569" s="325">
        <f t="shared" si="246"/>
        <v>115.73359484683796</v>
      </c>
      <c r="D569" s="326">
        <f t="shared" si="247"/>
        <v>1.5621556858048891</v>
      </c>
      <c r="E569" s="326">
        <f t="shared" si="248"/>
        <v>1.0071751684189802</v>
      </c>
      <c r="F569" s="327">
        <f t="shared" si="249"/>
        <v>0.11943640096524137</v>
      </c>
      <c r="G569" s="326">
        <f t="shared" si="250"/>
        <v>1</v>
      </c>
      <c r="H569" s="327">
        <f t="shared" si="251"/>
        <v>0</v>
      </c>
      <c r="I569" s="325">
        <f t="shared" si="252"/>
        <v>126752.56077348789</v>
      </c>
      <c r="J569" s="328">
        <f t="shared" si="253"/>
        <v>1.5707884374079375</v>
      </c>
      <c r="K569" s="336">
        <f t="shared" si="273"/>
        <v>24.573906614121082</v>
      </c>
      <c r="L569" s="337">
        <f t="shared" si="274"/>
        <v>1.530091516769247</v>
      </c>
      <c r="M569" s="325">
        <f t="shared" si="254"/>
        <v>1.1945992121768834</v>
      </c>
      <c r="N569" s="337">
        <f t="shared" si="255"/>
        <v>0.578834439450437</v>
      </c>
      <c r="O569" s="343">
        <f t="shared" si="256"/>
        <v>1.1436596364812519</v>
      </c>
      <c r="P569" s="691">
        <f t="shared" si="257"/>
        <v>0.50662728805905299</v>
      </c>
      <c r="Q569" s="336">
        <f t="shared" si="272"/>
        <v>15.609307444381319</v>
      </c>
      <c r="R569" s="692">
        <f t="shared" si="258"/>
        <v>0.25367471902919164</v>
      </c>
      <c r="S569" s="329">
        <f t="shared" si="259"/>
        <v>1.0119981990764386</v>
      </c>
      <c r="T569" s="330">
        <f t="shared" si="260"/>
        <v>0.94268978333298992</v>
      </c>
      <c r="U569" s="331">
        <f t="shared" si="261"/>
        <v>-8.4352001809534727</v>
      </c>
      <c r="V569" s="332">
        <f t="shared" si="262"/>
        <v>-157.67728978540316</v>
      </c>
      <c r="W569" s="334">
        <f t="shared" si="263"/>
        <v>22.322710214596839</v>
      </c>
      <c r="Y569" s="307">
        <f t="shared" si="264"/>
        <v>95499</v>
      </c>
      <c r="Z569" s="307">
        <f t="shared" si="265"/>
        <v>9120059001</v>
      </c>
      <c r="AB569" s="333">
        <f t="shared" si="266"/>
        <v>21.913129148974967</v>
      </c>
      <c r="AC569" s="334">
        <f t="shared" si="267"/>
        <v>-35.496532249667339</v>
      </c>
      <c r="AE569" s="333">
        <f t="shared" si="268"/>
        <v>26.332807576101342</v>
      </c>
      <c r="AF569" s="334">
        <f t="shared" si="269"/>
        <v>-136.67387217469928</v>
      </c>
      <c r="AH569">
        <f t="shared" si="270"/>
        <v>0</v>
      </c>
      <c r="AI569">
        <f t="shared" si="275"/>
        <v>0</v>
      </c>
    </row>
    <row r="570" spans="1:35" x14ac:dyDescent="0.25">
      <c r="A570" s="335">
        <v>96611.5</v>
      </c>
      <c r="B570" s="352">
        <f t="shared" si="271"/>
        <v>96.611500000000007</v>
      </c>
      <c r="C570" s="325">
        <f t="shared" si="246"/>
        <v>117.08171437704212</v>
      </c>
      <c r="D570" s="326">
        <f t="shared" si="247"/>
        <v>1.5622551795802622</v>
      </c>
      <c r="E570" s="326">
        <f t="shared" si="248"/>
        <v>1.0073427011718954</v>
      </c>
      <c r="F570" s="327">
        <f t="shared" si="249"/>
        <v>0.12081433290418955</v>
      </c>
      <c r="G570" s="326">
        <f t="shared" si="250"/>
        <v>1</v>
      </c>
      <c r="H570" s="327">
        <f t="shared" si="251"/>
        <v>0</v>
      </c>
      <c r="I570" s="325">
        <f t="shared" si="252"/>
        <v>128229.14402411648</v>
      </c>
      <c r="J570" s="328">
        <f t="shared" si="253"/>
        <v>1.5707885282557452</v>
      </c>
      <c r="K570" s="336">
        <f t="shared" si="273"/>
        <v>24.859704996721632</v>
      </c>
      <c r="L570" s="337">
        <f t="shared" si="274"/>
        <v>1.5305597318030137</v>
      </c>
      <c r="M570" s="325">
        <f t="shared" si="254"/>
        <v>1.1987807700935149</v>
      </c>
      <c r="N570" s="337">
        <f t="shared" si="255"/>
        <v>0.58415049362237881</v>
      </c>
      <c r="O570" s="343">
        <f t="shared" si="256"/>
        <v>1.1468104264054153</v>
      </c>
      <c r="P570" s="691">
        <f t="shared" si="257"/>
        <v>0.51155629948220993</v>
      </c>
      <c r="Q570" s="336">
        <f t="shared" si="272"/>
        <v>15.620493010922422</v>
      </c>
      <c r="R570" s="692">
        <f t="shared" si="258"/>
        <v>0.25650815537592303</v>
      </c>
      <c r="S570" s="329">
        <f t="shared" si="259"/>
        <v>1.0142221158467544</v>
      </c>
      <c r="T570" s="330">
        <f t="shared" si="260"/>
        <v>0.95579493345548072</v>
      </c>
      <c r="U570" s="331">
        <f t="shared" si="261"/>
        <v>-8.5662556460143939</v>
      </c>
      <c r="V570" s="332">
        <f t="shared" si="262"/>
        <v>-158.51260878716016</v>
      </c>
      <c r="W570" s="334">
        <f t="shared" si="263"/>
        <v>21.487391212839839</v>
      </c>
      <c r="Y570" s="307">
        <f t="shared" si="264"/>
        <v>96611.5</v>
      </c>
      <c r="Z570" s="307">
        <f t="shared" si="265"/>
        <v>9333781932.25</v>
      </c>
      <c r="AB570" s="333">
        <f t="shared" si="266"/>
        <v>21.882613595881111</v>
      </c>
      <c r="AC570" s="334">
        <f t="shared" si="267"/>
        <v>-35.774298177556474</v>
      </c>
      <c r="AE570" s="333">
        <f t="shared" si="268"/>
        <v>26.214592927349084</v>
      </c>
      <c r="AF570" s="334">
        <f t="shared" si="269"/>
        <v>-137.35149285623632</v>
      </c>
      <c r="AH570">
        <f t="shared" si="270"/>
        <v>0</v>
      </c>
      <c r="AI570">
        <f t="shared" si="275"/>
        <v>0</v>
      </c>
    </row>
    <row r="571" spans="1:35" x14ac:dyDescent="0.25">
      <c r="A571" s="335">
        <v>97724</v>
      </c>
      <c r="B571" s="352">
        <f t="shared" si="271"/>
        <v>97.724000000000004</v>
      </c>
      <c r="C571" s="325">
        <f t="shared" si="246"/>
        <v>118.42983503985322</v>
      </c>
      <c r="D571" s="326">
        <f t="shared" si="247"/>
        <v>1.5623524082244131</v>
      </c>
      <c r="E571" s="326">
        <f t="shared" si="248"/>
        <v>1.0075121459246008</v>
      </c>
      <c r="F571" s="327">
        <f t="shared" si="249"/>
        <v>0.12219180397290079</v>
      </c>
      <c r="G571" s="326">
        <f t="shared" si="250"/>
        <v>1</v>
      </c>
      <c r="H571" s="327">
        <f t="shared" si="251"/>
        <v>0</v>
      </c>
      <c r="I571" s="325">
        <f t="shared" si="252"/>
        <v>129705.7272747461</v>
      </c>
      <c r="J571" s="328">
        <f t="shared" si="253"/>
        <v>1.5707886170351117</v>
      </c>
      <c r="K571" s="336">
        <f t="shared" si="273"/>
        <v>25.145508705313993</v>
      </c>
      <c r="L571" s="337">
        <f t="shared" si="274"/>
        <v>1.531017303476391</v>
      </c>
      <c r="M571" s="325">
        <f t="shared" si="254"/>
        <v>1.2029959699991712</v>
      </c>
      <c r="N571" s="337">
        <f t="shared" si="255"/>
        <v>0.58942944207105119</v>
      </c>
      <c r="O571" s="343">
        <f t="shared" si="256"/>
        <v>1.1499889251967439</v>
      </c>
      <c r="P571" s="691">
        <f t="shared" si="257"/>
        <v>0.51645818248155129</v>
      </c>
      <c r="Q571" s="336">
        <f t="shared" si="272"/>
        <v>15.631799991275541</v>
      </c>
      <c r="R571" s="692">
        <f t="shared" si="258"/>
        <v>0.25933757871722035</v>
      </c>
      <c r="S571" s="329">
        <f t="shared" si="259"/>
        <v>1.0165571487215044</v>
      </c>
      <c r="T571" s="330">
        <f t="shared" si="260"/>
        <v>0.9689297079993282</v>
      </c>
      <c r="U571" s="331">
        <f t="shared" si="261"/>
        <v>-8.6971019312981266</v>
      </c>
      <c r="V571" s="332">
        <f t="shared" si="262"/>
        <v>-159.3493298823864</v>
      </c>
      <c r="W571" s="334">
        <f t="shared" si="263"/>
        <v>20.6506701176136</v>
      </c>
      <c r="Y571" s="307">
        <f t="shared" si="264"/>
        <v>97724</v>
      </c>
      <c r="Z571" s="307">
        <f t="shared" si="265"/>
        <v>9549980176</v>
      </c>
      <c r="AB571" s="333">
        <f t="shared" si="266"/>
        <v>21.851966408220772</v>
      </c>
      <c r="AC571" s="334">
        <f t="shared" si="267"/>
        <v>-36.050547805221967</v>
      </c>
      <c r="AE571" s="333">
        <f t="shared" si="268"/>
        <v>26.09663838027366</v>
      </c>
      <c r="AF571" s="334">
        <f t="shared" si="269"/>
        <v>-138.03070751554989</v>
      </c>
      <c r="AH571">
        <f t="shared" si="270"/>
        <v>0</v>
      </c>
      <c r="AI571">
        <f t="shared" si="275"/>
        <v>0</v>
      </c>
    </row>
    <row r="572" spans="1:35" x14ac:dyDescent="0.25">
      <c r="A572" s="335">
        <v>98862</v>
      </c>
      <c r="B572" s="352">
        <f t="shared" si="271"/>
        <v>98.861999999999995</v>
      </c>
      <c r="C572" s="325">
        <f t="shared" si="246"/>
        <v>119.80885757793251</v>
      </c>
      <c r="D572" s="326">
        <f t="shared" si="247"/>
        <v>1.5624496015893123</v>
      </c>
      <c r="E572" s="326">
        <f t="shared" si="248"/>
        <v>1.0076874518143584</v>
      </c>
      <c r="F572" s="327">
        <f t="shared" si="249"/>
        <v>0.12360036649292579</v>
      </c>
      <c r="G572" s="326">
        <f t="shared" si="250"/>
        <v>1</v>
      </c>
      <c r="H572" s="327">
        <f t="shared" si="251"/>
        <v>0</v>
      </c>
      <c r="I572" s="325">
        <f t="shared" si="252"/>
        <v>131216.15580437993</v>
      </c>
      <c r="J572" s="328">
        <f t="shared" si="253"/>
        <v>1.570788705782119</v>
      </c>
      <c r="K572" s="336">
        <f t="shared" si="273"/>
        <v>25.437868743613031</v>
      </c>
      <c r="L572" s="337">
        <f t="shared" si="274"/>
        <v>1.5314747250272385</v>
      </c>
      <c r="M572" s="325">
        <f t="shared" si="254"/>
        <v>1.2073422281031931</v>
      </c>
      <c r="N572" s="337">
        <f t="shared" si="255"/>
        <v>0.59479110001458912</v>
      </c>
      <c r="O572" s="343">
        <f t="shared" si="256"/>
        <v>1.1532687094353569</v>
      </c>
      <c r="P572" s="691">
        <f t="shared" si="257"/>
        <v>0.52144434428729736</v>
      </c>
      <c r="Q572" s="336">
        <f t="shared" si="272"/>
        <v>15.643491488805061</v>
      </c>
      <c r="R572" s="692">
        <f t="shared" si="258"/>
        <v>0.26222766827497201</v>
      </c>
      <c r="S572" s="329">
        <f t="shared" si="259"/>
        <v>1.0190631174665796</v>
      </c>
      <c r="T572" s="330">
        <f t="shared" si="260"/>
        <v>0.98239381420125604</v>
      </c>
      <c r="U572" s="331">
        <f t="shared" si="261"/>
        <v>-8.8307710594842206</v>
      </c>
      <c r="V572" s="332">
        <f t="shared" si="262"/>
        <v>-160.20653146418005</v>
      </c>
      <c r="W572" s="334">
        <f t="shared" si="263"/>
        <v>19.793468535819954</v>
      </c>
      <c r="Y572" s="307">
        <f t="shared" si="264"/>
        <v>98862</v>
      </c>
      <c r="Z572" s="307">
        <f t="shared" si="265"/>
        <v>9773695044</v>
      </c>
      <c r="AB572" s="333">
        <f t="shared" si="266"/>
        <v>21.820484821382998</v>
      </c>
      <c r="AC572" s="334">
        <f t="shared" si="267"/>
        <v>-36.331544937407635</v>
      </c>
      <c r="AE572" s="333">
        <f t="shared" si="268"/>
        <v>25.976207832758313</v>
      </c>
      <c r="AF572" s="334">
        <f t="shared" si="269"/>
        <v>-138.72700805865955</v>
      </c>
      <c r="AH572">
        <f t="shared" si="270"/>
        <v>0</v>
      </c>
      <c r="AI572">
        <f t="shared" si="275"/>
        <v>0</v>
      </c>
    </row>
    <row r="573" spans="1:35" x14ac:dyDescent="0.25">
      <c r="A573" s="335">
        <v>100000</v>
      </c>
      <c r="B573" s="352">
        <f t="shared" si="271"/>
        <v>100</v>
      </c>
      <c r="C573" s="325">
        <f t="shared" si="246"/>
        <v>121.18788122203466</v>
      </c>
      <c r="D573" s="326">
        <f t="shared" si="247"/>
        <v>1.5625445829855964</v>
      </c>
      <c r="E573" s="326">
        <f t="shared" si="248"/>
        <v>1.0078647563069434</v>
      </c>
      <c r="F573" s="327">
        <f t="shared" si="249"/>
        <v>0.12500843621459273</v>
      </c>
      <c r="G573" s="326">
        <f t="shared" si="250"/>
        <v>1</v>
      </c>
      <c r="H573" s="327">
        <f t="shared" si="251"/>
        <v>0</v>
      </c>
      <c r="I573" s="325">
        <f t="shared" si="252"/>
        <v>132726.5843340148</v>
      </c>
      <c r="J573" s="328">
        <f t="shared" si="253"/>
        <v>1.5707887925092445</v>
      </c>
      <c r="K573" s="336">
        <f t="shared" si="273"/>
        <v>25.730233983437099</v>
      </c>
      <c r="L573" s="337">
        <f t="shared" si="274"/>
        <v>1.5319217515711172</v>
      </c>
      <c r="M573" s="325">
        <f t="shared" si="254"/>
        <v>1.2117229445648716</v>
      </c>
      <c r="N573" s="337">
        <f t="shared" si="255"/>
        <v>0.60011414228590676</v>
      </c>
      <c r="O573" s="343">
        <f t="shared" si="256"/>
        <v>1.1565770029902722</v>
      </c>
      <c r="P573" s="691">
        <f t="shared" si="257"/>
        <v>0.52640210375433727</v>
      </c>
      <c r="Q573" s="336">
        <f t="shared" si="272"/>
        <v>15.655309470922054</v>
      </c>
      <c r="R573" s="692">
        <f t="shared" si="258"/>
        <v>0.26511348614522384</v>
      </c>
      <c r="S573" s="329">
        <f t="shared" si="259"/>
        <v>1.0216902988592074</v>
      </c>
      <c r="T573" s="330">
        <f t="shared" si="260"/>
        <v>0.99588400186259407</v>
      </c>
      <c r="U573" s="331">
        <f t="shared" si="261"/>
        <v>-8.9643010919026818</v>
      </c>
      <c r="V573" s="332">
        <f t="shared" si="262"/>
        <v>-161.06489444604898</v>
      </c>
      <c r="W573" s="334">
        <f t="shared" si="263"/>
        <v>18.935105553951018</v>
      </c>
      <c r="Y573" s="307">
        <f t="shared" si="264"/>
        <v>100000</v>
      </c>
      <c r="Z573" s="307">
        <f t="shared" si="265"/>
        <v>10000000000</v>
      </c>
      <c r="AB573" s="333">
        <f t="shared" si="266"/>
        <v>21.788874118474837</v>
      </c>
      <c r="AC573" s="334">
        <f t="shared" si="267"/>
        <v>-36.6109250288468</v>
      </c>
      <c r="AE573" s="333">
        <f t="shared" si="268"/>
        <v>25.855966964371714</v>
      </c>
      <c r="AF573" s="334">
        <f t="shared" si="269"/>
        <v>-139.42470445811858</v>
      </c>
      <c r="AH573">
        <f t="shared" si="270"/>
        <v>0</v>
      </c>
      <c r="AI573">
        <f t="shared" si="275"/>
        <v>0</v>
      </c>
    </row>
    <row r="574" spans="1:35" x14ac:dyDescent="0.25">
      <c r="A574" s="335">
        <v>101165</v>
      </c>
      <c r="B574" s="352">
        <f t="shared" si="271"/>
        <v>101.16500000000001</v>
      </c>
      <c r="C574" s="325">
        <f t="shared" si="246"/>
        <v>122.59962446002848</v>
      </c>
      <c r="D574" s="326">
        <f t="shared" si="247"/>
        <v>1.562639604511473</v>
      </c>
      <c r="E574" s="326">
        <f t="shared" si="248"/>
        <v>1.0080483366886206</v>
      </c>
      <c r="F574" s="327">
        <f t="shared" si="249"/>
        <v>0.12644939753436873</v>
      </c>
      <c r="G574" s="326">
        <f t="shared" si="250"/>
        <v>1</v>
      </c>
      <c r="H574" s="327">
        <f t="shared" si="251"/>
        <v>0</v>
      </c>
      <c r="I574" s="325">
        <f t="shared" si="252"/>
        <v>134272.84904141881</v>
      </c>
      <c r="J574" s="328">
        <f t="shared" si="253"/>
        <v>1.5707888792728759</v>
      </c>
      <c r="K574" s="336">
        <f t="shared" si="273"/>
        <v>26.029541037752342</v>
      </c>
      <c r="L574" s="337">
        <f t="shared" si="274"/>
        <v>1.5323689818372923</v>
      </c>
      <c r="M574" s="325">
        <f t="shared" si="254"/>
        <v>1.2162429028026234</v>
      </c>
      <c r="N574" s="337">
        <f t="shared" si="255"/>
        <v>0.60552359983785176</v>
      </c>
      <c r="O574" s="343">
        <f t="shared" si="256"/>
        <v>1.1599930658368298</v>
      </c>
      <c r="P574" s="691">
        <f t="shared" si="257"/>
        <v>0.53144806947022594</v>
      </c>
      <c r="Q574" s="336">
        <f t="shared" si="272"/>
        <v>15.667538567592693</v>
      </c>
      <c r="R574" s="692">
        <f t="shared" si="258"/>
        <v>0.2680633098072272</v>
      </c>
      <c r="S574" s="329">
        <f t="shared" si="259"/>
        <v>1.0245079390715945</v>
      </c>
      <c r="T574" s="330">
        <f t="shared" si="260"/>
        <v>1.0097185651246141</v>
      </c>
      <c r="U574" s="331">
        <f t="shared" si="261"/>
        <v>-9.1008947012133881</v>
      </c>
      <c r="V574" s="332">
        <f t="shared" si="262"/>
        <v>-161.94465942240728</v>
      </c>
      <c r="W574" s="334">
        <f t="shared" si="263"/>
        <v>18.055340577592716</v>
      </c>
      <c r="Y574" s="307">
        <f t="shared" si="264"/>
        <v>101165</v>
      </c>
      <c r="Z574" s="307">
        <f t="shared" si="265"/>
        <v>10234357225</v>
      </c>
      <c r="AB574" s="333">
        <f t="shared" si="266"/>
        <v>21.756384150824388</v>
      </c>
      <c r="AC574" s="334">
        <f t="shared" si="267"/>
        <v>-36.895244680820845</v>
      </c>
      <c r="AE574" s="333">
        <f t="shared" si="268"/>
        <v>25.733028821038253</v>
      </c>
      <c r="AF574" s="334">
        <f t="shared" si="269"/>
        <v>-140.14024987558756</v>
      </c>
      <c r="AH574">
        <f t="shared" si="270"/>
        <v>0</v>
      </c>
      <c r="AI574">
        <f t="shared" si="275"/>
        <v>0</v>
      </c>
    </row>
    <row r="575" spans="1:35" x14ac:dyDescent="0.25">
      <c r="A575" s="335">
        <v>102330</v>
      </c>
      <c r="B575" s="352">
        <f t="shared" si="271"/>
        <v>102.33</v>
      </c>
      <c r="C575" s="325">
        <f t="shared" si="246"/>
        <v>124.0113687797821</v>
      </c>
      <c r="D575" s="326">
        <f t="shared" si="247"/>
        <v>1.5627324625897605</v>
      </c>
      <c r="E575" s="326">
        <f t="shared" si="248"/>
        <v>1.0082340093863882</v>
      </c>
      <c r="F575" s="327">
        <f t="shared" si="249"/>
        <v>0.127889831119742</v>
      </c>
      <c r="G575" s="326">
        <f t="shared" si="250"/>
        <v>1</v>
      </c>
      <c r="H575" s="327">
        <f t="shared" si="251"/>
        <v>0</v>
      </c>
      <c r="I575" s="325">
        <f t="shared" si="252"/>
        <v>135819.11374882379</v>
      </c>
      <c r="J575" s="328">
        <f t="shared" si="253"/>
        <v>1.5707889640609456</v>
      </c>
      <c r="K575" s="336">
        <f t="shared" si="273"/>
        <v>26.328853179992709</v>
      </c>
      <c r="L575" s="337">
        <f t="shared" si="274"/>
        <v>1.5328060437669271</v>
      </c>
      <c r="M575" s="325">
        <f t="shared" si="254"/>
        <v>1.2207981868752011</v>
      </c>
      <c r="N575" s="337">
        <f t="shared" si="255"/>
        <v>0.61089284385400799</v>
      </c>
      <c r="O575" s="343">
        <f t="shared" si="256"/>
        <v>1.1634384902800019</v>
      </c>
      <c r="P575" s="691">
        <f t="shared" si="257"/>
        <v>0.53646427588111067</v>
      </c>
      <c r="Q575" s="336">
        <f t="shared" si="272"/>
        <v>15.679899613132626</v>
      </c>
      <c r="R575" s="692">
        <f t="shared" si="258"/>
        <v>0.27100858044592463</v>
      </c>
      <c r="S575" s="329">
        <f t="shared" si="259"/>
        <v>1.0274577906088096</v>
      </c>
      <c r="T575" s="330">
        <f t="shared" si="260"/>
        <v>1.0235748904214008</v>
      </c>
      <c r="U575" s="331">
        <f t="shared" si="261"/>
        <v>-9.2374211159072441</v>
      </c>
      <c r="V575" s="332">
        <f t="shared" si="262"/>
        <v>-162.82530018930575</v>
      </c>
      <c r="W575" s="334">
        <f t="shared" si="263"/>
        <v>17.17469981069425</v>
      </c>
      <c r="Y575" s="307">
        <f t="shared" si="264"/>
        <v>102330</v>
      </c>
      <c r="Z575" s="307">
        <f t="shared" si="265"/>
        <v>10471428900</v>
      </c>
      <c r="AB575" s="333">
        <f t="shared" si="266"/>
        <v>21.72376789769492</v>
      </c>
      <c r="AC575" s="334">
        <f t="shared" si="267"/>
        <v>-37.177842756490023</v>
      </c>
      <c r="AE575" s="333">
        <f t="shared" si="268"/>
        <v>25.61020807978808</v>
      </c>
      <c r="AF575" s="334">
        <f t="shared" si="269"/>
        <v>-140.85694844634151</v>
      </c>
      <c r="AH575">
        <f t="shared" si="270"/>
        <v>0</v>
      </c>
      <c r="AI575">
        <f t="shared" si="275"/>
        <v>0</v>
      </c>
    </row>
    <row r="576" spans="1:35" x14ac:dyDescent="0.25">
      <c r="A576" s="335">
        <v>103520</v>
      </c>
      <c r="B576" s="352">
        <f t="shared" si="271"/>
        <v>103.52</v>
      </c>
      <c r="C576" s="325">
        <f t="shared" si="246"/>
        <v>125.45340912087596</v>
      </c>
      <c r="D576" s="326">
        <f t="shared" si="247"/>
        <v>1.5628251556883137</v>
      </c>
      <c r="E576" s="326">
        <f t="shared" si="248"/>
        <v>1.0084258254220919</v>
      </c>
      <c r="F576" s="327">
        <f t="shared" si="249"/>
        <v>0.12936062454362693</v>
      </c>
      <c r="G576" s="326">
        <f t="shared" si="250"/>
        <v>1</v>
      </c>
      <c r="H576" s="327">
        <f t="shared" si="251"/>
        <v>0</v>
      </c>
      <c r="I576" s="325">
        <f t="shared" si="252"/>
        <v>137398.56010231143</v>
      </c>
      <c r="J576" s="328">
        <f t="shared" si="253"/>
        <v>1.5707890486982465</v>
      </c>
      <c r="K576" s="336">
        <f t="shared" si="273"/>
        <v>26.634593404090651</v>
      </c>
      <c r="L576" s="337">
        <f t="shared" si="274"/>
        <v>1.5332423430044302</v>
      </c>
      <c r="M576" s="325">
        <f t="shared" si="254"/>
        <v>1.2254872852629304</v>
      </c>
      <c r="N576" s="337">
        <f t="shared" si="255"/>
        <v>0.61633593673213793</v>
      </c>
      <c r="O576" s="343">
        <f t="shared" si="256"/>
        <v>1.1669878939167857</v>
      </c>
      <c r="P576" s="691">
        <f t="shared" si="257"/>
        <v>0.54155741493519016</v>
      </c>
      <c r="Q576" s="336">
        <f t="shared" si="272"/>
        <v>15.692661819780604</v>
      </c>
      <c r="R576" s="692">
        <f t="shared" si="258"/>
        <v>0.27401231425158046</v>
      </c>
      <c r="S576" s="329">
        <f t="shared" si="259"/>
        <v>1.0306101081504382</v>
      </c>
      <c r="T576" s="330">
        <f t="shared" si="260"/>
        <v>1.037747989253091</v>
      </c>
      <c r="U576" s="331">
        <f t="shared" si="261"/>
        <v>-9.3768464639311269</v>
      </c>
      <c r="V576" s="332">
        <f t="shared" si="262"/>
        <v>-163.72555849505883</v>
      </c>
      <c r="W576" s="334">
        <f t="shared" si="263"/>
        <v>16.274441504941166</v>
      </c>
      <c r="Y576" s="307">
        <f t="shared" si="264"/>
        <v>103520</v>
      </c>
      <c r="Z576" s="307">
        <f t="shared" si="265"/>
        <v>10716390400</v>
      </c>
      <c r="AB576" s="333">
        <f t="shared" si="266"/>
        <v>21.690326004553864</v>
      </c>
      <c r="AC576" s="334">
        <f t="shared" si="267"/>
        <v>-37.464715750678792</v>
      </c>
      <c r="AE576" s="333">
        <f t="shared" si="268"/>
        <v>25.484832916603899</v>
      </c>
      <c r="AF576" s="334">
        <f t="shared" si="269"/>
        <v>-141.59004786046972</v>
      </c>
      <c r="AH576">
        <f t="shared" si="270"/>
        <v>0</v>
      </c>
      <c r="AI576">
        <f t="shared" si="275"/>
        <v>0</v>
      </c>
    </row>
    <row r="577" spans="1:35" x14ac:dyDescent="0.25">
      <c r="A577" s="335">
        <v>104710</v>
      </c>
      <c r="B577" s="352">
        <f t="shared" si="271"/>
        <v>104.71</v>
      </c>
      <c r="C577" s="325">
        <f t="shared" si="246"/>
        <v>126.89545051536838</v>
      </c>
      <c r="D577" s="326">
        <f t="shared" si="247"/>
        <v>1.5629157420567028</v>
      </c>
      <c r="E577" s="326">
        <f t="shared" si="248"/>
        <v>1.0086198220856391</v>
      </c>
      <c r="F577" s="327">
        <f t="shared" si="249"/>
        <v>0.13083085536584821</v>
      </c>
      <c r="G577" s="326">
        <f t="shared" si="250"/>
        <v>1</v>
      </c>
      <c r="H577" s="327">
        <f t="shared" si="251"/>
        <v>0</v>
      </c>
      <c r="I577" s="325">
        <f t="shared" si="252"/>
        <v>138978.0064558</v>
      </c>
      <c r="J577" s="328">
        <f t="shared" si="253"/>
        <v>1.5707891314117888</v>
      </c>
      <c r="K577" s="336">
        <f t="shared" si="273"/>
        <v>26.940338583191412</v>
      </c>
      <c r="L577" s="337">
        <f t="shared" si="274"/>
        <v>1.5336687392249131</v>
      </c>
      <c r="M577" s="325">
        <f t="shared" si="254"/>
        <v>1.230212414073397</v>
      </c>
      <c r="N577" s="337">
        <f t="shared" si="255"/>
        <v>0.62173737581723232</v>
      </c>
      <c r="O577" s="343">
        <f t="shared" si="256"/>
        <v>1.1705673852590071</v>
      </c>
      <c r="P577" s="691">
        <f t="shared" si="257"/>
        <v>0.54661953589925949</v>
      </c>
      <c r="Q577" s="336">
        <f t="shared" si="272"/>
        <v>15.7055610395948</v>
      </c>
      <c r="R577" s="692">
        <f t="shared" si="258"/>
        <v>0.27701121799085349</v>
      </c>
      <c r="S577" s="329">
        <f t="shared" si="259"/>
        <v>1.033905738635357</v>
      </c>
      <c r="T577" s="330">
        <f t="shared" si="260"/>
        <v>1.0519375588353297</v>
      </c>
      <c r="U577" s="331">
        <f t="shared" si="261"/>
        <v>-9.5162780056811016</v>
      </c>
      <c r="V577" s="332">
        <f t="shared" si="262"/>
        <v>-164.62635320080068</v>
      </c>
      <c r="W577" s="334">
        <f t="shared" si="263"/>
        <v>15.373646799199321</v>
      </c>
      <c r="Y577" s="307">
        <f t="shared" si="264"/>
        <v>104710</v>
      </c>
      <c r="Z577" s="307">
        <f t="shared" si="265"/>
        <v>10964184100</v>
      </c>
      <c r="AB577" s="333">
        <f t="shared" si="266"/>
        <v>21.656761734214221</v>
      </c>
      <c r="AC577" s="334">
        <f t="shared" si="267"/>
        <v>-37.749769449180306</v>
      </c>
      <c r="AE577" s="333">
        <f t="shared" si="268"/>
        <v>25.359501057707941</v>
      </c>
      <c r="AF577" s="334">
        <f t="shared" si="269"/>
        <v>-142.32400250704464</v>
      </c>
      <c r="AH577">
        <f t="shared" si="270"/>
        <v>0</v>
      </c>
      <c r="AI577">
        <f t="shared" si="275"/>
        <v>0</v>
      </c>
    </row>
    <row r="578" spans="1:35" x14ac:dyDescent="0.25">
      <c r="A578" s="335">
        <v>105930</v>
      </c>
      <c r="B578" s="352">
        <f t="shared" si="271"/>
        <v>105.93</v>
      </c>
      <c r="C578" s="325">
        <f t="shared" si="246"/>
        <v>128.37384695100133</v>
      </c>
      <c r="D578" s="326">
        <f t="shared" si="247"/>
        <v>1.5630064993698305</v>
      </c>
      <c r="E578" s="326">
        <f t="shared" si="248"/>
        <v>1.0088209718858381</v>
      </c>
      <c r="F578" s="327">
        <f t="shared" si="249"/>
        <v>0.13233756046329484</v>
      </c>
      <c r="G578" s="326">
        <f t="shared" si="250"/>
        <v>1</v>
      </c>
      <c r="H578" s="327">
        <f t="shared" si="251"/>
        <v>0</v>
      </c>
      <c r="I578" s="325">
        <f t="shared" si="252"/>
        <v>140597.2707845876</v>
      </c>
      <c r="J578" s="328">
        <f t="shared" si="253"/>
        <v>1.5707892142813007</v>
      </c>
      <c r="K578" s="336">
        <f t="shared" si="273"/>
        <v>27.253796593325408</v>
      </c>
      <c r="L578" s="337">
        <f t="shared" si="274"/>
        <v>1.5340959530288094</v>
      </c>
      <c r="M578" s="325">
        <f t="shared" si="254"/>
        <v>1.2350936352207469</v>
      </c>
      <c r="N578" s="337">
        <f t="shared" si="255"/>
        <v>0.62723191596945771</v>
      </c>
      <c r="O578" s="343">
        <f t="shared" si="256"/>
        <v>1.1742680628612239</v>
      </c>
      <c r="P578" s="691">
        <f t="shared" si="257"/>
        <v>0.55177709911954487</v>
      </c>
      <c r="Q578" s="336">
        <f t="shared" si="272"/>
        <v>15.718927334921567</v>
      </c>
      <c r="R578" s="692">
        <f t="shared" si="258"/>
        <v>0.28008066875028081</v>
      </c>
      <c r="S578" s="329">
        <f t="shared" si="259"/>
        <v>1.0374359968390088</v>
      </c>
      <c r="T578" s="330">
        <f t="shared" si="260"/>
        <v>1.0664985452073283</v>
      </c>
      <c r="U578" s="331">
        <f t="shared" si="261"/>
        <v>-9.6592684044125345</v>
      </c>
      <c r="V578" s="332">
        <f t="shared" si="262"/>
        <v>-165.55020956455917</v>
      </c>
      <c r="W578" s="334">
        <f t="shared" si="263"/>
        <v>14.449790435440832</v>
      </c>
      <c r="Y578" s="307">
        <f t="shared" si="264"/>
        <v>105930</v>
      </c>
      <c r="Z578" s="307">
        <f t="shared" si="265"/>
        <v>11221164900</v>
      </c>
      <c r="AB578" s="333">
        <f t="shared" si="266"/>
        <v>21.622229123921546</v>
      </c>
      <c r="AC578" s="334">
        <f t="shared" si="267"/>
        <v>-38.04011061076006</v>
      </c>
      <c r="AE578" s="333">
        <f t="shared" si="268"/>
        <v>25.231015698057718</v>
      </c>
      <c r="AF578" s="334">
        <f t="shared" si="269"/>
        <v>-143.07715774051593</v>
      </c>
      <c r="AH578">
        <f t="shared" si="270"/>
        <v>0</v>
      </c>
      <c r="AI578">
        <f t="shared" si="275"/>
        <v>0</v>
      </c>
    </row>
    <row r="579" spans="1:35" x14ac:dyDescent="0.25">
      <c r="A579" s="335">
        <v>107150</v>
      </c>
      <c r="B579" s="352">
        <f t="shared" si="271"/>
        <v>107.15</v>
      </c>
      <c r="C579" s="325">
        <f t="shared" si="246"/>
        <v>129.852244419958</v>
      </c>
      <c r="D579" s="326">
        <f t="shared" si="247"/>
        <v>1.5630951900981858</v>
      </c>
      <c r="E579" s="326">
        <f t="shared" si="248"/>
        <v>1.0090244109551749</v>
      </c>
      <c r="F579" s="327">
        <f t="shared" si="249"/>
        <v>0.13384366141621684</v>
      </c>
      <c r="G579" s="326">
        <f t="shared" si="250"/>
        <v>1</v>
      </c>
      <c r="H579" s="327">
        <f t="shared" si="251"/>
        <v>0</v>
      </c>
      <c r="I579" s="325">
        <f t="shared" si="252"/>
        <v>142216.53511337613</v>
      </c>
      <c r="J579" s="328">
        <f t="shared" si="253"/>
        <v>1.5707892952637232</v>
      </c>
      <c r="K579" s="336">
        <f t="shared" si="273"/>
        <v>27.567259464475416</v>
      </c>
      <c r="L579" s="337">
        <f t="shared" si="274"/>
        <v>1.5345134513486358</v>
      </c>
      <c r="M579" s="325">
        <f t="shared" si="254"/>
        <v>1.2400118495971852</v>
      </c>
      <c r="N579" s="337">
        <f t="shared" si="255"/>
        <v>0.63268303401453485</v>
      </c>
      <c r="O579" s="343">
        <f t="shared" si="256"/>
        <v>1.1779997797934869</v>
      </c>
      <c r="P579" s="691">
        <f t="shared" si="257"/>
        <v>0.55690212126297012</v>
      </c>
      <c r="Q579" s="336">
        <f t="shared" si="272"/>
        <v>15.73243691875571</v>
      </c>
      <c r="R579" s="692">
        <f t="shared" si="258"/>
        <v>0.28314495928115968</v>
      </c>
      <c r="S579" s="329">
        <f t="shared" si="259"/>
        <v>1.0411224564808252</v>
      </c>
      <c r="T579" s="330">
        <f t="shared" si="260"/>
        <v>1.0810698615566718</v>
      </c>
      <c r="U579" s="331">
        <f t="shared" si="261"/>
        <v>-9.8023391777047664</v>
      </c>
      <c r="V579" s="332">
        <f t="shared" si="262"/>
        <v>-166.47421145244951</v>
      </c>
      <c r="W579" s="334">
        <f t="shared" si="263"/>
        <v>13.525788547550491</v>
      </c>
      <c r="Y579" s="307">
        <f t="shared" si="264"/>
        <v>107150</v>
      </c>
      <c r="Z579" s="307">
        <f t="shared" si="265"/>
        <v>11481122500</v>
      </c>
      <c r="AB579" s="333">
        <f t="shared" si="266"/>
        <v>21.587577701313268</v>
      </c>
      <c r="AC579" s="334">
        <f t="shared" si="267"/>
        <v>-38.328520416971308</v>
      </c>
      <c r="AE579" s="333">
        <f t="shared" si="268"/>
        <v>25.102499003616451</v>
      </c>
      <c r="AF579" s="334">
        <f t="shared" si="269"/>
        <v>-143.8308210464381</v>
      </c>
      <c r="AH579">
        <f t="shared" si="270"/>
        <v>0</v>
      </c>
      <c r="AI579">
        <f t="shared" si="275"/>
        <v>0</v>
      </c>
    </row>
    <row r="580" spans="1:35" x14ac:dyDescent="0.25">
      <c r="A580" s="335">
        <v>108400</v>
      </c>
      <c r="B580" s="352">
        <f t="shared" si="271"/>
        <v>108.4</v>
      </c>
      <c r="C580" s="325">
        <f t="shared" si="246"/>
        <v>131.36699696030627</v>
      </c>
      <c r="D580" s="326">
        <f t="shared" si="247"/>
        <v>1.5631839912681167</v>
      </c>
      <c r="E580" s="326">
        <f t="shared" si="248"/>
        <v>1.0092352255783565</v>
      </c>
      <c r="F580" s="327">
        <f t="shared" si="249"/>
        <v>0.13538616426671921</v>
      </c>
      <c r="G580" s="326">
        <f t="shared" si="250"/>
        <v>1</v>
      </c>
      <c r="H580" s="327">
        <f t="shared" si="251"/>
        <v>0</v>
      </c>
      <c r="I580" s="325">
        <f t="shared" si="252"/>
        <v>143875.61741746368</v>
      </c>
      <c r="J580" s="328">
        <f t="shared" si="253"/>
        <v>1.5707893763468781</v>
      </c>
      <c r="K580" s="336">
        <f t="shared" si="273"/>
        <v>27.888435309398993</v>
      </c>
      <c r="L580" s="337">
        <f t="shared" si="274"/>
        <v>1.5349314816623036</v>
      </c>
      <c r="M580" s="325">
        <f t="shared" si="254"/>
        <v>1.2450889141591523</v>
      </c>
      <c r="N580" s="337">
        <f t="shared" si="255"/>
        <v>0.63822336049408079</v>
      </c>
      <c r="O580" s="343">
        <f t="shared" si="256"/>
        <v>1.1818551463945901</v>
      </c>
      <c r="P580" s="691">
        <f t="shared" si="257"/>
        <v>0.5621194595427611</v>
      </c>
      <c r="Q580" s="336">
        <f t="shared" si="272"/>
        <v>15.74642693724666</v>
      </c>
      <c r="R580" s="692">
        <f t="shared" si="258"/>
        <v>0.28627920566997972</v>
      </c>
      <c r="S580" s="329">
        <f t="shared" si="259"/>
        <v>1.0450644367852115</v>
      </c>
      <c r="T580" s="330">
        <f t="shared" si="260"/>
        <v>1.0960064128372498</v>
      </c>
      <c r="U580" s="331">
        <f t="shared" si="261"/>
        <v>-9.9490472610535541</v>
      </c>
      <c r="V580" s="332">
        <f t="shared" si="262"/>
        <v>-167.42086005517419</v>
      </c>
      <c r="W580" s="334">
        <f t="shared" si="263"/>
        <v>12.579139944825812</v>
      </c>
      <c r="Y580" s="307">
        <f t="shared" si="264"/>
        <v>108400</v>
      </c>
      <c r="Z580" s="307">
        <f t="shared" si="265"/>
        <v>11750560000</v>
      </c>
      <c r="AB580" s="333">
        <f t="shared" si="266"/>
        <v>21.551956041224976</v>
      </c>
      <c r="AC580" s="334">
        <f t="shared" si="267"/>
        <v>-38.622011014750093</v>
      </c>
      <c r="AE580" s="333">
        <f t="shared" si="268"/>
        <v>24.970752219157898</v>
      </c>
      <c r="AF580" s="334">
        <f t="shared" si="269"/>
        <v>-144.60333142521085</v>
      </c>
      <c r="AH580">
        <f t="shared" si="270"/>
        <v>0</v>
      </c>
      <c r="AI580">
        <f t="shared" si="275"/>
        <v>0</v>
      </c>
    </row>
    <row r="581" spans="1:35" x14ac:dyDescent="0.25">
      <c r="A581" s="335">
        <v>109650</v>
      </c>
      <c r="B581" s="352">
        <f t="shared" si="271"/>
        <v>109.65</v>
      </c>
      <c r="C581" s="325">
        <f t="shared" si="246"/>
        <v>132.88175051295107</v>
      </c>
      <c r="D581" s="326">
        <f t="shared" si="247"/>
        <v>1.5632707679035649</v>
      </c>
      <c r="E581" s="326">
        <f t="shared" si="248"/>
        <v>1.0094484404837842</v>
      </c>
      <c r="F581" s="327">
        <f t="shared" si="249"/>
        <v>0.1369280191720183</v>
      </c>
      <c r="G581" s="326">
        <f t="shared" si="250"/>
        <v>1</v>
      </c>
      <c r="H581" s="327">
        <f t="shared" si="251"/>
        <v>0</v>
      </c>
      <c r="I581" s="325">
        <f t="shared" si="252"/>
        <v>145534.69972155217</v>
      </c>
      <c r="J581" s="328">
        <f t="shared" si="253"/>
        <v>1.5707894555813515</v>
      </c>
      <c r="K581" s="336">
        <f t="shared" si="273"/>
        <v>28.209615916835318</v>
      </c>
      <c r="L581" s="337">
        <f t="shared" si="274"/>
        <v>1.5353399930769842</v>
      </c>
      <c r="M581" s="325">
        <f t="shared" si="254"/>
        <v>1.2502038859070537</v>
      </c>
      <c r="N581" s="337">
        <f t="shared" si="255"/>
        <v>0.64371852011724173</v>
      </c>
      <c r="O581" s="343">
        <f t="shared" si="256"/>
        <v>1.1857424741122984</v>
      </c>
      <c r="P581" s="691">
        <f t="shared" si="257"/>
        <v>0.56730272919525826</v>
      </c>
      <c r="Q581" s="336">
        <f t="shared" si="272"/>
        <v>15.760566591941343</v>
      </c>
      <c r="R581" s="692">
        <f t="shared" si="258"/>
        <v>0.28940794723104607</v>
      </c>
      <c r="S581" s="329">
        <f t="shared" si="259"/>
        <v>1.0491761412232032</v>
      </c>
      <c r="T581" s="330">
        <f t="shared" si="260"/>
        <v>1.1109460491848022</v>
      </c>
      <c r="U581" s="331">
        <f t="shared" si="261"/>
        <v>-10.095910253185805</v>
      </c>
      <c r="V581" s="332">
        <f t="shared" si="262"/>
        <v>-168.36720054819145</v>
      </c>
      <c r="W581" s="334">
        <f t="shared" si="263"/>
        <v>11.632799451808552</v>
      </c>
      <c r="Y581" s="307">
        <f t="shared" si="264"/>
        <v>109650</v>
      </c>
      <c r="Z581" s="307">
        <f t="shared" si="265"/>
        <v>12023122500</v>
      </c>
      <c r="AB581" s="333">
        <f t="shared" si="266"/>
        <v>21.516219891230051</v>
      </c>
      <c r="AC581" s="334">
        <f t="shared" si="267"/>
        <v>-38.913459029097744</v>
      </c>
      <c r="AE581" s="333">
        <f t="shared" si="268"/>
        <v>24.838898931028513</v>
      </c>
      <c r="AF581" s="334">
        <f t="shared" si="269"/>
        <v>-145.37593969254502</v>
      </c>
      <c r="AH581">
        <f t="shared" si="270"/>
        <v>0</v>
      </c>
      <c r="AI581">
        <f t="shared" si="275"/>
        <v>0</v>
      </c>
    </row>
    <row r="582" spans="1:35" x14ac:dyDescent="0.25">
      <c r="A582" s="335">
        <v>110925</v>
      </c>
      <c r="B582" s="352">
        <f t="shared" si="271"/>
        <v>110.925</v>
      </c>
      <c r="C582" s="325">
        <f t="shared" si="246"/>
        <v>134.42680014402785</v>
      </c>
      <c r="D582" s="326">
        <f t="shared" si="247"/>
        <v>1.5633572653706822</v>
      </c>
      <c r="E582" s="326">
        <f t="shared" si="248"/>
        <v>1.0096683908810091</v>
      </c>
      <c r="F582" s="327">
        <f t="shared" si="249"/>
        <v>0.13850003648780504</v>
      </c>
      <c r="G582" s="326">
        <f t="shared" si="250"/>
        <v>1</v>
      </c>
      <c r="H582" s="327">
        <f t="shared" si="251"/>
        <v>0</v>
      </c>
      <c r="I582" s="325">
        <f t="shared" si="252"/>
        <v>147226.96367172332</v>
      </c>
      <c r="J582" s="328">
        <f t="shared" si="253"/>
        <v>1.5707895345608176</v>
      </c>
      <c r="K582" s="336">
        <f t="shared" si="273"/>
        <v>28.537224875997033</v>
      </c>
      <c r="L582" s="337">
        <f t="shared" si="274"/>
        <v>1.5357472015246569</v>
      </c>
      <c r="M582" s="325">
        <f t="shared" si="254"/>
        <v>1.2554597285583635</v>
      </c>
      <c r="N582" s="337">
        <f t="shared" si="255"/>
        <v>0.64927728256410111</v>
      </c>
      <c r="O582" s="343">
        <f t="shared" si="256"/>
        <v>1.1897401498135562</v>
      </c>
      <c r="P582" s="691">
        <f t="shared" si="257"/>
        <v>0.57255462570307458</v>
      </c>
      <c r="Q582" s="336">
        <f t="shared" si="272"/>
        <v>15.775142778068661</v>
      </c>
      <c r="R582" s="692">
        <f t="shared" si="258"/>
        <v>0.29259354741169119</v>
      </c>
      <c r="S582" s="329">
        <f t="shared" si="259"/>
        <v>1.053547837097798</v>
      </c>
      <c r="T582" s="330">
        <f t="shared" si="260"/>
        <v>1.1261835051754923</v>
      </c>
      <c r="U582" s="331">
        <f t="shared" si="261"/>
        <v>-10.245903565720267</v>
      </c>
      <c r="V582" s="332">
        <f t="shared" si="262"/>
        <v>-169.3319052188719</v>
      </c>
      <c r="W582" s="334">
        <f t="shared" si="263"/>
        <v>10.668094781128104</v>
      </c>
      <c r="Y582" s="307">
        <f t="shared" si="264"/>
        <v>110925</v>
      </c>
      <c r="Z582" s="307">
        <f t="shared" si="265"/>
        <v>12304355625</v>
      </c>
      <c r="AB582" s="333">
        <f t="shared" si="266"/>
        <v>21.479656313063003</v>
      </c>
      <c r="AC582" s="334">
        <f t="shared" si="267"/>
        <v>-39.208625856712246</v>
      </c>
      <c r="AE582" s="333">
        <f t="shared" si="268"/>
        <v>24.704263824249473</v>
      </c>
      <c r="AF582" s="334">
        <f t="shared" si="269"/>
        <v>-146.16386759451657</v>
      </c>
      <c r="AH582">
        <f t="shared" si="270"/>
        <v>0</v>
      </c>
      <c r="AI582">
        <f t="shared" si="275"/>
        <v>0</v>
      </c>
    </row>
    <row r="583" spans="1:35" x14ac:dyDescent="0.25">
      <c r="A583" s="335">
        <v>112200</v>
      </c>
      <c r="B583" s="352">
        <f t="shared" si="271"/>
        <v>112.2</v>
      </c>
      <c r="C583" s="325">
        <f t="shared" si="246"/>
        <v>135.9718507580038</v>
      </c>
      <c r="D583" s="326">
        <f t="shared" si="247"/>
        <v>1.5634417970938348</v>
      </c>
      <c r="E583" s="326">
        <f t="shared" si="248"/>
        <v>1.0098908353191183</v>
      </c>
      <c r="F583" s="327">
        <f t="shared" si="249"/>
        <v>0.14007136516191915</v>
      </c>
      <c r="G583" s="326">
        <f t="shared" si="250"/>
        <v>1</v>
      </c>
      <c r="H583" s="327">
        <f t="shared" si="251"/>
        <v>0</v>
      </c>
      <c r="I583" s="325">
        <f t="shared" si="252"/>
        <v>148919.22762189541</v>
      </c>
      <c r="J583" s="328">
        <f t="shared" si="253"/>
        <v>1.5707896117452957</v>
      </c>
      <c r="K583" s="336">
        <f t="shared" si="273"/>
        <v>28.864838459750139</v>
      </c>
      <c r="L583" s="337">
        <f t="shared" si="274"/>
        <v>1.5361451664711334</v>
      </c>
      <c r="M583" s="325">
        <f t="shared" si="254"/>
        <v>1.2607540405730688</v>
      </c>
      <c r="N583" s="337">
        <f t="shared" si="255"/>
        <v>0.65478952808682322</v>
      </c>
      <c r="O583" s="343">
        <f t="shared" si="256"/>
        <v>1.1937704211111353</v>
      </c>
      <c r="P583" s="691">
        <f t="shared" si="257"/>
        <v>0.57777120358529255</v>
      </c>
      <c r="Q583" s="336">
        <f t="shared" si="272"/>
        <v>15.789873797943676</v>
      </c>
      <c r="R583" s="692">
        <f t="shared" si="258"/>
        <v>0.29577332951110463</v>
      </c>
      <c r="S583" s="329">
        <f t="shared" si="259"/>
        <v>1.0581019270030776</v>
      </c>
      <c r="T583" s="330">
        <f t="shared" si="260"/>
        <v>1.1414157156083422</v>
      </c>
      <c r="U583" s="331">
        <f t="shared" si="261"/>
        <v>-10.396123464111245</v>
      </c>
      <c r="V583" s="332">
        <f t="shared" si="262"/>
        <v>-170.29579071267236</v>
      </c>
      <c r="W583" s="334">
        <f t="shared" si="263"/>
        <v>9.7042092873276431</v>
      </c>
      <c r="Y583" s="307">
        <f t="shared" si="264"/>
        <v>112200</v>
      </c>
      <c r="Z583" s="307">
        <f t="shared" si="265"/>
        <v>12588840000</v>
      </c>
      <c r="AB583" s="333">
        <f t="shared" si="266"/>
        <v>21.442984152290599</v>
      </c>
      <c r="AC583" s="334">
        <f t="shared" si="267"/>
        <v>-39.501656971656523</v>
      </c>
      <c r="AE583" s="333">
        <f t="shared" si="268"/>
        <v>24.569449370583094</v>
      </c>
      <c r="AF583" s="334">
        <f t="shared" si="269"/>
        <v>-146.95142177559092</v>
      </c>
      <c r="AH583">
        <f t="shared" si="270"/>
        <v>0</v>
      </c>
      <c r="AI583">
        <f t="shared" si="275"/>
        <v>0</v>
      </c>
    </row>
    <row r="584" spans="1:35" x14ac:dyDescent="0.25">
      <c r="A584" s="335">
        <v>113510</v>
      </c>
      <c r="B584" s="352">
        <f t="shared" si="271"/>
        <v>113.51</v>
      </c>
      <c r="C584" s="325">
        <f t="shared" si="246"/>
        <v>137.55931551501945</v>
      </c>
      <c r="D584" s="326">
        <f t="shared" si="247"/>
        <v>1.5635266714880809</v>
      </c>
      <c r="E584" s="326">
        <f t="shared" si="248"/>
        <v>1.0101219820195397</v>
      </c>
      <c r="F584" s="327">
        <f t="shared" si="249"/>
        <v>0.1416851034169048</v>
      </c>
      <c r="G584" s="326">
        <f t="shared" si="250"/>
        <v>1</v>
      </c>
      <c r="H584" s="327">
        <f t="shared" si="251"/>
        <v>0</v>
      </c>
      <c r="I584" s="325">
        <f t="shared" si="252"/>
        <v>150657.94587658287</v>
      </c>
      <c r="J584" s="328">
        <f t="shared" si="253"/>
        <v>1.5707896892425646</v>
      </c>
      <c r="K584" s="336">
        <f t="shared" si="273"/>
        <v>29.201450010722912</v>
      </c>
      <c r="L584" s="337">
        <f t="shared" si="274"/>
        <v>1.5365447552202935</v>
      </c>
      <c r="M584" s="325">
        <f t="shared" si="254"/>
        <v>1.2662332473197895</v>
      </c>
      <c r="N584" s="337">
        <f t="shared" si="255"/>
        <v>0.66040490382402195</v>
      </c>
      <c r="O584" s="343">
        <f t="shared" si="256"/>
        <v>1.1979449315451685</v>
      </c>
      <c r="P584" s="691">
        <f t="shared" si="257"/>
        <v>0.58309427326594065</v>
      </c>
      <c r="Q584" s="336">
        <f t="shared" si="272"/>
        <v>15.805170011736609</v>
      </c>
      <c r="R584" s="692">
        <f t="shared" si="258"/>
        <v>0.29903429266396653</v>
      </c>
      <c r="S584" s="329">
        <f t="shared" si="259"/>
        <v>1.0629739597015071</v>
      </c>
      <c r="T584" s="330">
        <f t="shared" si="260"/>
        <v>1.157056055791911</v>
      </c>
      <c r="U584" s="331">
        <f t="shared" si="261"/>
        <v>-10.550733933423</v>
      </c>
      <c r="V584" s="332">
        <f t="shared" si="262"/>
        <v>-171.28501577037139</v>
      </c>
      <c r="W584" s="334">
        <f t="shared" si="263"/>
        <v>8.7149842296286124</v>
      </c>
      <c r="Y584" s="307">
        <f t="shared" si="264"/>
        <v>113510</v>
      </c>
      <c r="Z584" s="307">
        <f t="shared" si="265"/>
        <v>12884520100</v>
      </c>
      <c r="AB584" s="333">
        <f t="shared" si="266"/>
        <v>21.405197654712058</v>
      </c>
      <c r="AC584" s="334">
        <f t="shared" si="267"/>
        <v>-39.800503993518291</v>
      </c>
      <c r="AE584" s="333">
        <f t="shared" si="268"/>
        <v>24.430714846573078</v>
      </c>
      <c r="AF584" s="334">
        <f t="shared" si="269"/>
        <v>-147.75994981251171</v>
      </c>
      <c r="AH584">
        <f t="shared" si="270"/>
        <v>0</v>
      </c>
      <c r="AI584">
        <f t="shared" si="275"/>
        <v>0</v>
      </c>
    </row>
    <row r="585" spans="1:35" x14ac:dyDescent="0.25">
      <c r="A585" s="335">
        <v>114820</v>
      </c>
      <c r="B585" s="352">
        <f t="shared" si="271"/>
        <v>114.82</v>
      </c>
      <c r="C585" s="325">
        <f t="shared" si="246"/>
        <v>139.14678124035578</v>
      </c>
      <c r="D585" s="326">
        <f t="shared" si="247"/>
        <v>1.5636096092920611</v>
      </c>
      <c r="E585" s="326">
        <f t="shared" si="248"/>
        <v>1.0103557580226896</v>
      </c>
      <c r="F585" s="327">
        <f t="shared" si="249"/>
        <v>0.14329809909760685</v>
      </c>
      <c r="G585" s="326">
        <f t="shared" si="250"/>
        <v>1</v>
      </c>
      <c r="H585" s="327">
        <f t="shared" si="251"/>
        <v>0</v>
      </c>
      <c r="I585" s="325">
        <f t="shared" si="252"/>
        <v>152396.66413127125</v>
      </c>
      <c r="J585" s="328">
        <f t="shared" si="253"/>
        <v>1.5707897649714755</v>
      </c>
      <c r="K585" s="336">
        <f t="shared" si="273"/>
        <v>29.538066118055582</v>
      </c>
      <c r="L585" s="337">
        <f t="shared" si="274"/>
        <v>1.5369352365955775</v>
      </c>
      <c r="M585" s="325">
        <f t="shared" si="254"/>
        <v>1.2717520367195176</v>
      </c>
      <c r="N585" s="337">
        <f t="shared" si="255"/>
        <v>0.66597171779786357</v>
      </c>
      <c r="O585" s="343">
        <f t="shared" si="256"/>
        <v>1.2021531495329281</v>
      </c>
      <c r="P585" s="691">
        <f t="shared" si="257"/>
        <v>0.58838022432773263</v>
      </c>
      <c r="Q585" s="336">
        <f t="shared" si="272"/>
        <v>15.820628747760168</v>
      </c>
      <c r="R585" s="692">
        <f t="shared" si="258"/>
        <v>0.30228901841353495</v>
      </c>
      <c r="S585" s="329">
        <f t="shared" si="259"/>
        <v>1.0680444612880546</v>
      </c>
      <c r="T585" s="330">
        <f t="shared" si="260"/>
        <v>1.1726815754606692</v>
      </c>
      <c r="U585" s="331">
        <f t="shared" si="261"/>
        <v>-10.705643870358214</v>
      </c>
      <c r="V585" s="332">
        <f t="shared" si="262"/>
        <v>-172.27283195504154</v>
      </c>
      <c r="W585" s="334">
        <f t="shared" si="263"/>
        <v>7.7271680449584608</v>
      </c>
      <c r="Y585" s="307">
        <f t="shared" si="264"/>
        <v>114820</v>
      </c>
      <c r="Z585" s="307">
        <f t="shared" si="265"/>
        <v>13183632400</v>
      </c>
      <c r="AB585" s="333">
        <f t="shared" si="266"/>
        <v>21.367307516299313</v>
      </c>
      <c r="AC585" s="334">
        <f t="shared" si="267"/>
        <v>-40.09709034405752</v>
      </c>
      <c r="AE585" s="333">
        <f t="shared" si="268"/>
        <v>24.291727515519781</v>
      </c>
      <c r="AF585" s="334">
        <f t="shared" si="269"/>
        <v>-148.56756028440611</v>
      </c>
      <c r="AH585">
        <f t="shared" si="270"/>
        <v>0</v>
      </c>
      <c r="AI585">
        <f t="shared" si="275"/>
        <v>0</v>
      </c>
    </row>
    <row r="586" spans="1:35" x14ac:dyDescent="0.25">
      <c r="A586" s="335">
        <v>116155</v>
      </c>
      <c r="B586" s="352">
        <f t="shared" si="271"/>
        <v>116.155</v>
      </c>
      <c r="C586" s="325">
        <f t="shared" si="246"/>
        <v>140.76454307541965</v>
      </c>
      <c r="D586" s="326">
        <f t="shared" si="247"/>
        <v>1.5636922053334477</v>
      </c>
      <c r="E586" s="326">
        <f t="shared" si="248"/>
        <v>1.0105966985584904</v>
      </c>
      <c r="F586" s="327">
        <f t="shared" si="249"/>
        <v>0.14494110501896534</v>
      </c>
      <c r="G586" s="326">
        <f t="shared" si="250"/>
        <v>1</v>
      </c>
      <c r="H586" s="327">
        <f t="shared" si="251"/>
        <v>0</v>
      </c>
      <c r="I586" s="325">
        <f t="shared" si="252"/>
        <v>154168.56403204237</v>
      </c>
      <c r="J586" s="328">
        <f t="shared" si="253"/>
        <v>1.5707898403882399</v>
      </c>
      <c r="K586" s="336">
        <f t="shared" si="273"/>
        <v>29.881110725093571</v>
      </c>
      <c r="L586" s="337">
        <f t="shared" si="274"/>
        <v>1.5373241187145159</v>
      </c>
      <c r="M586" s="325">
        <f t="shared" si="254"/>
        <v>1.2774163383012143</v>
      </c>
      <c r="N586" s="337">
        <f t="shared" si="255"/>
        <v>0.67159510477260254</v>
      </c>
      <c r="O586" s="343">
        <f t="shared" si="256"/>
        <v>1.2064759904252396</v>
      </c>
      <c r="P586" s="691">
        <f t="shared" si="257"/>
        <v>0.59372896235288053</v>
      </c>
      <c r="Q586" s="336">
        <f t="shared" si="272"/>
        <v>15.836549209736072</v>
      </c>
      <c r="R586" s="692">
        <f t="shared" si="258"/>
        <v>0.30559939112108686</v>
      </c>
      <c r="S586" s="329">
        <f t="shared" si="259"/>
        <v>1.0734188702879659</v>
      </c>
      <c r="T586" s="330">
        <f t="shared" si="260"/>
        <v>1.1885851435830541</v>
      </c>
      <c r="U586" s="331">
        <f t="shared" si="261"/>
        <v>-10.863845722504646</v>
      </c>
      <c r="V586" s="332">
        <f t="shared" si="262"/>
        <v>-173.27776401570466</v>
      </c>
      <c r="W586" s="334">
        <f t="shared" si="263"/>
        <v>6.7222359842953381</v>
      </c>
      <c r="Y586" s="307">
        <f t="shared" si="264"/>
        <v>116155</v>
      </c>
      <c r="Z586" s="307">
        <f t="shared" si="265"/>
        <v>13491984025</v>
      </c>
      <c r="AB586" s="333">
        <f t="shared" si="266"/>
        <v>21.328593260460153</v>
      </c>
      <c r="AC586" s="334">
        <f t="shared" si="267"/>
        <v>-40.397009701540632</v>
      </c>
      <c r="AE586" s="333">
        <f t="shared" si="268"/>
        <v>24.149798523898586</v>
      </c>
      <c r="AF586" s="334">
        <f t="shared" si="269"/>
        <v>-149.38936271752371</v>
      </c>
      <c r="AH586">
        <f t="shared" si="270"/>
        <v>0</v>
      </c>
      <c r="AI586">
        <f t="shared" si="275"/>
        <v>0</v>
      </c>
    </row>
    <row r="587" spans="1:35" x14ac:dyDescent="0.25">
      <c r="A587" s="335">
        <v>117490</v>
      </c>
      <c r="B587" s="352">
        <f t="shared" si="271"/>
        <v>117.49</v>
      </c>
      <c r="C587" s="325">
        <f t="shared" si="246"/>
        <v>142.38230584897184</v>
      </c>
      <c r="D587" s="326">
        <f t="shared" si="247"/>
        <v>1.5637729244455101</v>
      </c>
      <c r="E587" s="326">
        <f t="shared" si="248"/>
        <v>1.0108403658633984</v>
      </c>
      <c r="F587" s="327">
        <f t="shared" si="249"/>
        <v>0.14658332326474749</v>
      </c>
      <c r="G587" s="326">
        <f t="shared" si="250"/>
        <v>1</v>
      </c>
      <c r="H587" s="327">
        <f t="shared" si="251"/>
        <v>0</v>
      </c>
      <c r="I587" s="325">
        <f t="shared" si="252"/>
        <v>155940.46393281431</v>
      </c>
      <c r="J587" s="328">
        <f t="shared" si="253"/>
        <v>1.5707899140911328</v>
      </c>
      <c r="K587" s="336">
        <f t="shared" si="273"/>
        <v>30.224159748451562</v>
      </c>
      <c r="L587" s="337">
        <f t="shared" si="274"/>
        <v>1.5377041731419656</v>
      </c>
      <c r="M587" s="325">
        <f t="shared" si="254"/>
        <v>1.2831206775696444</v>
      </c>
      <c r="N587" s="337">
        <f t="shared" si="255"/>
        <v>0.67716866718060265</v>
      </c>
      <c r="O587" s="343">
        <f t="shared" si="256"/>
        <v>1.2108331003594295</v>
      </c>
      <c r="P587" s="691">
        <f t="shared" si="257"/>
        <v>0.59903935717364698</v>
      </c>
      <c r="Q587" s="336">
        <f t="shared" si="272"/>
        <v>15.852637455987109</v>
      </c>
      <c r="R587" s="692">
        <f t="shared" si="258"/>
        <v>0.30890318751148105</v>
      </c>
      <c r="S587" s="329">
        <f t="shared" si="259"/>
        <v>1.0790052726507027</v>
      </c>
      <c r="T587" s="330">
        <f t="shared" si="260"/>
        <v>1.2044633889823153</v>
      </c>
      <c r="U587" s="331">
        <f t="shared" si="261"/>
        <v>-11.022411553753715</v>
      </c>
      <c r="V587" s="332">
        <f t="shared" si="262"/>
        <v>-174.28065384400571</v>
      </c>
      <c r="W587" s="334">
        <f t="shared" si="263"/>
        <v>5.7193461559942875</v>
      </c>
      <c r="Y587" s="307">
        <f t="shared" si="264"/>
        <v>117490</v>
      </c>
      <c r="Z587" s="307">
        <f t="shared" si="265"/>
        <v>13803900100</v>
      </c>
      <c r="AB587" s="333">
        <f t="shared" si="266"/>
        <v>21.289782608073494</v>
      </c>
      <c r="AC587" s="334">
        <f t="shared" si="267"/>
        <v>-40.694580012898406</v>
      </c>
      <c r="AE587" s="333">
        <f t="shared" si="268"/>
        <v>24.007550782751679</v>
      </c>
      <c r="AF587" s="334">
        <f t="shared" si="269"/>
        <v>-150.20965185583623</v>
      </c>
      <c r="AH587">
        <f t="shared" si="270"/>
        <v>0</v>
      </c>
      <c r="AI587">
        <f t="shared" si="275"/>
        <v>0</v>
      </c>
    </row>
    <row r="588" spans="1:35" x14ac:dyDescent="0.25">
      <c r="A588" s="335">
        <v>118860</v>
      </c>
      <c r="B588" s="352">
        <f t="shared" si="271"/>
        <v>118.86</v>
      </c>
      <c r="C588" s="325">
        <f t="shared" si="246"/>
        <v>144.04248282131462</v>
      </c>
      <c r="D588" s="326">
        <f t="shared" si="247"/>
        <v>1.5638538747252124</v>
      </c>
      <c r="E588" s="326">
        <f t="shared" si="248"/>
        <v>1.0110932543207496</v>
      </c>
      <c r="F588" s="327">
        <f t="shared" si="249"/>
        <v>0.14826776831039359</v>
      </c>
      <c r="G588" s="326">
        <f t="shared" si="250"/>
        <v>1</v>
      </c>
      <c r="H588" s="327">
        <f t="shared" si="251"/>
        <v>0</v>
      </c>
      <c r="I588" s="325">
        <f t="shared" si="252"/>
        <v>157758.81813810175</v>
      </c>
      <c r="J588" s="328">
        <f t="shared" si="253"/>
        <v>1.570789988005016</v>
      </c>
      <c r="K588" s="336">
        <f t="shared" si="273"/>
        <v>30.576207002048999</v>
      </c>
      <c r="L588" s="337">
        <f t="shared" si="274"/>
        <v>1.5380853251609852</v>
      </c>
      <c r="M588" s="325">
        <f t="shared" si="254"/>
        <v>1.2890156372834831</v>
      </c>
      <c r="N588" s="337">
        <f t="shared" si="255"/>
        <v>0.68283688495328776</v>
      </c>
      <c r="O588" s="343">
        <f t="shared" si="256"/>
        <v>1.2153396835551131</v>
      </c>
      <c r="P588" s="691">
        <f t="shared" si="257"/>
        <v>0.60444923173122311</v>
      </c>
      <c r="Q588" s="336">
        <f t="shared" si="272"/>
        <v>15.869321397008408</v>
      </c>
      <c r="R588" s="692">
        <f t="shared" si="258"/>
        <v>0.31228671209617814</v>
      </c>
      <c r="S588" s="329">
        <f t="shared" si="259"/>
        <v>1.0849614720195855</v>
      </c>
      <c r="T588" s="330">
        <f t="shared" si="260"/>
        <v>1.2207263384140197</v>
      </c>
      <c r="U588" s="331">
        <f t="shared" si="261"/>
        <v>-11.185536631576188</v>
      </c>
      <c r="V588" s="332">
        <f t="shared" si="262"/>
        <v>-175.3074082148747</v>
      </c>
      <c r="W588" s="334">
        <f t="shared" si="263"/>
        <v>4.6925917851253018</v>
      </c>
      <c r="Y588" s="307">
        <f t="shared" si="264"/>
        <v>118860</v>
      </c>
      <c r="Z588" s="307">
        <f t="shared" si="265"/>
        <v>14127699600</v>
      </c>
      <c r="AB588" s="333">
        <f t="shared" si="266"/>
        <v>21.249859999825343</v>
      </c>
      <c r="AC588" s="334">
        <f t="shared" si="267"/>
        <v>-40.997510801891295</v>
      </c>
      <c r="AE588" s="333">
        <f t="shared" si="268"/>
        <v>23.861216996461408</v>
      </c>
      <c r="AF588" s="334">
        <f t="shared" si="269"/>
        <v>-151.04957673910744</v>
      </c>
      <c r="AH588">
        <f t="shared" si="270"/>
        <v>0</v>
      </c>
      <c r="AI588">
        <f t="shared" si="275"/>
        <v>0</v>
      </c>
    </row>
    <row r="589" spans="1:35" x14ac:dyDescent="0.25">
      <c r="A589" s="335">
        <v>120230</v>
      </c>
      <c r="B589" s="352">
        <f t="shared" si="271"/>
        <v>120.23</v>
      </c>
      <c r="C589" s="325">
        <f t="shared" ref="C589:C613" si="276">SQRT(1+(A589/pole1)^2)</f>
        <v>145.70266071605008</v>
      </c>
      <c r="D589" s="326">
        <f t="shared" ref="D589:D613" si="277">ATAN(A589/pole1)</f>
        <v>1.5639329802640263</v>
      </c>
      <c r="E589" s="326">
        <f t="shared" ref="E589:E613" si="278">SQRT(1+(A589/Zero1)^2)</f>
        <v>1.0113490101692615</v>
      </c>
      <c r="F589" s="327">
        <f t="shared" ref="F589:F613" si="279">ATAN(A589/Zero1)</f>
        <v>0.14995136618638599</v>
      </c>
      <c r="G589" s="326">
        <f t="shared" ref="G589:G613" si="280">IF(VIN_nom&gt;Vout, 1, SQRT(1+(A589/z_RHP)^2))</f>
        <v>1</v>
      </c>
      <c r="H589" s="327">
        <f t="shared" ref="H589:H613" si="281">IF(VIN_nom&gt;Vout, 0, -ATAN(A589/z_RHP))</f>
        <v>0</v>
      </c>
      <c r="I589" s="325">
        <f t="shared" ref="I589:I613" si="282">SQRT(1+(A589/Pole2)^2)</f>
        <v>159577.17234339003</v>
      </c>
      <c r="J589" s="328">
        <f t="shared" ref="J589:J613" si="283">ATAN(A589/Pole2)</f>
        <v>1.5707900602344274</v>
      </c>
      <c r="K589" s="336">
        <f t="shared" si="273"/>
        <v>30.928258596537148</v>
      </c>
      <c r="L589" s="337">
        <f t="shared" si="274"/>
        <v>1.5384578000438751</v>
      </c>
      <c r="M589" s="325">
        <f t="shared" ref="M589:M613" si="284">SQRT(1+(A589/pole4)^2)</f>
        <v>1.2949516335542601</v>
      </c>
      <c r="N589" s="337">
        <f t="shared" ref="N589:N613" si="285">ATAN(A589/pole4)</f>
        <v>0.68845331612512473</v>
      </c>
      <c r="O589" s="343">
        <f t="shared" ref="O589:O613" si="286">IF(VOUT_setting=1,1,SQRT(1+(A589*zterm1)^2))</f>
        <v>1.2198815723761207</v>
      </c>
      <c r="P589" s="691">
        <f t="shared" ref="P589:P613" si="287">IF(VOUT_setting=1,0,ATAN(((A589*zterm1))))</f>
        <v>0.60981897815512776</v>
      </c>
      <c r="Q589" s="336">
        <f t="shared" si="272"/>
        <v>15.886180943998603</v>
      </c>
      <c r="R589" s="692">
        <f t="shared" ref="R589:R613" si="288">IF(VOUT_setting=1,0,ATAN(A589*$Q$4/(1+Afbr-$Q$5*(A589)^2)))</f>
        <v>0.31566320808337367</v>
      </c>
      <c r="S589" s="329">
        <f t="shared" ref="S589:S613" si="289">SQRT((1-(Z589/pterm2))^2+(A589/pterm1)^2)</f>
        <v>1.0911467695732882</v>
      </c>
      <c r="T589" s="330">
        <f t="shared" ref="T589:T613" si="290">IF((ATAN((A589/pterm1)/(1-A589^2/pterm2))&gt;0),ATAN((A589/pterm1)/(1-A589^2/pterm2)),PI()+ATAN((A589/pterm1)/(1-A589^2/pterm2)))</f>
        <v>1.2369519542274254</v>
      </c>
      <c r="U589" s="331">
        <f t="shared" ref="U589:U613" si="291">20*LOG10(((E589*K589*G589*O589)/(C589*I589*S589*M589*Q589))*Adc)</f>
        <v>-11.349090236478601</v>
      </c>
      <c r="V589" s="332">
        <f t="shared" ref="V589:V613" si="292">((F589+L589+H589+P589)-(D589+J589+T589+N589+R589))*radconv</f>
        <v>-176.33139274718442</v>
      </c>
      <c r="W589" s="334">
        <f t="shared" ref="W589:W613" si="293">IF(V589&gt;0,V589,V589+180)</f>
        <v>3.6686072528155762</v>
      </c>
      <c r="Y589" s="307">
        <f t="shared" ref="Y589:Y613" si="294">IF(U589&lt;0,A589,1000000000)</f>
        <v>120230</v>
      </c>
      <c r="Z589" s="307">
        <f t="shared" ref="Z589:Z613" si="295">A589^2</f>
        <v>14455252900</v>
      </c>
      <c r="AB589" s="333">
        <f t="shared" ref="AB589:AB613" si="296">20*LOG10((K589/(I589*M589))*AEA)</f>
        <v>21.20984749753292</v>
      </c>
      <c r="AC589" s="334">
        <f t="shared" ref="AC589:AC613" si="297">(L589-(J589+N589))*radconv</f>
        <v>-41.297971503982808</v>
      </c>
      <c r="AE589" s="333">
        <f t="shared" ref="AE589:AE613" si="298">20*LOG10((E589*G589/(C589*S589))*Acs*Am)</f>
        <v>23.714499032611368</v>
      </c>
      <c r="AF589" s="334">
        <f t="shared" ref="AF589:AF613" si="299">(F589+H589-(D589+T589))*radconv</f>
        <v>-151.88730540699214</v>
      </c>
      <c r="AH589">
        <f t="shared" ref="AH589:AH613" si="300">SUM((U590&lt;0)*(U589&gt;0))*A589</f>
        <v>0</v>
      </c>
      <c r="AI589">
        <f t="shared" si="275"/>
        <v>0</v>
      </c>
    </row>
    <row r="590" spans="1:35" x14ac:dyDescent="0.25">
      <c r="A590" s="335">
        <v>126030</v>
      </c>
      <c r="B590" s="352">
        <f t="shared" ref="B590:B613" si="301">A590/1000</f>
        <v>126.03</v>
      </c>
      <c r="C590" s="325">
        <f t="shared" si="276"/>
        <v>152.73116059953639</v>
      </c>
      <c r="D590" s="326">
        <f t="shared" si="277"/>
        <v>1.5642488276397288</v>
      </c>
      <c r="E590" s="326">
        <f t="shared" si="278"/>
        <v>1.0124634877134366</v>
      </c>
      <c r="F590" s="327">
        <f t="shared" si="279"/>
        <v>0.15706941726980814</v>
      </c>
      <c r="G590" s="326">
        <f t="shared" si="280"/>
        <v>1</v>
      </c>
      <c r="H590" s="327">
        <f t="shared" si="281"/>
        <v>0</v>
      </c>
      <c r="I590" s="325">
        <f t="shared" si="282"/>
        <v>167275.3142344002</v>
      </c>
      <c r="J590" s="328">
        <f t="shared" si="283"/>
        <v>1.5707903486264825</v>
      </c>
      <c r="K590" s="336">
        <f t="shared" si="273"/>
        <v>32.418740838452528</v>
      </c>
      <c r="L590" s="337">
        <f t="shared" si="274"/>
        <v>1.5399450776404873</v>
      </c>
      <c r="M590" s="325">
        <f t="shared" si="284"/>
        <v>1.3205239370173669</v>
      </c>
      <c r="N590" s="337">
        <f t="shared" si="285"/>
        <v>0.71166552622942947</v>
      </c>
      <c r="O590" s="343">
        <f t="shared" si="286"/>
        <v>1.2394921455286623</v>
      </c>
      <c r="P590" s="691">
        <f t="shared" si="287"/>
        <v>0.63211097568950991</v>
      </c>
      <c r="Q590" s="336">
        <f t="shared" si="272"/>
        <v>15.95948965180148</v>
      </c>
      <c r="R590" s="692">
        <f t="shared" si="288"/>
        <v>0.32987884141325657</v>
      </c>
      <c r="S590" s="329">
        <f t="shared" si="289"/>
        <v>1.1199318954461344</v>
      </c>
      <c r="T590" s="330">
        <f t="shared" si="290"/>
        <v>1.3051084471789809</v>
      </c>
      <c r="U590" s="331">
        <f t="shared" si="291"/>
        <v>-12.046626758796625</v>
      </c>
      <c r="V590" s="332">
        <f t="shared" si="292"/>
        <v>-180.62875646460819</v>
      </c>
      <c r="W590" s="334">
        <f t="shared" si="293"/>
        <v>-0.62875646460818757</v>
      </c>
      <c r="Y590" s="307">
        <f t="shared" si="294"/>
        <v>126030</v>
      </c>
      <c r="Z590" s="307">
        <f t="shared" si="295"/>
        <v>15883560900</v>
      </c>
      <c r="AB590" s="333">
        <f t="shared" si="296"/>
        <v>21.039584604241178</v>
      </c>
      <c r="AC590" s="334">
        <f t="shared" si="297"/>
        <v>-42.542734971950104</v>
      </c>
      <c r="AE590" s="333">
        <f t="shared" si="298"/>
        <v>23.08869313230986</v>
      </c>
      <c r="AF590" s="334">
        <f t="shared" si="299"/>
        <v>-155.40264723970571</v>
      </c>
      <c r="AH590">
        <f t="shared" si="300"/>
        <v>0</v>
      </c>
      <c r="AI590">
        <f t="shared" si="275"/>
        <v>0</v>
      </c>
    </row>
    <row r="591" spans="1:35" x14ac:dyDescent="0.25">
      <c r="A591" s="335">
        <v>131830</v>
      </c>
      <c r="B591" s="352">
        <f t="shared" si="301"/>
        <v>131.83000000000001</v>
      </c>
      <c r="C591" s="325">
        <f t="shared" si="276"/>
        <v>159.75967437878987</v>
      </c>
      <c r="D591" s="326">
        <f t="shared" si="277"/>
        <v>1.5645368840786911</v>
      </c>
      <c r="E591" s="326">
        <f t="shared" si="278"/>
        <v>1.0136291490740494</v>
      </c>
      <c r="F591" s="327">
        <f t="shared" si="279"/>
        <v>0.16417145616730736</v>
      </c>
      <c r="G591" s="326">
        <f t="shared" si="280"/>
        <v>1</v>
      </c>
      <c r="H591" s="327">
        <f t="shared" si="281"/>
        <v>0</v>
      </c>
      <c r="I591" s="325">
        <f t="shared" si="282"/>
        <v>174973.45612542305</v>
      </c>
      <c r="J591" s="328">
        <f t="shared" si="283"/>
        <v>1.570790611642312</v>
      </c>
      <c r="K591" s="336">
        <f t="shared" si="273"/>
        <v>33.909288486330901</v>
      </c>
      <c r="L591" s="337">
        <f t="shared" si="274"/>
        <v>1.5413016057575781</v>
      </c>
      <c r="M591" s="325">
        <f t="shared" si="284"/>
        <v>1.3467805094257448</v>
      </c>
      <c r="N591" s="337">
        <f t="shared" si="285"/>
        <v>0.73398429709262381</v>
      </c>
      <c r="O591" s="343">
        <f t="shared" si="286"/>
        <v>1.2596993106450489</v>
      </c>
      <c r="P591" s="691">
        <f t="shared" si="287"/>
        <v>0.65369823593238052</v>
      </c>
      <c r="Q591" s="336">
        <f t="shared" ref="Q591:Q613" si="302">IF(VOUT_setting=1,1,SQRT((1+Afbr-$Q$5*(A591)^2)^2+(A591*$Q$4)^2))</f>
        <v>16.035892708654131</v>
      </c>
      <c r="R591" s="692">
        <f t="shared" si="288"/>
        <v>0.34396391440453744</v>
      </c>
      <c r="S591" s="329">
        <f t="shared" si="289"/>
        <v>1.1530522863114396</v>
      </c>
      <c r="T591" s="330">
        <f t="shared" si="290"/>
        <v>1.3721082364791897</v>
      </c>
      <c r="U591" s="331">
        <f t="shared" si="291"/>
        <v>-12.752957505880971</v>
      </c>
      <c r="V591" s="332">
        <f t="shared" si="292"/>
        <v>-184.8483686295917</v>
      </c>
      <c r="W591" s="334">
        <f t="shared" si="293"/>
        <v>-4.8483686295917039</v>
      </c>
      <c r="Y591" s="307">
        <f t="shared" si="294"/>
        <v>131830</v>
      </c>
      <c r="Z591" s="307">
        <f t="shared" si="295"/>
        <v>17379148900</v>
      </c>
      <c r="AB591" s="333">
        <f t="shared" si="296"/>
        <v>20.868218085810277</v>
      </c>
      <c r="AC591" s="334">
        <f t="shared" si="297"/>
        <v>-43.743798081499961</v>
      </c>
      <c r="AE591" s="333">
        <f t="shared" si="298"/>
        <v>22.454749498205132</v>
      </c>
      <c r="AF591" s="334">
        <f t="shared" si="299"/>
        <v>-158.85103996226343</v>
      </c>
      <c r="AH591">
        <f t="shared" si="300"/>
        <v>0</v>
      </c>
      <c r="AI591">
        <f t="shared" si="275"/>
        <v>0</v>
      </c>
    </row>
    <row r="592" spans="1:35" x14ac:dyDescent="0.25">
      <c r="A592" s="335">
        <v>144540</v>
      </c>
      <c r="B592" s="352">
        <f t="shared" si="301"/>
        <v>144.54</v>
      </c>
      <c r="C592" s="325">
        <f t="shared" si="276"/>
        <v>175.16185447527522</v>
      </c>
      <c r="D592" s="326">
        <f t="shared" si="277"/>
        <v>1.565087290228691</v>
      </c>
      <c r="E592" s="326">
        <f t="shared" si="278"/>
        <v>1.0163616612401605</v>
      </c>
      <c r="F592" s="327">
        <f t="shared" si="279"/>
        <v>0.17967551642641647</v>
      </c>
      <c r="G592" s="326">
        <f t="shared" si="280"/>
        <v>1</v>
      </c>
      <c r="H592" s="327">
        <f t="shared" si="281"/>
        <v>0</v>
      </c>
      <c r="I592" s="325">
        <f t="shared" si="282"/>
        <v>191843.00499354626</v>
      </c>
      <c r="J592" s="328">
        <f t="shared" si="283"/>
        <v>1.5707911141993161</v>
      </c>
      <c r="K592" s="336">
        <f t="shared" si="273"/>
        <v>37.175834036660184</v>
      </c>
      <c r="L592" s="337">
        <f t="shared" si="274"/>
        <v>1.5438938870878747</v>
      </c>
      <c r="M592" s="325">
        <f t="shared" si="284"/>
        <v>1.406522688411129</v>
      </c>
      <c r="N592" s="337">
        <f t="shared" si="285"/>
        <v>0.77991509834221495</v>
      </c>
      <c r="O592" s="343">
        <f t="shared" si="286"/>
        <v>1.3059305350734873</v>
      </c>
      <c r="P592" s="691">
        <f t="shared" si="287"/>
        <v>0.69860906362239361</v>
      </c>
      <c r="Q592" s="336">
        <f t="shared" si="302"/>
        <v>16.213924939290873</v>
      </c>
      <c r="R592" s="692">
        <f t="shared" si="288"/>
        <v>0.37435676725091799</v>
      </c>
      <c r="S592" s="329">
        <f t="shared" si="289"/>
        <v>1.2414079361402446</v>
      </c>
      <c r="T592" s="330">
        <f t="shared" si="290"/>
        <v>1.5131886810235289</v>
      </c>
      <c r="U592" s="331">
        <f t="shared" si="291"/>
        <v>-14.330801632295518</v>
      </c>
      <c r="V592" s="332">
        <f t="shared" si="292"/>
        <v>-193.72622580570308</v>
      </c>
      <c r="W592" s="334">
        <f t="shared" si="293"/>
        <v>-13.726225805703081</v>
      </c>
      <c r="Y592" s="307">
        <f t="shared" si="294"/>
        <v>144540</v>
      </c>
      <c r="Z592" s="307">
        <f t="shared" si="295"/>
        <v>20891811600</v>
      </c>
      <c r="AB592" s="333">
        <f t="shared" si="296"/>
        <v>20.490584601583222</v>
      </c>
      <c r="AC592" s="334">
        <f t="shared" si="297"/>
        <v>-46.226941160451872</v>
      </c>
      <c r="AE592" s="333">
        <f t="shared" si="298"/>
        <v>21.037375484026217</v>
      </c>
      <c r="AF592" s="334">
        <f t="shared" si="299"/>
        <v>-166.07757274599064</v>
      </c>
      <c r="AH592">
        <f t="shared" si="300"/>
        <v>0</v>
      </c>
      <c r="AI592">
        <f t="shared" si="275"/>
        <v>0</v>
      </c>
    </row>
    <row r="593" spans="1:35" x14ac:dyDescent="0.25">
      <c r="A593" s="335">
        <v>158490</v>
      </c>
      <c r="B593" s="352">
        <f t="shared" si="301"/>
        <v>158.49</v>
      </c>
      <c r="C593" s="325">
        <f t="shared" si="276"/>
        <v>192.06673709676005</v>
      </c>
      <c r="D593" s="326">
        <f t="shared" si="277"/>
        <v>1.56558977966887</v>
      </c>
      <c r="E593" s="326">
        <f t="shared" si="278"/>
        <v>1.0196403587885059</v>
      </c>
      <c r="F593" s="327">
        <f t="shared" si="279"/>
        <v>0.19659197670148859</v>
      </c>
      <c r="G593" s="326">
        <f t="shared" si="280"/>
        <v>1</v>
      </c>
      <c r="H593" s="327">
        <f t="shared" si="281"/>
        <v>0</v>
      </c>
      <c r="I593" s="325">
        <f t="shared" si="282"/>
        <v>210358.36350738641</v>
      </c>
      <c r="J593" s="328">
        <f t="shared" si="283"/>
        <v>1.5707915730024478</v>
      </c>
      <c r="K593" s="336">
        <f t="shared" si="273"/>
        <v>40.761306184567424</v>
      </c>
      <c r="L593" s="337">
        <f t="shared" si="274"/>
        <v>1.5462607946268396</v>
      </c>
      <c r="M593" s="325">
        <f t="shared" si="284"/>
        <v>1.4752143673067548</v>
      </c>
      <c r="N593" s="337">
        <f t="shared" si="285"/>
        <v>0.82593810439277948</v>
      </c>
      <c r="O593" s="343">
        <f t="shared" si="286"/>
        <v>1.3594840534865722</v>
      </c>
      <c r="P593" s="691">
        <f t="shared" si="287"/>
        <v>0.74428395261377089</v>
      </c>
      <c r="Q593" s="336">
        <f t="shared" si="302"/>
        <v>16.425619847068599</v>
      </c>
      <c r="R593" s="692">
        <f t="shared" si="288"/>
        <v>0.40693724379134605</v>
      </c>
      <c r="S593" s="329">
        <f t="shared" si="289"/>
        <v>1.3639381931304577</v>
      </c>
      <c r="T593" s="330">
        <f t="shared" si="290"/>
        <v>1.6562439892699814</v>
      </c>
      <c r="U593" s="331">
        <f t="shared" si="291"/>
        <v>-16.098970774842986</v>
      </c>
      <c r="V593" s="332">
        <f t="shared" si="292"/>
        <v>-202.73332187513191</v>
      </c>
      <c r="W593" s="334">
        <f t="shared" si="293"/>
        <v>-22.733321875131907</v>
      </c>
      <c r="Y593" s="307">
        <f t="shared" si="294"/>
        <v>158490</v>
      </c>
      <c r="Z593" s="307">
        <f t="shared" si="295"/>
        <v>25119080100</v>
      </c>
      <c r="AB593" s="333">
        <f t="shared" si="296"/>
        <v>20.075887910227021</v>
      </c>
      <c r="AC593" s="334">
        <f t="shared" si="297"/>
        <v>-48.728277645515156</v>
      </c>
      <c r="AE593" s="333">
        <f t="shared" si="298"/>
        <v>19.447494393345544</v>
      </c>
      <c r="AF593" s="334">
        <f t="shared" si="299"/>
        <v>-173.33358689985641</v>
      </c>
      <c r="AH593">
        <f t="shared" si="300"/>
        <v>0</v>
      </c>
      <c r="AI593">
        <f t="shared" si="275"/>
        <v>0</v>
      </c>
    </row>
    <row r="594" spans="1:35" x14ac:dyDescent="0.25">
      <c r="A594" s="335">
        <v>173780</v>
      </c>
      <c r="B594" s="352">
        <f t="shared" si="301"/>
        <v>173.78</v>
      </c>
      <c r="C594" s="325">
        <f t="shared" si="276"/>
        <v>210.59550423987909</v>
      </c>
      <c r="D594" s="326">
        <f t="shared" si="277"/>
        <v>1.5660478695018802</v>
      </c>
      <c r="E594" s="326">
        <f t="shared" si="278"/>
        <v>1.0235668617490215</v>
      </c>
      <c r="F594" s="327">
        <f t="shared" si="279"/>
        <v>0.21500303063774104</v>
      </c>
      <c r="G594" s="326">
        <f t="shared" si="280"/>
        <v>1</v>
      </c>
      <c r="H594" s="327">
        <f t="shared" si="281"/>
        <v>0</v>
      </c>
      <c r="I594" s="325">
        <f t="shared" si="282"/>
        <v>230652.25825127214</v>
      </c>
      <c r="J594" s="328">
        <f t="shared" si="283"/>
        <v>1.5707919912639654</v>
      </c>
      <c r="K594" s="336">
        <f t="shared" si="273"/>
        <v>44.691407477108385</v>
      </c>
      <c r="L594" s="337">
        <f t="shared" si="274"/>
        <v>1.5484187933867457</v>
      </c>
      <c r="M594" s="325">
        <f t="shared" si="284"/>
        <v>1.553756408264106</v>
      </c>
      <c r="N594" s="337">
        <f t="shared" si="285"/>
        <v>0.8716016555843813</v>
      </c>
      <c r="O594" s="343">
        <f t="shared" si="286"/>
        <v>1.4211781111454627</v>
      </c>
      <c r="P594" s="691">
        <f t="shared" si="287"/>
        <v>0.79028677965398197</v>
      </c>
      <c r="Q594" s="336">
        <f t="shared" si="302"/>
        <v>16.676487075829598</v>
      </c>
      <c r="R594" s="692">
        <f t="shared" si="288"/>
        <v>0.44167456532465132</v>
      </c>
      <c r="S594" s="329">
        <f t="shared" si="289"/>
        <v>1.528853927002032</v>
      </c>
      <c r="T594" s="330">
        <f t="shared" si="290"/>
        <v>1.7965361287379227</v>
      </c>
      <c r="U594" s="331">
        <f t="shared" si="291"/>
        <v>-18.054115546106161</v>
      </c>
      <c r="V594" s="332">
        <f t="shared" si="292"/>
        <v>-211.59008288747415</v>
      </c>
      <c r="W594" s="334">
        <f t="shared" si="293"/>
        <v>-31.590082887474153</v>
      </c>
      <c r="Y594" s="307">
        <f t="shared" si="294"/>
        <v>173780</v>
      </c>
      <c r="Z594" s="307">
        <f t="shared" si="295"/>
        <v>30199488400</v>
      </c>
      <c r="AB594" s="333">
        <f t="shared" si="296"/>
        <v>19.624892167651609</v>
      </c>
      <c r="AC594" s="334">
        <f t="shared" si="297"/>
        <v>-51.220986152704462</v>
      </c>
      <c r="AE594" s="333">
        <f t="shared" si="298"/>
        <v>17.689513599382568</v>
      </c>
      <c r="AF594" s="334">
        <f t="shared" si="299"/>
        <v>-180.34310532537407</v>
      </c>
      <c r="AH594">
        <f t="shared" si="300"/>
        <v>0</v>
      </c>
      <c r="AI594">
        <f t="shared" si="275"/>
        <v>0</v>
      </c>
    </row>
    <row r="595" spans="1:35" x14ac:dyDescent="0.25">
      <c r="A595" s="335">
        <v>190550</v>
      </c>
      <c r="B595" s="352">
        <f t="shared" si="301"/>
        <v>190.55</v>
      </c>
      <c r="C595" s="325">
        <f t="shared" si="276"/>
        <v>230.91781105777434</v>
      </c>
      <c r="D595" s="326">
        <f t="shared" si="277"/>
        <v>1.5664657681383376</v>
      </c>
      <c r="E595" s="326">
        <f t="shared" si="278"/>
        <v>1.0282691049281227</v>
      </c>
      <c r="F595" s="327">
        <f t="shared" si="279"/>
        <v>0.23502694339444388</v>
      </c>
      <c r="G595" s="326">
        <f t="shared" si="280"/>
        <v>1</v>
      </c>
      <c r="H595" s="327">
        <f t="shared" si="281"/>
        <v>0</v>
      </c>
      <c r="I595" s="325">
        <f t="shared" si="282"/>
        <v>252910.50644326388</v>
      </c>
      <c r="J595" s="328">
        <f t="shared" si="283"/>
        <v>1.5707923728270916</v>
      </c>
      <c r="K595" s="336">
        <f t="shared" si="273"/>
        <v>49.002123140882468</v>
      </c>
      <c r="L595" s="337">
        <f t="shared" si="274"/>
        <v>1.5503876310401847</v>
      </c>
      <c r="M595" s="325">
        <f t="shared" si="284"/>
        <v>1.6432482359964111</v>
      </c>
      <c r="N595" s="337">
        <f t="shared" si="285"/>
        <v>0.91656334426219854</v>
      </c>
      <c r="O595" s="343">
        <f t="shared" si="286"/>
        <v>1.491997834655534</v>
      </c>
      <c r="P595" s="691">
        <f t="shared" si="287"/>
        <v>0.83626115467578432</v>
      </c>
      <c r="Q595" s="336">
        <f t="shared" si="302"/>
        <v>16.973280606833807</v>
      </c>
      <c r="R595" s="692">
        <f t="shared" si="288"/>
        <v>0.47856750129668069</v>
      </c>
      <c r="S595" s="329">
        <f t="shared" si="289"/>
        <v>1.7453303519797989</v>
      </c>
      <c r="T595" s="330">
        <f t="shared" si="290"/>
        <v>1.9301302531172393</v>
      </c>
      <c r="U595" s="331">
        <f t="shared" si="291"/>
        <v>-20.18230531081624</v>
      </c>
      <c r="V595" s="332">
        <f t="shared" si="292"/>
        <v>-220.06412317510487</v>
      </c>
      <c r="W595" s="334">
        <f t="shared" si="293"/>
        <v>-40.064123175104868</v>
      </c>
      <c r="Y595" s="307">
        <f t="shared" si="294"/>
        <v>190550</v>
      </c>
      <c r="Z595" s="307">
        <f t="shared" si="295"/>
        <v>36309302500</v>
      </c>
      <c r="AB595" s="333">
        <f t="shared" si="296"/>
        <v>19.138121427796769</v>
      </c>
      <c r="AC595" s="334">
        <f t="shared" si="297"/>
        <v>-53.684316930407562</v>
      </c>
      <c r="AE595" s="333">
        <f t="shared" si="298"/>
        <v>15.778925314318364</v>
      </c>
      <c r="AF595" s="334">
        <f t="shared" si="299"/>
        <v>-186.87414296535354</v>
      </c>
      <c r="AH595">
        <f t="shared" si="300"/>
        <v>0</v>
      </c>
      <c r="AI595">
        <f t="shared" si="275"/>
        <v>0</v>
      </c>
    </row>
    <row r="596" spans="1:35" x14ac:dyDescent="0.25">
      <c r="A596" s="335">
        <v>208930</v>
      </c>
      <c r="B596" s="352">
        <f t="shared" si="301"/>
        <v>208.93</v>
      </c>
      <c r="C596" s="325">
        <f t="shared" si="276"/>
        <v>253.19119480402776</v>
      </c>
      <c r="D596" s="326">
        <f t="shared" si="277"/>
        <v>1.5668467320996238</v>
      </c>
      <c r="E596" s="326">
        <f t="shared" si="278"/>
        <v>1.0338917121320348</v>
      </c>
      <c r="F596" s="327">
        <f t="shared" si="279"/>
        <v>0.25675434041019762</v>
      </c>
      <c r="G596" s="326">
        <f t="shared" si="280"/>
        <v>1</v>
      </c>
      <c r="H596" s="327">
        <f t="shared" si="281"/>
        <v>0</v>
      </c>
      <c r="I596" s="325">
        <f t="shared" si="282"/>
        <v>277305.65264298947</v>
      </c>
      <c r="J596" s="328">
        <f t="shared" si="283"/>
        <v>1.5707927206657375</v>
      </c>
      <c r="K596" s="336">
        <f t="shared" si="273"/>
        <v>53.726869558060962</v>
      </c>
      <c r="L596" s="337">
        <f t="shared" si="274"/>
        <v>1.5521825911398532</v>
      </c>
      <c r="M596" s="325">
        <f t="shared" si="284"/>
        <v>1.7447323997845365</v>
      </c>
      <c r="N596" s="337">
        <f t="shared" si="285"/>
        <v>0.96044694261513464</v>
      </c>
      <c r="O596" s="343">
        <f t="shared" si="286"/>
        <v>1.57289225895781</v>
      </c>
      <c r="P596" s="691">
        <f t="shared" si="287"/>
        <v>0.88178876485254898</v>
      </c>
      <c r="Q596" s="336">
        <f t="shared" si="302"/>
        <v>17.323232353037717</v>
      </c>
      <c r="R596" s="692">
        <f t="shared" si="288"/>
        <v>0.51752113413913969</v>
      </c>
      <c r="S596" s="329">
        <f t="shared" si="289"/>
        <v>2.0231316746625958</v>
      </c>
      <c r="T596" s="330">
        <f t="shared" si="290"/>
        <v>2.0540520590721534</v>
      </c>
      <c r="U596" s="331">
        <f t="shared" si="291"/>
        <v>-22.457157870312017</v>
      </c>
      <c r="V596" s="332">
        <f t="shared" si="292"/>
        <v>-227.97611924450297</v>
      </c>
      <c r="W596" s="334">
        <f t="shared" si="293"/>
        <v>-47.976119244502968</v>
      </c>
      <c r="Y596" s="307">
        <f t="shared" si="294"/>
        <v>208930</v>
      </c>
      <c r="Z596" s="307">
        <f t="shared" si="295"/>
        <v>43651744900</v>
      </c>
      <c r="AB596" s="333">
        <f t="shared" si="296"/>
        <v>18.617304167680352</v>
      </c>
      <c r="AC596" s="334">
        <f t="shared" si="297"/>
        <v>-56.095838200214594</v>
      </c>
      <c r="AE596" s="333">
        <f t="shared" si="298"/>
        <v>13.743537158422532</v>
      </c>
      <c r="AF596" s="334">
        <f t="shared" si="299"/>
        <v>-192.75127892124533</v>
      </c>
      <c r="AH596">
        <f t="shared" si="300"/>
        <v>0</v>
      </c>
      <c r="AI596">
        <f t="shared" si="275"/>
        <v>0</v>
      </c>
    </row>
    <row r="597" spans="1:35" x14ac:dyDescent="0.25">
      <c r="A597" s="335">
        <v>229090</v>
      </c>
      <c r="B597" s="352">
        <f t="shared" si="301"/>
        <v>229.09</v>
      </c>
      <c r="C597" s="325">
        <f t="shared" si="276"/>
        <v>277.62166609599387</v>
      </c>
      <c r="D597" s="326">
        <f t="shared" si="277"/>
        <v>1.5671942946606441</v>
      </c>
      <c r="E597" s="326">
        <f t="shared" si="278"/>
        <v>1.0406135750220429</v>
      </c>
      <c r="F597" s="327">
        <f t="shared" si="279"/>
        <v>0.28030353138870584</v>
      </c>
      <c r="G597" s="326">
        <f t="shared" si="280"/>
        <v>1</v>
      </c>
      <c r="H597" s="327">
        <f t="shared" si="281"/>
        <v>0</v>
      </c>
      <c r="I597" s="325">
        <f t="shared" si="282"/>
        <v>304063.33204380871</v>
      </c>
      <c r="J597" s="328">
        <f t="shared" si="283"/>
        <v>1.5707930380063628</v>
      </c>
      <c r="K597" s="336">
        <f t="shared" si="273"/>
        <v>58.909346770816406</v>
      </c>
      <c r="L597" s="337">
        <f t="shared" si="274"/>
        <v>1.5538202765162754</v>
      </c>
      <c r="M597" s="325">
        <f t="shared" si="284"/>
        <v>1.8594618539584937</v>
      </c>
      <c r="N597" s="337">
        <f t="shared" si="285"/>
        <v>1.0029827540215099</v>
      </c>
      <c r="O597" s="343">
        <f t="shared" si="286"/>
        <v>1.6649832749302218</v>
      </c>
      <c r="P597" s="691">
        <f t="shared" si="287"/>
        <v>0.9265367099954146</v>
      </c>
      <c r="Q597" s="336">
        <f t="shared" si="302"/>
        <v>17.734972571127294</v>
      </c>
      <c r="R597" s="692">
        <f t="shared" si="288"/>
        <v>0.55844781022982437</v>
      </c>
      <c r="S597" s="329">
        <f t="shared" si="289"/>
        <v>2.3736497691100169</v>
      </c>
      <c r="T597" s="330">
        <f t="shared" si="290"/>
        <v>2.1668609414635798</v>
      </c>
      <c r="U597" s="331">
        <f t="shared" si="291"/>
        <v>-24.852050075417644</v>
      </c>
      <c r="V597" s="332">
        <f t="shared" si="292"/>
        <v>-235.23460232397551</v>
      </c>
      <c r="W597" s="334">
        <f t="shared" si="293"/>
        <v>-55.234602323975508</v>
      </c>
      <c r="Y597" s="307">
        <f t="shared" si="294"/>
        <v>229090</v>
      </c>
      <c r="Z597" s="307">
        <f t="shared" si="295"/>
        <v>52482228100</v>
      </c>
      <c r="AB597" s="333">
        <f t="shared" si="296"/>
        <v>18.063882064761369</v>
      </c>
      <c r="AC597" s="334">
        <f t="shared" si="297"/>
        <v>-58.439146396681167</v>
      </c>
      <c r="AE597" s="333">
        <f t="shared" si="298"/>
        <v>11.611880863239772</v>
      </c>
      <c r="AF597" s="334">
        <f t="shared" si="299"/>
        <v>-197.88539639357546</v>
      </c>
      <c r="AH597">
        <f t="shared" si="300"/>
        <v>0</v>
      </c>
      <c r="AI597">
        <f t="shared" si="275"/>
        <v>0</v>
      </c>
    </row>
    <row r="598" spans="1:35" x14ac:dyDescent="0.25">
      <c r="A598" s="335">
        <v>251190</v>
      </c>
      <c r="B598" s="352">
        <f t="shared" si="301"/>
        <v>251.19</v>
      </c>
      <c r="C598" s="325">
        <f t="shared" si="276"/>
        <v>304.40311756835177</v>
      </c>
      <c r="D598" s="326">
        <f t="shared" si="277"/>
        <v>1.5675112034142193</v>
      </c>
      <c r="E598" s="326">
        <f t="shared" si="278"/>
        <v>1.0486361935092925</v>
      </c>
      <c r="F598" s="327">
        <f t="shared" si="279"/>
        <v>0.30575628071423661</v>
      </c>
      <c r="G598" s="326">
        <f t="shared" si="280"/>
        <v>1</v>
      </c>
      <c r="H598" s="327">
        <f t="shared" si="281"/>
        <v>0</v>
      </c>
      <c r="I598" s="325">
        <f t="shared" si="282"/>
        <v>333395.90718064876</v>
      </c>
      <c r="J598" s="328">
        <f t="shared" si="283"/>
        <v>1.5707933273579555</v>
      </c>
      <c r="K598" s="336">
        <f t="shared" si="273"/>
        <v>64.590685588707998</v>
      </c>
      <c r="L598" s="337">
        <f t="shared" si="274"/>
        <v>1.5553135997658325</v>
      </c>
      <c r="M598" s="325">
        <f t="shared" si="284"/>
        <v>1.9886255593725666</v>
      </c>
      <c r="N598" s="337">
        <f t="shared" si="285"/>
        <v>1.0438920920167616</v>
      </c>
      <c r="O598" s="343">
        <f t="shared" si="286"/>
        <v>1.769344222639085</v>
      </c>
      <c r="P598" s="691">
        <f t="shared" si="287"/>
        <v>0.97014350685090234</v>
      </c>
      <c r="Q598" s="336">
        <f t="shared" si="302"/>
        <v>18.217585111269752</v>
      </c>
      <c r="R598" s="692">
        <f t="shared" si="288"/>
        <v>0.60115467945636558</v>
      </c>
      <c r="S598" s="329">
        <f t="shared" si="289"/>
        <v>2.8096887397384847</v>
      </c>
      <c r="T598" s="330">
        <f t="shared" si="290"/>
        <v>2.2681161908106278</v>
      </c>
      <c r="U598" s="331">
        <f t="shared" si="291"/>
        <v>-27.338771158055259</v>
      </c>
      <c r="V598" s="332">
        <f t="shared" si="292"/>
        <v>-241.80274900709759</v>
      </c>
      <c r="W598" s="334">
        <f t="shared" si="293"/>
        <v>-61.802749007097589</v>
      </c>
      <c r="Y598" s="307">
        <f t="shared" si="294"/>
        <v>251190</v>
      </c>
      <c r="Z598" s="307">
        <f t="shared" si="295"/>
        <v>63096416100</v>
      </c>
      <c r="AB598" s="333">
        <f t="shared" si="296"/>
        <v>17.480356665806557</v>
      </c>
      <c r="AC598" s="334">
        <f t="shared" si="297"/>
        <v>-60.697534268040499</v>
      </c>
      <c r="AE598" s="333">
        <f t="shared" si="298"/>
        <v>9.4138417604304472</v>
      </c>
      <c r="AF598" s="334">
        <f t="shared" si="299"/>
        <v>-202.24671726040287</v>
      </c>
      <c r="AH598">
        <f t="shared" si="300"/>
        <v>0</v>
      </c>
      <c r="AI598">
        <f t="shared" si="275"/>
        <v>0</v>
      </c>
    </row>
    <row r="599" spans="1:35" x14ac:dyDescent="0.25">
      <c r="A599" s="335">
        <v>275420</v>
      </c>
      <c r="B599" s="352">
        <f t="shared" si="301"/>
        <v>275.42</v>
      </c>
      <c r="C599" s="325">
        <f t="shared" si="276"/>
        <v>333.76579698064523</v>
      </c>
      <c r="D599" s="326">
        <f t="shared" si="277"/>
        <v>1.5678002094420469</v>
      </c>
      <c r="E599" s="326">
        <f t="shared" si="278"/>
        <v>1.0582000151756785</v>
      </c>
      <c r="F599" s="327">
        <f t="shared" si="279"/>
        <v>0.33319887615448673</v>
      </c>
      <c r="G599" s="326">
        <f t="shared" si="280"/>
        <v>1</v>
      </c>
      <c r="H599" s="327">
        <f t="shared" si="281"/>
        <v>0</v>
      </c>
      <c r="I599" s="325">
        <f t="shared" si="282"/>
        <v>365555.55856373586</v>
      </c>
      <c r="J599" s="328">
        <f t="shared" si="283"/>
        <v>1.5707935912326092</v>
      </c>
      <c r="K599" s="336">
        <f t="shared" ref="K599:K613" si="303">SQRT(1+(A599/Zero2)^2)</f>
        <v>70.819730048108966</v>
      </c>
      <c r="L599" s="337">
        <f t="shared" ref="L599:L613" si="304">ATAN(A599/Zero2)</f>
        <v>1.556675498699984</v>
      </c>
      <c r="M599" s="325">
        <f t="shared" si="284"/>
        <v>2.133573550111028</v>
      </c>
      <c r="N599" s="337">
        <f t="shared" si="285"/>
        <v>1.0829809249614117</v>
      </c>
      <c r="O599" s="343">
        <f t="shared" si="286"/>
        <v>1.8871773283120832</v>
      </c>
      <c r="P599" s="691">
        <f t="shared" si="287"/>
        <v>1.0123232207328621</v>
      </c>
      <c r="Q599" s="336">
        <f t="shared" si="302"/>
        <v>18.781366185143703</v>
      </c>
      <c r="R599" s="692">
        <f t="shared" si="288"/>
        <v>0.64542382195459713</v>
      </c>
      <c r="S599" s="329">
        <f t="shared" si="289"/>
        <v>3.3467125364422441</v>
      </c>
      <c r="T599" s="330">
        <f t="shared" si="290"/>
        <v>2.3582682766774186</v>
      </c>
      <c r="U599" s="331">
        <f t="shared" si="291"/>
        <v>-29.894958464105144</v>
      </c>
      <c r="V599" s="332">
        <f t="shared" si="292"/>
        <v>-247.69362162931438</v>
      </c>
      <c r="W599" s="334">
        <f t="shared" si="293"/>
        <v>-67.693621629314379</v>
      </c>
      <c r="Y599" s="307">
        <f t="shared" si="294"/>
        <v>275420</v>
      </c>
      <c r="Z599" s="307">
        <f t="shared" si="295"/>
        <v>75856176400</v>
      </c>
      <c r="AB599" s="333">
        <f t="shared" si="296"/>
        <v>16.869089522997857</v>
      </c>
      <c r="AC599" s="334">
        <f t="shared" si="297"/>
        <v>-62.859143482184635</v>
      </c>
      <c r="AE599" s="333">
        <f t="shared" si="298"/>
        <v>7.1736414961642154</v>
      </c>
      <c r="AF599" s="334">
        <f t="shared" si="299"/>
        <v>-205.85626522703257</v>
      </c>
      <c r="AH599">
        <f t="shared" si="300"/>
        <v>0</v>
      </c>
      <c r="AI599">
        <f t="shared" si="275"/>
        <v>0</v>
      </c>
    </row>
    <row r="600" spans="1:35" x14ac:dyDescent="0.25">
      <c r="A600" s="335">
        <v>302000</v>
      </c>
      <c r="B600" s="352">
        <f t="shared" si="301"/>
        <v>302</v>
      </c>
      <c r="C600" s="325">
        <f t="shared" si="276"/>
        <v>365.97630729789893</v>
      </c>
      <c r="D600" s="326">
        <f t="shared" si="277"/>
        <v>1.5680639060769048</v>
      </c>
      <c r="E600" s="326">
        <f t="shared" si="278"/>
        <v>1.0695903812387109</v>
      </c>
      <c r="F600" s="327">
        <f t="shared" si="279"/>
        <v>0.36271386644447046</v>
      </c>
      <c r="G600" s="326">
        <f t="shared" si="280"/>
        <v>1</v>
      </c>
      <c r="H600" s="327">
        <f t="shared" si="281"/>
        <v>0</v>
      </c>
      <c r="I600" s="325">
        <f t="shared" si="282"/>
        <v>400834.28467859526</v>
      </c>
      <c r="J600" s="328">
        <f t="shared" si="283"/>
        <v>1.570793831998323</v>
      </c>
      <c r="K600" s="336">
        <f t="shared" si="303"/>
        <v>77.653037792859209</v>
      </c>
      <c r="L600" s="337">
        <f t="shared" si="304"/>
        <v>1.5579181745668207</v>
      </c>
      <c r="M600" s="325">
        <f t="shared" si="284"/>
        <v>2.2958293616444179</v>
      </c>
      <c r="N600" s="337">
        <f t="shared" si="285"/>
        <v>1.1201222104302682</v>
      </c>
      <c r="O600" s="343">
        <f t="shared" si="286"/>
        <v>2.0198239493630856</v>
      </c>
      <c r="P600" s="691">
        <f t="shared" si="287"/>
        <v>1.0528548572168501</v>
      </c>
      <c r="Q600" s="336">
        <f t="shared" si="302"/>
        <v>19.437875794028706</v>
      </c>
      <c r="R600" s="692">
        <f t="shared" si="288"/>
        <v>0.69100531470370596</v>
      </c>
      <c r="S600" s="329">
        <f t="shared" si="289"/>
        <v>4.0036647091835613</v>
      </c>
      <c r="T600" s="330">
        <f t="shared" si="290"/>
        <v>2.4382415066957432</v>
      </c>
      <c r="U600" s="331">
        <f t="shared" si="291"/>
        <v>-32.50417433579323</v>
      </c>
      <c r="V600" s="332">
        <f t="shared" si="292"/>
        <v>-252.94596258424042</v>
      </c>
      <c r="W600" s="334">
        <f t="shared" si="293"/>
        <v>-72.945962584240419</v>
      </c>
      <c r="Y600" s="307">
        <f t="shared" si="294"/>
        <v>302000</v>
      </c>
      <c r="Z600" s="307">
        <f t="shared" si="295"/>
        <v>91204000000</v>
      </c>
      <c r="AB600" s="333">
        <f t="shared" si="296"/>
        <v>16.232304062903044</v>
      </c>
      <c r="AC600" s="334">
        <f t="shared" si="297"/>
        <v>-64.915996099977704</v>
      </c>
      <c r="AE600" s="333">
        <f t="shared" si="298"/>
        <v>4.9096273942520128</v>
      </c>
      <c r="AF600" s="334">
        <f t="shared" si="299"/>
        <v>-208.7624181126958</v>
      </c>
      <c r="AH600">
        <f t="shared" si="300"/>
        <v>0</v>
      </c>
      <c r="AI600">
        <f t="shared" si="275"/>
        <v>0</v>
      </c>
    </row>
    <row r="601" spans="1:35" x14ac:dyDescent="0.25">
      <c r="A601" s="335">
        <v>331130</v>
      </c>
      <c r="B601" s="352">
        <f t="shared" si="301"/>
        <v>331.13</v>
      </c>
      <c r="C601" s="325">
        <f t="shared" si="276"/>
        <v>401.27701503732544</v>
      </c>
      <c r="D601" s="326">
        <f t="shared" si="277"/>
        <v>1.5683042801598379</v>
      </c>
      <c r="E601" s="326">
        <f t="shared" si="278"/>
        <v>1.0831194408939908</v>
      </c>
      <c r="F601" s="327">
        <f t="shared" si="279"/>
        <v>0.39431690222805177</v>
      </c>
      <c r="G601" s="326">
        <f t="shared" si="280"/>
        <v>1</v>
      </c>
      <c r="H601" s="327">
        <f t="shared" si="281"/>
        <v>0</v>
      </c>
      <c r="I601" s="325">
        <f t="shared" si="282"/>
        <v>439497.53869388672</v>
      </c>
      <c r="J601" s="328">
        <f t="shared" si="283"/>
        <v>1.5707940514692986</v>
      </c>
      <c r="K601" s="336">
        <f t="shared" si="303"/>
        <v>85.142025735182585</v>
      </c>
      <c r="L601" s="337">
        <f t="shared" si="304"/>
        <v>1.5590509756131803</v>
      </c>
      <c r="M601" s="325">
        <f t="shared" si="284"/>
        <v>2.476786430073914</v>
      </c>
      <c r="N601" s="337">
        <f t="shared" si="285"/>
        <v>1.1551853367107143</v>
      </c>
      <c r="O601" s="343">
        <f t="shared" si="286"/>
        <v>2.1685148916128973</v>
      </c>
      <c r="P601" s="691">
        <f t="shared" si="287"/>
        <v>1.0915110606223981</v>
      </c>
      <c r="Q601" s="336">
        <f t="shared" si="302"/>
        <v>20.198617643139897</v>
      </c>
      <c r="R601" s="692">
        <f t="shared" si="288"/>
        <v>0.73753697184681</v>
      </c>
      <c r="S601" s="329">
        <f t="shared" si="289"/>
        <v>4.8024012217361056</v>
      </c>
      <c r="T601" s="330">
        <f t="shared" si="290"/>
        <v>2.5090280272196566</v>
      </c>
      <c r="U601" s="331">
        <f t="shared" si="291"/>
        <v>-35.150417476207714</v>
      </c>
      <c r="V601" s="332">
        <f t="shared" si="292"/>
        <v>-257.60009058134369</v>
      </c>
      <c r="W601" s="334">
        <f t="shared" si="293"/>
        <v>-77.600090581343693</v>
      </c>
      <c r="Y601" s="307">
        <f t="shared" si="294"/>
        <v>331130</v>
      </c>
      <c r="Z601" s="307">
        <f t="shared" si="295"/>
        <v>109647076900</v>
      </c>
      <c r="AB601" s="333">
        <f t="shared" si="296"/>
        <v>15.573203841746926</v>
      </c>
      <c r="AC601" s="334">
        <f t="shared" si="297"/>
        <v>-66.86007311037919</v>
      </c>
      <c r="AE601" s="333">
        <f t="shared" si="298"/>
        <v>2.6389635538698419</v>
      </c>
      <c r="AF601" s="334">
        <f t="shared" si="299"/>
        <v>-211.02123883796952</v>
      </c>
      <c r="AH601">
        <f t="shared" si="300"/>
        <v>0</v>
      </c>
      <c r="AI601">
        <f t="shared" si="275"/>
        <v>0</v>
      </c>
    </row>
    <row r="602" spans="1:35" x14ac:dyDescent="0.25">
      <c r="A602" s="335">
        <v>363080</v>
      </c>
      <c r="B602" s="352">
        <f t="shared" si="301"/>
        <v>363.08</v>
      </c>
      <c r="C602" s="325">
        <f t="shared" si="276"/>
        <v>439.99511521796927</v>
      </c>
      <c r="D602" s="326">
        <f t="shared" si="277"/>
        <v>1.5685235723339583</v>
      </c>
      <c r="E602" s="326">
        <f t="shared" si="278"/>
        <v>1.0991692273089033</v>
      </c>
      <c r="F602" s="327">
        <f t="shared" si="279"/>
        <v>0.42804735489158985</v>
      </c>
      <c r="G602" s="326">
        <f t="shared" si="280"/>
        <v>1</v>
      </c>
      <c r="H602" s="327">
        <f t="shared" si="281"/>
        <v>0</v>
      </c>
      <c r="I602" s="325">
        <f t="shared" si="282"/>
        <v>481903.68238730071</v>
      </c>
      <c r="J602" s="328">
        <f t="shared" si="283"/>
        <v>1.5707942516914339</v>
      </c>
      <c r="K602" s="336">
        <f t="shared" si="303"/>
        <v>93.356107743798304</v>
      </c>
      <c r="L602" s="337">
        <f t="shared" si="304"/>
        <v>1.5600844499988848</v>
      </c>
      <c r="M602" s="325">
        <f t="shared" si="284"/>
        <v>2.678264336767938</v>
      </c>
      <c r="N602" s="337">
        <f t="shared" si="285"/>
        <v>1.1881506229016194</v>
      </c>
      <c r="O602" s="343">
        <f t="shared" si="286"/>
        <v>2.334825480189918</v>
      </c>
      <c r="P602" s="691">
        <f t="shared" si="287"/>
        <v>1.1281884045335886</v>
      </c>
      <c r="Q602" s="336">
        <f t="shared" si="302"/>
        <v>21.077220066836883</v>
      </c>
      <c r="R602" s="692">
        <f t="shared" si="288"/>
        <v>0.78470347326951484</v>
      </c>
      <c r="S602" s="329">
        <f t="shared" si="289"/>
        <v>5.7707668125031821</v>
      </c>
      <c r="T602" s="330">
        <f t="shared" si="290"/>
        <v>2.5717748870645032</v>
      </c>
      <c r="U602" s="331">
        <f t="shared" si="291"/>
        <v>-37.825618088487403</v>
      </c>
      <c r="V602" s="332">
        <f t="shared" si="292"/>
        <v>-261.70572674679954</v>
      </c>
      <c r="W602" s="334">
        <f t="shared" si="293"/>
        <v>-81.705726746799542</v>
      </c>
      <c r="Y602" s="307">
        <f t="shared" si="294"/>
        <v>363080</v>
      </c>
      <c r="Z602" s="307">
        <f t="shared" si="295"/>
        <v>131827086400</v>
      </c>
      <c r="AB602" s="333">
        <f t="shared" si="296"/>
        <v>14.893805466340444</v>
      </c>
      <c r="AC602" s="334">
        <f t="shared" si="297"/>
        <v>-68.689642632997106</v>
      </c>
      <c r="AE602" s="333">
        <f t="shared" si="298"/>
        <v>0.37115464882372096</v>
      </c>
      <c r="AF602" s="334">
        <f t="shared" si="299"/>
        <v>-212.69632102406305</v>
      </c>
      <c r="AH602">
        <f t="shared" si="300"/>
        <v>0</v>
      </c>
      <c r="AI602">
        <f t="shared" ref="AI602:AI613" si="305">IF(AH602&gt;0,W602,0)</f>
        <v>0</v>
      </c>
    </row>
    <row r="603" spans="1:35" x14ac:dyDescent="0.25">
      <c r="A603" s="335">
        <v>398110</v>
      </c>
      <c r="B603" s="352">
        <f t="shared" si="301"/>
        <v>398.11</v>
      </c>
      <c r="C603" s="325">
        <f t="shared" si="276"/>
        <v>482.44568471840887</v>
      </c>
      <c r="D603" s="326">
        <f t="shared" si="277"/>
        <v>1.5687235531174843</v>
      </c>
      <c r="E603" s="326">
        <f t="shared" si="278"/>
        <v>1.1181591381522686</v>
      </c>
      <c r="F603" s="327">
        <f t="shared" si="279"/>
        <v>0.46387140791656895</v>
      </c>
      <c r="G603" s="326">
        <f t="shared" si="280"/>
        <v>1</v>
      </c>
      <c r="H603" s="327">
        <f t="shared" si="281"/>
        <v>0</v>
      </c>
      <c r="I603" s="325">
        <f t="shared" si="282"/>
        <v>528397.80487809516</v>
      </c>
      <c r="J603" s="328">
        <f t="shared" si="283"/>
        <v>1.5707944342813571</v>
      </c>
      <c r="K603" s="336">
        <f t="shared" si="303"/>
        <v>102.36212771472997</v>
      </c>
      <c r="L603" s="337">
        <f t="shared" si="304"/>
        <v>1.5610269332765667</v>
      </c>
      <c r="M603" s="325">
        <f t="shared" si="284"/>
        <v>2.9020207409021253</v>
      </c>
      <c r="N603" s="337">
        <f t="shared" si="285"/>
        <v>1.2189970157513268</v>
      </c>
      <c r="O603" s="343">
        <f t="shared" si="286"/>
        <v>2.5202759138143027</v>
      </c>
      <c r="P603" s="691">
        <f t="shared" si="287"/>
        <v>1.1627879785436381</v>
      </c>
      <c r="Q603" s="336">
        <f t="shared" si="302"/>
        <v>22.087322885561615</v>
      </c>
      <c r="R603" s="692">
        <f t="shared" si="288"/>
        <v>0.83211465919859029</v>
      </c>
      <c r="S603" s="329">
        <f t="shared" si="289"/>
        <v>6.9414137666524178</v>
      </c>
      <c r="T603" s="330">
        <f t="shared" si="290"/>
        <v>2.6274731531904365</v>
      </c>
      <c r="U603" s="331">
        <f t="shared" si="291"/>
        <v>-40.520883547178073</v>
      </c>
      <c r="V603" s="332">
        <f t="shared" si="292"/>
        <v>-265.30332290038808</v>
      </c>
      <c r="W603" s="334">
        <f t="shared" si="293"/>
        <v>-85.303322900388082</v>
      </c>
      <c r="Y603" s="307">
        <f t="shared" si="294"/>
        <v>398110</v>
      </c>
      <c r="Z603" s="307">
        <f t="shared" si="295"/>
        <v>158491572100</v>
      </c>
      <c r="AB603" s="333">
        <f t="shared" si="296"/>
        <v>14.196780157091171</v>
      </c>
      <c r="AC603" s="334">
        <f t="shared" si="297"/>
        <v>-70.403020906004826</v>
      </c>
      <c r="AE603" s="333">
        <f t="shared" si="298"/>
        <v>-1.8843637958568973</v>
      </c>
      <c r="AF603" s="334">
        <f t="shared" si="299"/>
        <v>-213.84648761208533</v>
      </c>
      <c r="AH603">
        <f t="shared" si="300"/>
        <v>0</v>
      </c>
      <c r="AI603">
        <f t="shared" si="305"/>
        <v>0</v>
      </c>
    </row>
    <row r="604" spans="1:35" x14ac:dyDescent="0.25">
      <c r="A604" s="335">
        <v>436520</v>
      </c>
      <c r="B604" s="352">
        <f t="shared" si="301"/>
        <v>436.52</v>
      </c>
      <c r="C604" s="325">
        <f t="shared" si="276"/>
        <v>528.99227394642469</v>
      </c>
      <c r="D604" s="326">
        <f t="shared" si="277"/>
        <v>1.5689059388916209</v>
      </c>
      <c r="E604" s="326">
        <f t="shared" si="278"/>
        <v>1.1405718043923219</v>
      </c>
      <c r="F604" s="327">
        <f t="shared" si="279"/>
        <v>0.50172714049044975</v>
      </c>
      <c r="G604" s="326">
        <f t="shared" si="280"/>
        <v>1</v>
      </c>
      <c r="H604" s="327">
        <f t="shared" si="281"/>
        <v>0</v>
      </c>
      <c r="I604" s="325">
        <f t="shared" si="282"/>
        <v>579378.08591926005</v>
      </c>
      <c r="J604" s="328">
        <f t="shared" si="283"/>
        <v>1.5707946008062472</v>
      </c>
      <c r="K604" s="336">
        <f t="shared" si="303"/>
        <v>112.23721398845774</v>
      </c>
      <c r="L604" s="337">
        <f t="shared" si="304"/>
        <v>1.5618865080690238</v>
      </c>
      <c r="M604" s="325">
        <f t="shared" si="284"/>
        <v>3.150066478557878</v>
      </c>
      <c r="N604" s="337">
        <f t="shared" si="285"/>
        <v>1.2477533323782291</v>
      </c>
      <c r="O604" s="343">
        <f t="shared" si="286"/>
        <v>2.7265910958834718</v>
      </c>
      <c r="P604" s="691">
        <f t="shared" si="287"/>
        <v>1.1952741902939821</v>
      </c>
      <c r="Q604" s="336">
        <f t="shared" si="302"/>
        <v>23.243810153869749</v>
      </c>
      <c r="R604" s="692">
        <f t="shared" si="288"/>
        <v>0.87939777346233305</v>
      </c>
      <c r="S604" s="329">
        <f t="shared" si="289"/>
        <v>8.3542502305907114</v>
      </c>
      <c r="T604" s="330">
        <f t="shared" si="290"/>
        <v>2.6770378303112206</v>
      </c>
      <c r="U604" s="331">
        <f t="shared" si="291"/>
        <v>-43.230012462536955</v>
      </c>
      <c r="V604" s="332">
        <f t="shared" si="292"/>
        <v>-268.43082111849071</v>
      </c>
      <c r="W604" s="334">
        <f t="shared" si="293"/>
        <v>-88.430821118490712</v>
      </c>
      <c r="Y604" s="307">
        <f t="shared" si="294"/>
        <v>436520</v>
      </c>
      <c r="Z604" s="307">
        <f t="shared" si="295"/>
        <v>190549710400</v>
      </c>
      <c r="AB604" s="333">
        <f t="shared" si="296"/>
        <v>13.484326281232279</v>
      </c>
      <c r="AC604" s="334">
        <f t="shared" si="297"/>
        <v>-72.001396018284353</v>
      </c>
      <c r="AE604" s="333">
        <f t="shared" si="298"/>
        <v>-4.1211925066820907</v>
      </c>
      <c r="AF604" s="334">
        <f t="shared" si="299"/>
        <v>-214.52781065305535</v>
      </c>
      <c r="AH604">
        <f t="shared" si="300"/>
        <v>0</v>
      </c>
      <c r="AI604">
        <f t="shared" si="305"/>
        <v>0</v>
      </c>
    </row>
    <row r="605" spans="1:35" x14ac:dyDescent="0.25">
      <c r="A605" s="335">
        <v>478630</v>
      </c>
      <c r="B605" s="352">
        <f t="shared" si="301"/>
        <v>478.63</v>
      </c>
      <c r="C605" s="325">
        <f t="shared" si="276"/>
        <v>580.02267015618509</v>
      </c>
      <c r="D605" s="326">
        <f t="shared" si="277"/>
        <v>1.5690722553975931</v>
      </c>
      <c r="E605" s="326">
        <f t="shared" si="278"/>
        <v>1.1669443770391834</v>
      </c>
      <c r="F605" s="327">
        <f t="shared" si="279"/>
        <v>0.54149541957113911</v>
      </c>
      <c r="G605" s="326">
        <f t="shared" si="280"/>
        <v>1</v>
      </c>
      <c r="H605" s="327">
        <f t="shared" si="281"/>
        <v>0</v>
      </c>
      <c r="I605" s="325">
        <f t="shared" si="282"/>
        <v>635269.25058065145</v>
      </c>
      <c r="J605" s="328">
        <f t="shared" si="283"/>
        <v>1.5707947526592068</v>
      </c>
      <c r="K605" s="336">
        <f t="shared" si="303"/>
        <v>123.06363751293371</v>
      </c>
      <c r="L605" s="337">
        <f t="shared" si="304"/>
        <v>1.5626703602176304</v>
      </c>
      <c r="M605" s="325">
        <f t="shared" si="284"/>
        <v>3.4245436137144618</v>
      </c>
      <c r="N605" s="337">
        <f t="shared" si="285"/>
        <v>1.2744688631516152</v>
      </c>
      <c r="O605" s="343">
        <f t="shared" si="286"/>
        <v>2.955601149361748</v>
      </c>
      <c r="P605" s="691">
        <f t="shared" si="287"/>
        <v>1.2256433401581843</v>
      </c>
      <c r="Q605" s="336">
        <f t="shared" si="302"/>
        <v>24.56219387551716</v>
      </c>
      <c r="R605" s="692">
        <f t="shared" si="288"/>
        <v>0.92618165958182985</v>
      </c>
      <c r="S605" s="329">
        <f t="shared" si="289"/>
        <v>10.057086644094728</v>
      </c>
      <c r="T605" s="330">
        <f t="shared" si="290"/>
        <v>2.7212551703244454</v>
      </c>
      <c r="U605" s="331">
        <f t="shared" si="291"/>
        <v>-45.947067065061191</v>
      </c>
      <c r="V605" s="332">
        <f t="shared" si="292"/>
        <v>-271.12154232032361</v>
      </c>
      <c r="W605" s="334">
        <f t="shared" si="293"/>
        <v>-91.121542320323613</v>
      </c>
      <c r="Y605" s="307">
        <f t="shared" si="294"/>
        <v>478630</v>
      </c>
      <c r="Z605" s="307">
        <f t="shared" si="295"/>
        <v>229086676900</v>
      </c>
      <c r="AB605" s="333">
        <f t="shared" si="296"/>
        <v>12.758608637784473</v>
      </c>
      <c r="AC605" s="334">
        <f t="shared" si="297"/>
        <v>-73.487180461405288</v>
      </c>
      <c r="AE605" s="333">
        <f t="shared" si="298"/>
        <v>-6.3338490508431411</v>
      </c>
      <c r="AF605" s="334">
        <f t="shared" si="299"/>
        <v>-214.79225230144394</v>
      </c>
      <c r="AH605">
        <f t="shared" si="300"/>
        <v>0</v>
      </c>
      <c r="AI605">
        <f t="shared" si="305"/>
        <v>0</v>
      </c>
    </row>
    <row r="606" spans="1:35" x14ac:dyDescent="0.25">
      <c r="A606" s="335">
        <v>524810</v>
      </c>
      <c r="B606" s="352">
        <f t="shared" si="301"/>
        <v>524.80999999999995</v>
      </c>
      <c r="C606" s="325">
        <f t="shared" si="276"/>
        <v>635.98525251238925</v>
      </c>
      <c r="D606" s="326">
        <f t="shared" si="277"/>
        <v>1.5692239626432052</v>
      </c>
      <c r="E606" s="326">
        <f t="shared" si="278"/>
        <v>1.1978875457773248</v>
      </c>
      <c r="F606" s="327">
        <f t="shared" si="279"/>
        <v>0.5830216406872536</v>
      </c>
      <c r="G606" s="326">
        <f t="shared" si="280"/>
        <v>1</v>
      </c>
      <c r="H606" s="327">
        <f t="shared" si="281"/>
        <v>0</v>
      </c>
      <c r="I606" s="325">
        <f t="shared" si="282"/>
        <v>696562.38722429052</v>
      </c>
      <c r="J606" s="328">
        <f t="shared" si="283"/>
        <v>1.5707948911733094</v>
      </c>
      <c r="K606" s="336">
        <f t="shared" si="303"/>
        <v>134.93652478766327</v>
      </c>
      <c r="L606" s="337">
        <f t="shared" si="304"/>
        <v>1.5633853670465778</v>
      </c>
      <c r="M606" s="325">
        <f t="shared" si="284"/>
        <v>3.7279243931021808</v>
      </c>
      <c r="N606" s="337">
        <f t="shared" si="285"/>
        <v>1.2992247116502802</v>
      </c>
      <c r="O606" s="343">
        <f t="shared" si="286"/>
        <v>3.2094086836574052</v>
      </c>
      <c r="P606" s="691">
        <f t="shared" si="287"/>
        <v>1.2539368937359228</v>
      </c>
      <c r="Q606" s="336">
        <f t="shared" si="302"/>
        <v>26.059506891457424</v>
      </c>
      <c r="R606" s="692">
        <f t="shared" si="288"/>
        <v>0.97214258166013301</v>
      </c>
      <c r="S606" s="329">
        <f t="shared" si="289"/>
        <v>12.108371092175055</v>
      </c>
      <c r="T606" s="330">
        <f t="shared" si="290"/>
        <v>2.7608183201907144</v>
      </c>
      <c r="U606" s="331">
        <f t="shared" si="291"/>
        <v>-48.667794309677731</v>
      </c>
      <c r="V606" s="332">
        <f t="shared" si="292"/>
        <v>-273.40747116040643</v>
      </c>
      <c r="W606" s="334">
        <f t="shared" si="293"/>
        <v>-93.40747116040643</v>
      </c>
      <c r="Y606" s="307">
        <f t="shared" si="294"/>
        <v>524810</v>
      </c>
      <c r="Z606" s="307">
        <f t="shared" si="295"/>
        <v>275425536100</v>
      </c>
      <c r="AB606" s="333">
        <f t="shared" si="296"/>
        <v>12.021272508001219</v>
      </c>
      <c r="AC606" s="334">
        <f t="shared" si="297"/>
        <v>-74.86462716286978</v>
      </c>
      <c r="AE606" s="333">
        <f t="shared" si="298"/>
        <v>-8.5188433267027008</v>
      </c>
      <c r="AF606" s="334">
        <f t="shared" si="299"/>
        <v>-214.68846878872085</v>
      </c>
      <c r="AH606">
        <f t="shared" si="300"/>
        <v>0</v>
      </c>
      <c r="AI606">
        <f t="shared" si="305"/>
        <v>0</v>
      </c>
    </row>
    <row r="607" spans="1:35" x14ac:dyDescent="0.25">
      <c r="A607" s="335">
        <v>575440</v>
      </c>
      <c r="B607" s="352">
        <f t="shared" si="301"/>
        <v>575.44000000000005</v>
      </c>
      <c r="C607" s="325">
        <f t="shared" si="276"/>
        <v>697.34051866225798</v>
      </c>
      <c r="D607" s="326">
        <f t="shared" si="277"/>
        <v>1.569362306662732</v>
      </c>
      <c r="E607" s="326">
        <f t="shared" si="278"/>
        <v>1.23405892100653</v>
      </c>
      <c r="F607" s="327">
        <f t="shared" si="279"/>
        <v>0.6260743033983176</v>
      </c>
      <c r="G607" s="326">
        <f t="shared" si="280"/>
        <v>1</v>
      </c>
      <c r="H607" s="327">
        <f t="shared" si="281"/>
        <v>0</v>
      </c>
      <c r="I607" s="325">
        <f t="shared" si="282"/>
        <v>763761.85687063169</v>
      </c>
      <c r="J607" s="328">
        <f t="shared" si="283"/>
        <v>1.5707950174862542</v>
      </c>
      <c r="K607" s="336">
        <f t="shared" si="303"/>
        <v>147.95357389545964</v>
      </c>
      <c r="L607" s="337">
        <f t="shared" si="304"/>
        <v>1.5640373983853715</v>
      </c>
      <c r="M607" s="325">
        <f t="shared" si="284"/>
        <v>4.0627531305229718</v>
      </c>
      <c r="N607" s="337">
        <f t="shared" si="285"/>
        <v>1.3221021612047243</v>
      </c>
      <c r="O607" s="343">
        <f t="shared" si="286"/>
        <v>3.4901746463989309</v>
      </c>
      <c r="P607" s="691">
        <f t="shared" si="287"/>
        <v>1.2802052056390434</v>
      </c>
      <c r="Q607" s="336">
        <f t="shared" si="302"/>
        <v>27.753020619370272</v>
      </c>
      <c r="R607" s="692">
        <f t="shared" si="288"/>
        <v>1.0169708005160807</v>
      </c>
      <c r="S607" s="329">
        <f t="shared" si="289"/>
        <v>14.577364731833901</v>
      </c>
      <c r="T607" s="330">
        <f t="shared" si="290"/>
        <v>2.7962970003094689</v>
      </c>
      <c r="U607" s="331">
        <f t="shared" si="291"/>
        <v>-51.386765901058524</v>
      </c>
      <c r="V607" s="332">
        <f t="shared" si="292"/>
        <v>-275.31827468980583</v>
      </c>
      <c r="W607" s="334">
        <f t="shared" si="293"/>
        <v>-95.318274689805833</v>
      </c>
      <c r="Y607" s="307">
        <f t="shared" si="294"/>
        <v>575440</v>
      </c>
      <c r="Z607" s="307">
        <f t="shared" si="295"/>
        <v>331131193600</v>
      </c>
      <c r="AB607" s="333">
        <f t="shared" si="296"/>
        <v>11.274165624406333</v>
      </c>
      <c r="AC607" s="334">
        <f t="shared" si="297"/>
        <v>-76.138057063193486</v>
      </c>
      <c r="AE607" s="333">
        <f t="shared" si="298"/>
        <v>-10.672269459108881</v>
      </c>
      <c r="AF607" s="334">
        <f t="shared" si="299"/>
        <v>-214.26243808002894</v>
      </c>
      <c r="AH607">
        <f t="shared" si="300"/>
        <v>0</v>
      </c>
      <c r="AI607">
        <f t="shared" si="305"/>
        <v>0</v>
      </c>
    </row>
    <row r="608" spans="1:35" x14ac:dyDescent="0.25">
      <c r="A608" s="335">
        <v>630960</v>
      </c>
      <c r="B608" s="352">
        <f t="shared" si="301"/>
        <v>630.96</v>
      </c>
      <c r="C608" s="325">
        <f t="shared" si="276"/>
        <v>764.62167652790299</v>
      </c>
      <c r="D608" s="326">
        <f t="shared" si="277"/>
        <v>1.5694884901015742</v>
      </c>
      <c r="E608" s="326">
        <f t="shared" si="278"/>
        <v>1.2761939255222194</v>
      </c>
      <c r="F608" s="327">
        <f t="shared" si="279"/>
        <v>0.67038911487122643</v>
      </c>
      <c r="G608" s="326">
        <f t="shared" si="280"/>
        <v>1</v>
      </c>
      <c r="H608" s="327">
        <f t="shared" si="281"/>
        <v>0</v>
      </c>
      <c r="I608" s="325">
        <f t="shared" si="282"/>
        <v>837451.65649072768</v>
      </c>
      <c r="J608" s="328">
        <f t="shared" si="283"/>
        <v>1.5707951326961183</v>
      </c>
      <c r="K608" s="336">
        <f t="shared" si="303"/>
        <v>162.22790949766244</v>
      </c>
      <c r="L608" s="337">
        <f t="shared" si="304"/>
        <v>1.5646321203027367</v>
      </c>
      <c r="M608" s="325">
        <f t="shared" si="284"/>
        <v>4.43197706436451</v>
      </c>
      <c r="N608" s="337">
        <f t="shared" si="285"/>
        <v>1.3432036488700005</v>
      </c>
      <c r="O608" s="343">
        <f t="shared" si="286"/>
        <v>3.8003963566919818</v>
      </c>
      <c r="P608" s="691">
        <f t="shared" si="287"/>
        <v>1.3045307579546745</v>
      </c>
      <c r="Q608" s="336">
        <f t="shared" si="302"/>
        <v>29.661870460210633</v>
      </c>
      <c r="R608" s="692">
        <f t="shared" si="288"/>
        <v>1.0604270956891992</v>
      </c>
      <c r="S608" s="329">
        <f t="shared" si="289"/>
        <v>17.548573673700364</v>
      </c>
      <c r="T608" s="330">
        <f t="shared" si="290"/>
        <v>2.8281932223612527</v>
      </c>
      <c r="U608" s="331">
        <f t="shared" si="291"/>
        <v>-54.100146156021836</v>
      </c>
      <c r="V608" s="332">
        <f t="shared" si="292"/>
        <v>-276.88504026329167</v>
      </c>
      <c r="W608" s="334">
        <f t="shared" si="293"/>
        <v>-96.885040263291671</v>
      </c>
      <c r="Y608" s="307">
        <f t="shared" si="294"/>
        <v>630960</v>
      </c>
      <c r="Z608" s="307">
        <f t="shared" si="295"/>
        <v>398110521600</v>
      </c>
      <c r="AB608" s="333">
        <f t="shared" si="296"/>
        <v>10.518590833177466</v>
      </c>
      <c r="AC608" s="334">
        <f t="shared" si="297"/>
        <v>-77.31301479439378</v>
      </c>
      <c r="AE608" s="333">
        <f t="shared" si="298"/>
        <v>-12.791944085772478</v>
      </c>
      <c r="AF608" s="334">
        <f t="shared" si="299"/>
        <v>-213.55813509637795</v>
      </c>
      <c r="AH608">
        <f t="shared" si="300"/>
        <v>0</v>
      </c>
      <c r="AI608">
        <f t="shared" si="305"/>
        <v>0</v>
      </c>
    </row>
    <row r="609" spans="1:35" x14ac:dyDescent="0.25">
      <c r="A609" s="335">
        <v>691830</v>
      </c>
      <c r="B609" s="352">
        <f t="shared" si="301"/>
        <v>691.83</v>
      </c>
      <c r="C609" s="325">
        <f t="shared" si="276"/>
        <v>838.38617086093188</v>
      </c>
      <c r="D609" s="326">
        <f t="shared" si="277"/>
        <v>1.5696035587461477</v>
      </c>
      <c r="E609" s="326">
        <f t="shared" si="278"/>
        <v>1.3250736671346663</v>
      </c>
      <c r="F609" s="327">
        <f t="shared" si="279"/>
        <v>0.71563766593023515</v>
      </c>
      <c r="G609" s="326">
        <f t="shared" si="280"/>
        <v>1</v>
      </c>
      <c r="H609" s="327">
        <f t="shared" si="281"/>
        <v>0</v>
      </c>
      <c r="I609" s="325">
        <f t="shared" si="282"/>
        <v>918242.32837249676</v>
      </c>
      <c r="J609" s="328">
        <f t="shared" si="283"/>
        <v>1.5707952377577556</v>
      </c>
      <c r="K609" s="336">
        <f t="shared" si="303"/>
        <v>177.87779878390748</v>
      </c>
      <c r="L609" s="337">
        <f t="shared" si="304"/>
        <v>1.5651744601290154</v>
      </c>
      <c r="M609" s="325">
        <f t="shared" si="284"/>
        <v>4.8386845126723967</v>
      </c>
      <c r="N609" s="337">
        <f t="shared" si="285"/>
        <v>1.3626283849576184</v>
      </c>
      <c r="O609" s="343">
        <f t="shared" si="286"/>
        <v>4.1426892689194013</v>
      </c>
      <c r="P609" s="691">
        <f t="shared" si="287"/>
        <v>1.3269993088747731</v>
      </c>
      <c r="Q609" s="336">
        <f t="shared" si="302"/>
        <v>31.805761332969894</v>
      </c>
      <c r="R609" s="692">
        <f t="shared" si="288"/>
        <v>1.1023089833963267</v>
      </c>
      <c r="S609" s="329">
        <f t="shared" si="289"/>
        <v>21.122475471482623</v>
      </c>
      <c r="T609" s="330">
        <f t="shared" si="290"/>
        <v>2.8569227277513911</v>
      </c>
      <c r="U609" s="331">
        <f t="shared" si="291"/>
        <v>-56.803388694743632</v>
      </c>
      <c r="V609" s="332">
        <f t="shared" si="292"/>
        <v>-278.13935151062276</v>
      </c>
      <c r="W609" s="334">
        <f t="shared" si="293"/>
        <v>-98.13935151062276</v>
      </c>
      <c r="Y609" s="307">
        <f t="shared" si="294"/>
        <v>691830</v>
      </c>
      <c r="Z609" s="307">
        <f t="shared" si="295"/>
        <v>478628748900</v>
      </c>
      <c r="AB609" s="333">
        <f t="shared" si="296"/>
        <v>9.7559670257692996</v>
      </c>
      <c r="AC609" s="334">
        <f t="shared" si="297"/>
        <v>-78.394902428086752</v>
      </c>
      <c r="AE609" s="333">
        <f t="shared" si="298"/>
        <v>-14.875486906396816</v>
      </c>
      <c r="AF609" s="334">
        <f t="shared" si="299"/>
        <v>-212.61825644458219</v>
      </c>
      <c r="AH609">
        <f t="shared" si="300"/>
        <v>0</v>
      </c>
      <c r="AI609">
        <f t="shared" si="305"/>
        <v>0</v>
      </c>
    </row>
    <row r="610" spans="1:35" x14ac:dyDescent="0.25">
      <c r="A610" s="335">
        <v>758580</v>
      </c>
      <c r="B610" s="352">
        <f t="shared" si="301"/>
        <v>758.58</v>
      </c>
      <c r="C610" s="325">
        <f t="shared" si="276"/>
        <v>919.27627506371095</v>
      </c>
      <c r="D610" s="326">
        <f t="shared" si="277"/>
        <v>1.5697085143229024</v>
      </c>
      <c r="E610" s="326">
        <f t="shared" si="278"/>
        <v>1.381558588610466</v>
      </c>
      <c r="F610" s="327">
        <f t="shared" si="279"/>
        <v>0.76147336746394667</v>
      </c>
      <c r="G610" s="326">
        <f t="shared" si="280"/>
        <v>1</v>
      </c>
      <c r="H610" s="327">
        <f t="shared" si="281"/>
        <v>0</v>
      </c>
      <c r="I610" s="325">
        <f t="shared" si="282"/>
        <v>1006837.3234128893</v>
      </c>
      <c r="J610" s="328">
        <f t="shared" si="283"/>
        <v>1.5707953335857885</v>
      </c>
      <c r="K610" s="336">
        <f t="shared" si="303"/>
        <v>195.03950660347948</v>
      </c>
      <c r="L610" s="337">
        <f t="shared" si="304"/>
        <v>1.5656691379562235</v>
      </c>
      <c r="M610" s="325">
        <f t="shared" si="284"/>
        <v>5.2864394220451603</v>
      </c>
      <c r="N610" s="337">
        <f t="shared" si="285"/>
        <v>1.3804863970007939</v>
      </c>
      <c r="O610" s="343">
        <f t="shared" si="286"/>
        <v>4.520069195517066</v>
      </c>
      <c r="P610" s="691">
        <f t="shared" si="287"/>
        <v>1.3477150923578112</v>
      </c>
      <c r="Q610" s="336">
        <f t="shared" si="302"/>
        <v>34.206750798272985</v>
      </c>
      <c r="R610" s="692">
        <f t="shared" si="288"/>
        <v>1.1424877538080769</v>
      </c>
      <c r="S610" s="329">
        <f t="shared" si="289"/>
        <v>25.421469742143437</v>
      </c>
      <c r="T610" s="330">
        <f t="shared" si="290"/>
        <v>2.8828531447577124</v>
      </c>
      <c r="U610" s="331">
        <f t="shared" si="291"/>
        <v>-59.493567006465128</v>
      </c>
      <c r="V610" s="332">
        <f t="shared" si="292"/>
        <v>-279.11487449702059</v>
      </c>
      <c r="W610" s="334">
        <f t="shared" si="293"/>
        <v>-99.114874497020594</v>
      </c>
      <c r="Y610" s="307">
        <f t="shared" si="294"/>
        <v>758580</v>
      </c>
      <c r="Z610" s="307">
        <f t="shared" si="295"/>
        <v>575443616400</v>
      </c>
      <c r="AB610" s="333">
        <f t="shared" si="296"/>
        <v>8.9872248654440838</v>
      </c>
      <c r="AC610" s="334">
        <f t="shared" si="297"/>
        <v>-79.3897536886154</v>
      </c>
      <c r="AE610" s="333">
        <f t="shared" si="298"/>
        <v>-16.922056975456403</v>
      </c>
      <c r="AF610" s="334">
        <f t="shared" si="299"/>
        <v>-211.48378116144377</v>
      </c>
      <c r="AH610">
        <f t="shared" si="300"/>
        <v>0</v>
      </c>
      <c r="AI610">
        <f t="shared" si="305"/>
        <v>0</v>
      </c>
    </row>
    <row r="611" spans="1:35" x14ac:dyDescent="0.25">
      <c r="A611" s="335">
        <v>831760</v>
      </c>
      <c r="B611" s="352">
        <f t="shared" si="301"/>
        <v>831.76</v>
      </c>
      <c r="C611" s="325">
        <f t="shared" si="276"/>
        <v>1007.9584993578052</v>
      </c>
      <c r="D611" s="326">
        <f t="shared" si="277"/>
        <v>1.5698042222938855</v>
      </c>
      <c r="E611" s="326">
        <f t="shared" si="278"/>
        <v>1.4465426956497862</v>
      </c>
      <c r="F611" s="327">
        <f t="shared" si="279"/>
        <v>0.80750486318184189</v>
      </c>
      <c r="G611" s="326">
        <f t="shared" si="280"/>
        <v>1</v>
      </c>
      <c r="H611" s="327">
        <f t="shared" si="281"/>
        <v>0</v>
      </c>
      <c r="I611" s="325">
        <f t="shared" si="282"/>
        <v>1103966.6378257207</v>
      </c>
      <c r="J611" s="328">
        <f t="shared" si="283"/>
        <v>1.5707954209704218</v>
      </c>
      <c r="K611" s="336">
        <f t="shared" si="303"/>
        <v>213.85444028551714</v>
      </c>
      <c r="L611" s="337">
        <f t="shared" si="304"/>
        <v>1.5661202319568157</v>
      </c>
      <c r="M611" s="325">
        <f t="shared" si="284"/>
        <v>5.7789486658238687</v>
      </c>
      <c r="N611" s="337">
        <f t="shared" si="285"/>
        <v>1.3968790438780374</v>
      </c>
      <c r="O611" s="343">
        <f t="shared" si="286"/>
        <v>4.9356731795795925</v>
      </c>
      <c r="P611" s="691">
        <f t="shared" si="287"/>
        <v>1.3667773222053212</v>
      </c>
      <c r="Q611" s="336">
        <f t="shared" si="302"/>
        <v>36.887558369560587</v>
      </c>
      <c r="R611" s="692">
        <f t="shared" si="288"/>
        <v>1.1808701828608137</v>
      </c>
      <c r="S611" s="329">
        <f t="shared" si="289"/>
        <v>30.590734934521699</v>
      </c>
      <c r="T611" s="330">
        <f t="shared" si="290"/>
        <v>2.9062890208800733</v>
      </c>
      <c r="U611" s="331">
        <f t="shared" si="291"/>
        <v>-62.167111337138998</v>
      </c>
      <c r="V611" s="332">
        <f t="shared" si="292"/>
        <v>-279.84607910165101</v>
      </c>
      <c r="W611" s="334">
        <f t="shared" si="293"/>
        <v>-99.846079101651014</v>
      </c>
      <c r="Y611" s="307">
        <f t="shared" si="294"/>
        <v>831760</v>
      </c>
      <c r="Z611" s="307">
        <f t="shared" si="295"/>
        <v>691824697600</v>
      </c>
      <c r="AB611" s="333">
        <f t="shared" si="296"/>
        <v>8.2134941254168261</v>
      </c>
      <c r="AC611" s="334">
        <f t="shared" si="297"/>
        <v>-80.303142395146537</v>
      </c>
      <c r="AE611" s="333">
        <f t="shared" si="298"/>
        <v>-18.930535076299968</v>
      </c>
      <c r="AF611" s="334">
        <f t="shared" si="299"/>
        <v>-210.19463118446657</v>
      </c>
      <c r="AH611">
        <f t="shared" si="300"/>
        <v>0</v>
      </c>
      <c r="AI611">
        <f t="shared" si="305"/>
        <v>0</v>
      </c>
    </row>
    <row r="612" spans="1:35" x14ac:dyDescent="0.25">
      <c r="A612" s="335">
        <v>912010</v>
      </c>
      <c r="B612" s="352">
        <f t="shared" si="301"/>
        <v>912.01</v>
      </c>
      <c r="C612" s="325">
        <f t="shared" si="276"/>
        <v>1105.2084193586561</v>
      </c>
      <c r="D612" s="326">
        <f t="shared" si="277"/>
        <v>1.5698915199558154</v>
      </c>
      <c r="E612" s="326">
        <f t="shared" si="278"/>
        <v>1.5210083101306304</v>
      </c>
      <c r="F612" s="327">
        <f t="shared" si="279"/>
        <v>0.85335538040201864</v>
      </c>
      <c r="G612" s="326">
        <f t="shared" si="280"/>
        <v>1</v>
      </c>
      <c r="H612" s="327">
        <f t="shared" si="281"/>
        <v>0</v>
      </c>
      <c r="I612" s="325">
        <f t="shared" si="282"/>
        <v>1210479.7217507046</v>
      </c>
      <c r="J612" s="328">
        <f t="shared" si="283"/>
        <v>1.5707955006761423</v>
      </c>
      <c r="K612" s="336">
        <f t="shared" si="303"/>
        <v>234.48714694026717</v>
      </c>
      <c r="L612" s="337">
        <f t="shared" si="304"/>
        <v>1.5665316877976379</v>
      </c>
      <c r="M612" s="325">
        <f t="shared" si="284"/>
        <v>6.3205330384932843</v>
      </c>
      <c r="N612" s="337">
        <f t="shared" si="285"/>
        <v>1.4119142084302791</v>
      </c>
      <c r="O612" s="343">
        <f t="shared" si="286"/>
        <v>5.3931573150418828</v>
      </c>
      <c r="P612" s="691">
        <f t="shared" si="287"/>
        <v>1.384296924680849</v>
      </c>
      <c r="Q612" s="336">
        <f t="shared" si="302"/>
        <v>39.874179669257963</v>
      </c>
      <c r="R612" s="692">
        <f t="shared" si="288"/>
        <v>1.2174327981106794</v>
      </c>
      <c r="S612" s="329">
        <f t="shared" si="289"/>
        <v>36.807501403202451</v>
      </c>
      <c r="T612" s="330">
        <f t="shared" si="290"/>
        <v>2.9275051504711258</v>
      </c>
      <c r="U612" s="331">
        <f t="shared" si="291"/>
        <v>-64.822480445464393</v>
      </c>
      <c r="V612" s="332">
        <f t="shared" si="292"/>
        <v>-280.36860006577763</v>
      </c>
      <c r="W612" s="334">
        <f t="shared" si="293"/>
        <v>-100.36860006577763</v>
      </c>
      <c r="Y612" s="307">
        <f t="shared" si="294"/>
        <v>912010</v>
      </c>
      <c r="Z612" s="307">
        <f t="shared" si="295"/>
        <v>831762240100</v>
      </c>
      <c r="AB612" s="333">
        <f t="shared" si="296"/>
        <v>7.4353807660858662</v>
      </c>
      <c r="AC612" s="334">
        <f t="shared" si="297"/>
        <v>-81.141023752898391</v>
      </c>
      <c r="AE612" s="333">
        <f t="shared" si="298"/>
        <v>-20.901487667782494</v>
      </c>
      <c r="AF612" s="334">
        <f t="shared" si="299"/>
        <v>-208.78818652841127</v>
      </c>
      <c r="AH612">
        <f t="shared" si="300"/>
        <v>0</v>
      </c>
      <c r="AI612">
        <f t="shared" si="305"/>
        <v>0</v>
      </c>
    </row>
    <row r="613" spans="1:35" x14ac:dyDescent="0.25">
      <c r="A613" s="335">
        <v>1000000</v>
      </c>
      <c r="B613" s="352">
        <f t="shared" si="301"/>
        <v>1000</v>
      </c>
      <c r="C613" s="325">
        <f t="shared" si="276"/>
        <v>1211.8379658636702</v>
      </c>
      <c r="D613" s="326">
        <f t="shared" si="277"/>
        <v>1.5699711338717008</v>
      </c>
      <c r="E613" s="326">
        <f t="shared" si="278"/>
        <v>1.6059690845609214</v>
      </c>
      <c r="F613" s="327">
        <f t="shared" si="279"/>
        <v>0.89863709249959889</v>
      </c>
      <c r="G613" s="326">
        <f t="shared" si="280"/>
        <v>1</v>
      </c>
      <c r="H613" s="327">
        <f t="shared" si="281"/>
        <v>0</v>
      </c>
      <c r="I613" s="325">
        <f t="shared" si="282"/>
        <v>1327265.8433028532</v>
      </c>
      <c r="J613" s="328">
        <f t="shared" si="283"/>
        <v>1.5707955733663315</v>
      </c>
      <c r="K613" s="336">
        <f t="shared" si="303"/>
        <v>257.10988717714099</v>
      </c>
      <c r="L613" s="337">
        <f t="shared" si="304"/>
        <v>1.5669069294161377</v>
      </c>
      <c r="M613" s="325">
        <f t="shared" si="284"/>
        <v>6.9157247948784288</v>
      </c>
      <c r="N613" s="337">
        <f t="shared" si="285"/>
        <v>1.4256896322446602</v>
      </c>
      <c r="O613" s="343">
        <f t="shared" si="286"/>
        <v>5.8963578914950547</v>
      </c>
      <c r="P613" s="691">
        <f t="shared" si="287"/>
        <v>1.4003763891572458</v>
      </c>
      <c r="Q613" s="336">
        <f t="shared" si="302"/>
        <v>43.19379693820202</v>
      </c>
      <c r="R613" s="692">
        <f t="shared" si="288"/>
        <v>1.2521807066195438</v>
      </c>
      <c r="S613" s="329">
        <f t="shared" si="289"/>
        <v>44.282509665034311</v>
      </c>
      <c r="T613" s="330">
        <f t="shared" si="290"/>
        <v>2.9467315684911766</v>
      </c>
      <c r="U613" s="331">
        <f t="shared" si="291"/>
        <v>-67.457764430879422</v>
      </c>
      <c r="V613" s="332">
        <f t="shared" si="292"/>
        <v>-280.71770432544059</v>
      </c>
      <c r="W613" s="334">
        <f t="shared" si="293"/>
        <v>-100.71770432544059</v>
      </c>
      <c r="Y613" s="307">
        <f t="shared" si="294"/>
        <v>1000000</v>
      </c>
      <c r="Z613" s="307">
        <f t="shared" si="295"/>
        <v>1000000000000</v>
      </c>
      <c r="AB613" s="333">
        <f t="shared" si="296"/>
        <v>6.6536875421107764</v>
      </c>
      <c r="AC613" s="334">
        <f t="shared" si="297"/>
        <v>-81.908801803147099</v>
      </c>
      <c r="AE613" s="333">
        <f t="shared" si="298"/>
        <v>-22.835300961994569</v>
      </c>
      <c r="AF613" s="334">
        <f t="shared" si="299"/>
        <v>-207.29988968346677</v>
      </c>
      <c r="AH613">
        <f t="shared" si="300"/>
        <v>0</v>
      </c>
      <c r="AI613">
        <f t="shared" si="305"/>
        <v>0</v>
      </c>
    </row>
    <row r="614" spans="1:35" x14ac:dyDescent="0.25">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5">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5">
      <c r="A616" s="307" t="s">
        <v>349</v>
      </c>
      <c r="G616" s="326"/>
      <c r="H616" s="327"/>
      <c r="U616" s="331"/>
      <c r="V616" s="332"/>
      <c r="W616" s="341"/>
      <c r="AE616" s="333"/>
      <c r="AF616" s="334"/>
    </row>
    <row r="617" spans="1:35" x14ac:dyDescent="0.25">
      <c r="A617" s="342">
        <f>U4*1000</f>
        <v>39131.5</v>
      </c>
      <c r="B617" s="342"/>
      <c r="C617" s="343">
        <f t="shared" ref="C617:C626" si="306">SQRT(1+(A617/pole1)^2)</f>
        <v>47.431563890910077</v>
      </c>
      <c r="D617" s="336">
        <f t="shared" ref="D617:D626" si="307">ATAN(A617/pole1)</f>
        <v>1.549711757470545</v>
      </c>
      <c r="E617" s="336">
        <f t="shared" ref="E617:E626" si="308">SQRT(1+(A617/Zero1)^2)</f>
        <v>1.0012083157033427</v>
      </c>
      <c r="F617" s="337">
        <f t="shared" ref="F617:F626" si="309">ATAN(A617/Zero1)</f>
        <v>4.9134514702301152E-2</v>
      </c>
      <c r="G617" s="326">
        <f>IF(VIN_nom&gt;Vout, 1, SQRT(1+(A617/z_RHP)^2))</f>
        <v>1</v>
      </c>
      <c r="H617" s="327">
        <f>IF(VIN_nom&gt;Vout, 0, -ATAN(A617/z_RHP))</f>
        <v>0</v>
      </c>
      <c r="I617" s="343">
        <f t="shared" ref="I617:I626" si="310">SQRT(1+(A617/Pole2)^2)</f>
        <v>51937.903356817733</v>
      </c>
      <c r="J617" s="344">
        <f t="shared" ref="J617:J626" si="311">ATAN(A617/Pole2)</f>
        <v>1.5707770730334734</v>
      </c>
      <c r="K617" s="336">
        <f t="shared" ref="K617:K626" si="312">SQRT(1+(A617/Zero2)^2)</f>
        <v>10.110594067283692</v>
      </c>
      <c r="L617" s="337">
        <f t="shared" ref="L617:L626" si="313">ATAN(A617/Zero2)</f>
        <v>1.4717281991227127</v>
      </c>
      <c r="M617" s="343">
        <f t="shared" ref="M617:M626" si="314">SQRT(1+(A617/pole4)^2)</f>
        <v>1.0352320335277245</v>
      </c>
      <c r="N617" s="344">
        <f>ATAN(A617/pole4)</f>
        <v>0.26164018931766964</v>
      </c>
      <c r="O617" s="343">
        <f>IF(VOUT_setting=1,1,SQRT(1+(A617*zterm1)^2))</f>
        <v>1.0255274714707561</v>
      </c>
      <c r="P617" s="691">
        <f>IF(VOUT_setting=1,0,ATAN(((A617*zterm1))))</f>
        <v>0.22358891109355411</v>
      </c>
      <c r="Q617" s="336">
        <f>IF(VOUT_setting=1,1,SQRT((1+Afbr-$Q$5*(A617)^2)^2+(A617*$Q$4)^2))</f>
        <v>15.206808129969543</v>
      </c>
      <c r="R617" s="692">
        <f>IF(VOUT_setting=1,0,ATAN(A617*$Q$4/(1+Afbr-$Q$5*(A617)^2)))</f>
        <v>0.105752910475218</v>
      </c>
      <c r="S617" s="343">
        <f>SQRT((1-(A617^2/(pole3^2)))^2+(A617/(Q*pole3))^2)</f>
        <v>0.99050447414151277</v>
      </c>
      <c r="T617" s="407">
        <f>ATAN((A617/(Q*pole3))/(1-A617^2/pole3^2))</f>
        <v>0.34558486773107094</v>
      </c>
      <c r="U617" s="331">
        <f>20*LOG10(((E617*K617*G617*O617)/(C617*I617*S617*M617*Q617))*Adc)</f>
        <v>6.6024015463166108E-3</v>
      </c>
      <c r="V617" s="332">
        <f>((F617+L617+H617+P617)-(D617+J617+T617+N617+R617))*radconv</f>
        <v>-119.69175289472797</v>
      </c>
      <c r="W617" s="334">
        <f t="shared" ref="W617:W626" si="315">IF(V617&gt;0,V617,V617+180)</f>
        <v>60.308247105272031</v>
      </c>
      <c r="X617" s="307" t="s">
        <v>350</v>
      </c>
      <c r="AB617" s="333">
        <f>20*LOG10((K617/(I617*M617))*AEA)</f>
        <v>23.192315563859122</v>
      </c>
      <c r="AC617" s="334">
        <f>(L617-(J617+N617))*radconv</f>
        <v>-20.665961063130652</v>
      </c>
      <c r="AE617" s="333">
        <f>20*LOG10((E617*G617/(C617*S617))*Acs*Am)</f>
        <v>34.215502279042582</v>
      </c>
      <c r="AF617" s="334">
        <f>(F617+H617-(D617+T617))*radconv</f>
        <v>-105.77729734944363</v>
      </c>
    </row>
    <row r="618" spans="1:35" x14ac:dyDescent="0.25">
      <c r="A618" s="342">
        <f>A617</f>
        <v>39131.5</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5">
      <c r="A619" s="307">
        <f>A618</f>
        <v>39131.5</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5">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-119.69175289472797</v>
      </c>
      <c r="W620" s="334"/>
      <c r="AB620" s="333"/>
      <c r="AC620" s="334"/>
      <c r="AE620" s="333"/>
      <c r="AF620" s="334"/>
    </row>
    <row r="621" spans="1:35" x14ac:dyDescent="0.25">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5">
      <c r="A622" s="416">
        <f>pole1</f>
        <v>825.19311049896191</v>
      </c>
      <c r="B622" s="342"/>
      <c r="C622" s="343">
        <f t="shared" si="306"/>
        <v>1.4142135623730951</v>
      </c>
      <c r="D622" s="336">
        <f t="shared" si="307"/>
        <v>0.78539816339744828</v>
      </c>
      <c r="E622" s="336">
        <f t="shared" si="308"/>
        <v>1.0000005376514254</v>
      </c>
      <c r="F622" s="337">
        <f t="shared" si="309"/>
        <v>1.0369678726248408E-3</v>
      </c>
      <c r="G622" s="326">
        <f t="shared" ref="G622:G628" si="316">IF(VIN_nom&gt;Vout, 1, SQRT(1+(A622/z_RHP)^2))</f>
        <v>1</v>
      </c>
      <c r="H622" s="327">
        <f t="shared" ref="H622:H628" si="317">IF(VIN_nom&gt;Vout, 0, -ATAN(A622/z_RHP))</f>
        <v>0</v>
      </c>
      <c r="I622" s="343">
        <f t="shared" si="310"/>
        <v>1095.2510862102179</v>
      </c>
      <c r="J622" s="344">
        <f t="shared" si="311"/>
        <v>1.5698832940195553</v>
      </c>
      <c r="K622" s="336">
        <f t="shared" si="312"/>
        <v>1.0222589871357275</v>
      </c>
      <c r="L622" s="337">
        <f t="shared" si="313"/>
        <v>0.20906360355720172</v>
      </c>
      <c r="M622" s="325">
        <f t="shared" si="314"/>
        <v>1.000015943232442</v>
      </c>
      <c r="N622" s="328">
        <f t="shared" ref="N622:N628" si="318">ATAN(A622/pole4)</f>
        <v>5.6467726397733354E-3</v>
      </c>
      <c r="O622" s="343">
        <f>IF(VOUT_setting=1,1,SQRT(1+(A622*zterm1)^2))</f>
        <v>1.0000114966587472</v>
      </c>
      <c r="P622" s="691">
        <f>IF(VOUT_setting=1,0,ATAN(((A622*zterm1))))</f>
        <v>4.7951118035081562E-3</v>
      </c>
      <c r="Q622" s="336">
        <f>IF(VOUT_setting=1,1,SQRT((1+Afbr-$Q$5*(A622)^2)^2+(A622*$Q$4)^2))</f>
        <v>15.1243305786476</v>
      </c>
      <c r="R622" s="692">
        <f>IF(VOUT_setting=1,0,ATAN(A622*$Q$4/(1+Afbr-$Q$5*(A622)^2)))</f>
        <v>2.2380711566495214E-3</v>
      </c>
      <c r="S622" s="343">
        <f t="shared" ref="S622:S628" si="319">SQRT((1-(A622^2/(pole3^2)))^2+(A622/(Q*pole3))^2)</f>
        <v>0.99999476808001342</v>
      </c>
      <c r="T622" s="330">
        <f t="shared" ref="T622:T628" si="320">ATAN((A622/(Q*pole3))/(1-A622^2/pole3^2))</f>
        <v>7.0756594762796466E-3</v>
      </c>
      <c r="U622" s="331">
        <f t="shared" ref="U622:U628" si="321">20*LOG10(((E622*K622*G622*O622)/(C622*I622*S622*M622*Q622))*Adc)</f>
        <v>44.168448552332961</v>
      </c>
      <c r="V622" s="332">
        <f t="shared" ref="V622:V628" si="322">((F622+L622+H622+P622)-(D622+J622+T622+N622+R622))*radconv</f>
        <v>-123.49224522859349</v>
      </c>
      <c r="W622" s="334">
        <f t="shared" si="315"/>
        <v>56.50775477140651</v>
      </c>
      <c r="X622" s="307" t="s">
        <v>324</v>
      </c>
      <c r="AB622" s="333">
        <f>20*LOG10((K622/(I622*M622))*AEA)</f>
        <v>37.108030815778847</v>
      </c>
      <c r="AC622" s="334">
        <f>(L622-(J622+N622))*radconv</f>
        <v>-78.292761271383412</v>
      </c>
      <c r="AE622" s="333">
        <f t="shared" ref="AE622:AE628" si="323">20*LOG10((E622*G622/(C622*S622))*Acs*Am)</f>
        <v>64.633241192048374</v>
      </c>
      <c r="AF622" s="334">
        <f t="shared" ref="AF622:AF628" si="324">(F622+H622-(D622+T622))*radconv</f>
        <v>-45.345991594485852</v>
      </c>
    </row>
    <row r="623" spans="1:35" x14ac:dyDescent="0.25">
      <c r="A623" s="416">
        <f>Zero1</f>
        <v>795774.71636878187</v>
      </c>
      <c r="B623" s="342"/>
      <c r="C623" s="343">
        <f t="shared" si="306"/>
        <v>964.35020372021563</v>
      </c>
      <c r="D623" s="336">
        <f t="shared" si="307"/>
        <v>1.5697593589222718</v>
      </c>
      <c r="E623" s="336">
        <f t="shared" si="308"/>
        <v>1.4142135623730951</v>
      </c>
      <c r="F623" s="337">
        <f t="shared" si="309"/>
        <v>0.78539816339744828</v>
      </c>
      <c r="G623" s="326">
        <f t="shared" si="316"/>
        <v>1</v>
      </c>
      <c r="H623" s="327">
        <f t="shared" si="317"/>
        <v>0</v>
      </c>
      <c r="I623" s="343">
        <f t="shared" si="310"/>
        <v>1056204.6000004737</v>
      </c>
      <c r="J623" s="344">
        <f t="shared" si="311"/>
        <v>1.5707953800086394</v>
      </c>
      <c r="K623" s="336">
        <f t="shared" si="312"/>
        <v>204.60244377817193</v>
      </c>
      <c r="L623" s="337">
        <f t="shared" si="313"/>
        <v>1.5659087801806084</v>
      </c>
      <c r="M623" s="325">
        <f t="shared" si="314"/>
        <v>5.5365785636677369</v>
      </c>
      <c r="N623" s="328">
        <f t="shared" si="318"/>
        <v>1.3891826331116359</v>
      </c>
      <c r="O623" s="343">
        <f t="shared" ref="O623:O628" si="325">IF(VOUT_setting=1,1,SQRT(1+(A623*zterm1)^2))</f>
        <v>4.7310913793753757</v>
      </c>
      <c r="P623" s="691">
        <f t="shared" ref="P623:P628" si="326">IF(VOUT_setting=1,0,ATAN(((A623*zterm1))))</f>
        <v>1.3578222420710051</v>
      </c>
      <c r="Q623" s="336">
        <f t="shared" ref="Q623:Q628" si="327">IF(VOUT_setting=1,1,SQRT((1+Afbr-$Q$5*(A623)^2)^2+(A623*$Q$4)^2))</f>
        <v>35.563623095668106</v>
      </c>
      <c r="R623" s="692">
        <f t="shared" ref="R623:R628" si="328">IF(VOUT_setting=1,0,ATAN(A623*$Q$4/(1+Afbr-$Q$5*(A623)^2)))</f>
        <v>1.1626642187088625</v>
      </c>
      <c r="S623" s="343">
        <f t="shared" si="319"/>
        <v>27.989218944633883</v>
      </c>
      <c r="T623" s="330">
        <f t="shared" si="320"/>
        <v>-0.2462654303211245</v>
      </c>
      <c r="U623" s="331">
        <f t="shared" si="321"/>
        <v>-60.885363162499331</v>
      </c>
      <c r="V623" s="332">
        <f t="shared" si="322"/>
        <v>-99.523168753472916</v>
      </c>
      <c r="W623" s="334">
        <f t="shared" si="315"/>
        <v>80.476831246527084</v>
      </c>
      <c r="X623" s="307" t="s">
        <v>319</v>
      </c>
      <c r="AB623" s="333">
        <f>20*LOG10((K623/(I623*M623))*AEA)</f>
        <v>8.5856503031740452</v>
      </c>
      <c r="AC623" s="334">
        <f>(L623-(J623+N623))*radconv</f>
        <v>-79.874283487752606</v>
      </c>
      <c r="AE623" s="333">
        <f t="shared" si="323"/>
        <v>-17.970720127823</v>
      </c>
      <c r="AF623" s="334">
        <f t="shared" si="324"/>
        <v>-30.830616355263569</v>
      </c>
    </row>
    <row r="624" spans="1:35" x14ac:dyDescent="0.25">
      <c r="A624" s="416">
        <f>Pole2</f>
        <v>0.75342856523137813</v>
      </c>
      <c r="B624" s="342"/>
      <c r="C624" s="343">
        <f t="shared" si="306"/>
        <v>1.0000004168145693</v>
      </c>
      <c r="D624" s="336">
        <f t="shared" si="307"/>
        <v>9.130327753413606E-4</v>
      </c>
      <c r="E624" s="336">
        <f t="shared" si="308"/>
        <v>1.0000000000004481</v>
      </c>
      <c r="F624" s="337">
        <f t="shared" si="309"/>
        <v>9.4678625713209436E-7</v>
      </c>
      <c r="G624" s="326">
        <f t="shared" si="316"/>
        <v>1</v>
      </c>
      <c r="H624" s="327">
        <f t="shared" si="317"/>
        <v>0</v>
      </c>
      <c r="I624" s="343">
        <f t="shared" si="310"/>
        <v>1.4142135623730951</v>
      </c>
      <c r="J624" s="344">
        <f t="shared" si="311"/>
        <v>0.78539816339744828</v>
      </c>
      <c r="K624" s="336">
        <f t="shared" si="312"/>
        <v>1.00000001876226</v>
      </c>
      <c r="L624" s="337">
        <f t="shared" si="313"/>
        <v>1.9371246578629529E-4</v>
      </c>
      <c r="M624" s="325">
        <f t="shared" si="314"/>
        <v>1.0000000000132907</v>
      </c>
      <c r="N624" s="328">
        <f t="shared" si="318"/>
        <v>5.1557447264917478E-6</v>
      </c>
      <c r="O624" s="343">
        <f t="shared" si="325"/>
        <v>1.0000000000095839</v>
      </c>
      <c r="P624" s="691">
        <f t="shared" si="326"/>
        <v>4.3781290102035654E-6</v>
      </c>
      <c r="Q624" s="336">
        <f t="shared" si="327"/>
        <v>15.124293785341408</v>
      </c>
      <c r="R624" s="692">
        <f t="shared" si="328"/>
        <v>2.0434361525914971E-6</v>
      </c>
      <c r="S624" s="343">
        <f t="shared" si="319"/>
        <v>0.99999999999563816</v>
      </c>
      <c r="T624" s="330">
        <f t="shared" si="320"/>
        <v>6.4602230989623295E-6</v>
      </c>
      <c r="U624" s="331">
        <f t="shared" si="321"/>
        <v>104.76750983803184</v>
      </c>
      <c r="V624" s="332">
        <f t="shared" si="322"/>
        <v>-45.041691600350703</v>
      </c>
      <c r="W624" s="334">
        <f t="shared" si="315"/>
        <v>134.9583083996493</v>
      </c>
      <c r="X624" s="307" t="s">
        <v>327</v>
      </c>
      <c r="AA624" s="307">
        <f>Pole2</f>
        <v>0.75342856523137813</v>
      </c>
      <c r="AB624" s="333">
        <f>20*LOG10((K624/(I624*M624))*AEA)</f>
        <v>94.69692460684189</v>
      </c>
      <c r="AC624" s="334">
        <f>(L624-(J624+N624))*radconv</f>
        <v>-44.989196547092099</v>
      </c>
      <c r="AE624" s="333">
        <f t="shared" si="323"/>
        <v>67.643487414347192</v>
      </c>
      <c r="AF624" s="334">
        <f t="shared" si="324"/>
        <v>-5.262882130596222E-2</v>
      </c>
    </row>
    <row r="625" spans="1:32" x14ac:dyDescent="0.25">
      <c r="A625" s="416">
        <f>Zero2</f>
        <v>3889.4169910497644</v>
      </c>
      <c r="B625" s="342"/>
      <c r="C625" s="343">
        <f t="shared" si="306"/>
        <v>4.8182557794440326</v>
      </c>
      <c r="D625" s="336">
        <f t="shared" si="307"/>
        <v>1.3617327232376948</v>
      </c>
      <c r="E625" s="336">
        <f t="shared" si="308"/>
        <v>1.0000119441748383</v>
      </c>
      <c r="F625" s="337">
        <f t="shared" si="309"/>
        <v>4.8875466142881234E-3</v>
      </c>
      <c r="G625" s="326">
        <f t="shared" si="316"/>
        <v>1</v>
      </c>
      <c r="H625" s="327">
        <f t="shared" si="317"/>
        <v>0</v>
      </c>
      <c r="I625" s="343">
        <f t="shared" si="310"/>
        <v>5162.2904194368793</v>
      </c>
      <c r="J625" s="344">
        <f t="shared" si="311"/>
        <v>1.5706026143291103</v>
      </c>
      <c r="K625" s="336">
        <f t="shared" si="312"/>
        <v>1.4142135623730951</v>
      </c>
      <c r="L625" s="337">
        <f t="shared" si="313"/>
        <v>0.78539816339744828</v>
      </c>
      <c r="M625" s="325">
        <f t="shared" si="314"/>
        <v>1.0003541284153605</v>
      </c>
      <c r="N625" s="328">
        <f t="shared" si="318"/>
        <v>2.6609169139701024E-2</v>
      </c>
      <c r="O625" s="343">
        <f t="shared" si="325"/>
        <v>1.0002553739030366</v>
      </c>
      <c r="P625" s="691">
        <f t="shared" si="326"/>
        <v>2.2597325875065844E-2</v>
      </c>
      <c r="Q625" s="336">
        <f t="shared" si="327"/>
        <v>15.125111149877608</v>
      </c>
      <c r="R625" s="692">
        <f t="shared" si="328"/>
        <v>1.0548436233931436E-2</v>
      </c>
      <c r="S625" s="343">
        <f t="shared" si="319"/>
        <v>0.99988397923495553</v>
      </c>
      <c r="T625" s="330">
        <f t="shared" si="320"/>
        <v>3.3359603975583303E-2</v>
      </c>
      <c r="U625" s="331">
        <f t="shared" si="321"/>
        <v>22.873252158617603</v>
      </c>
      <c r="V625" s="332">
        <f t="shared" si="322"/>
        <v>-125.47601038768005</v>
      </c>
      <c r="W625" s="334">
        <f t="shared" si="315"/>
        <v>54.523989612319951</v>
      </c>
      <c r="X625" s="307" t="s">
        <v>322</v>
      </c>
      <c r="AA625" s="307">
        <f>Zero2</f>
        <v>3889.4169910497644</v>
      </c>
      <c r="AB625" s="333">
        <f>20*LOG10((K625/(I625*M625))*AEA)</f>
        <v>26.457600313935068</v>
      </c>
      <c r="AC625" s="334">
        <f>(L625-(J625+N625))*radconv</f>
        <v>-46.513494234475409</v>
      </c>
      <c r="AE625" s="333">
        <f t="shared" si="323"/>
        <v>53.986805561751758</v>
      </c>
      <c r="AF625" s="334">
        <f t="shared" si="324"/>
        <v>-79.652866678249367</v>
      </c>
    </row>
    <row r="626" spans="1:32" x14ac:dyDescent="0.25">
      <c r="A626" s="416">
        <f>pole3</f>
        <v>150000</v>
      </c>
      <c r="B626" s="342"/>
      <c r="C626" s="343">
        <f t="shared" si="306"/>
        <v>181.77838361296827</v>
      </c>
      <c r="D626" s="336">
        <f t="shared" si="307"/>
        <v>1.5652950948878488</v>
      </c>
      <c r="E626" s="336">
        <f t="shared" si="308"/>
        <v>1.017610227819435</v>
      </c>
      <c r="F626" s="337">
        <f t="shared" si="309"/>
        <v>0.18630952386316746</v>
      </c>
      <c r="G626" s="326">
        <f t="shared" si="316"/>
        <v>1</v>
      </c>
      <c r="H626" s="327">
        <f t="shared" si="317"/>
        <v>0</v>
      </c>
      <c r="I626" s="343">
        <f t="shared" si="310"/>
        <v>199089.87649788288</v>
      </c>
      <c r="J626" s="344">
        <f t="shared" si="311"/>
        <v>1.5707913039377952</v>
      </c>
      <c r="K626" s="336">
        <f t="shared" si="312"/>
        <v>38.57915391627256</v>
      </c>
      <c r="L626" s="337">
        <f t="shared" si="313"/>
        <v>1.5448726889466931</v>
      </c>
      <c r="M626" s="325">
        <f t="shared" si="314"/>
        <v>1.4330433044280855</v>
      </c>
      <c r="N626" s="328">
        <f t="shared" si="318"/>
        <v>0.79845300902871374</v>
      </c>
      <c r="O626" s="343">
        <f t="shared" si="325"/>
        <v>1.3265588259302374</v>
      </c>
      <c r="P626" s="691">
        <f t="shared" si="326"/>
        <v>0.71692448044705093</v>
      </c>
      <c r="Q626" s="336">
        <f t="shared" si="327"/>
        <v>16.294784262706113</v>
      </c>
      <c r="R626" s="692">
        <f t="shared" si="328"/>
        <v>0.38720750644078628</v>
      </c>
      <c r="S626" s="343">
        <f t="shared" si="319"/>
        <v>1.2861650188903999</v>
      </c>
      <c r="T626" s="330" t="e">
        <f t="shared" si="320"/>
        <v>#DIV/0!</v>
      </c>
      <c r="U626" s="331">
        <f t="shared" si="321"/>
        <v>-15.019391883720189</v>
      </c>
      <c r="V626" s="332" t="e">
        <f t="shared" si="322"/>
        <v>#DIV/0!</v>
      </c>
      <c r="W626" s="334" t="e">
        <f t="shared" si="315"/>
        <v>#DIV/0!</v>
      </c>
      <c r="X626" s="307" t="s">
        <v>320</v>
      </c>
      <c r="AB626" s="333">
        <f>20*LOG10((K626/(I626*M626))*AEA)</f>
        <v>20.328108547334388</v>
      </c>
      <c r="AC626" s="334">
        <f>(L626-(J626+N626))*radconv</f>
        <v>-47.233014860652553</v>
      </c>
      <c r="AE626" s="333">
        <f t="shared" si="323"/>
        <v>20.41834168570081</v>
      </c>
      <c r="AF626" s="334" t="e">
        <f t="shared" si="324"/>
        <v>#DIV/0!</v>
      </c>
    </row>
    <row r="627" spans="1:32" ht="13.8" thickBot="1" x14ac:dyDescent="0.3">
      <c r="A627" s="393">
        <f>Fp2_u</f>
        <v>146133.79932357057</v>
      </c>
      <c r="C627" s="343">
        <f>SQRT(1+(A627/pole1)^2)</f>
        <v>177.09324921573571</v>
      </c>
      <c r="D627" s="336">
        <f>ATAN(A627/pole1)</f>
        <v>1.5651495541551232</v>
      </c>
      <c r="E627" s="336">
        <f>SQRT(1+(A627/Zero1)^2)</f>
        <v>1.0167214968253089</v>
      </c>
      <c r="F627" s="337">
        <f>ATAN(A627/Zero1)</f>
        <v>0.18161369368326083</v>
      </c>
      <c r="G627" s="326">
        <f t="shared" si="316"/>
        <v>1</v>
      </c>
      <c r="H627" s="327">
        <f t="shared" si="317"/>
        <v>0</v>
      </c>
      <c r="I627" s="343">
        <f>SQRT(1+(A627/Pole2)^2)</f>
        <v>193958.40039677161</v>
      </c>
      <c r="J627" s="344">
        <f>ATAN(A627/Pole2)</f>
        <v>1.5707911710501701</v>
      </c>
      <c r="K627" s="336">
        <f>SQRT(1+(A627/Zero2)^2)</f>
        <v>37.58546583993293</v>
      </c>
      <c r="L627" s="337">
        <f>ATAN(A627/Zero2)</f>
        <v>1.5441871576551955</v>
      </c>
      <c r="M627" s="325">
        <f>SQRT(1+(A627/pole4)^2)</f>
        <v>1.4142135623730951</v>
      </c>
      <c r="N627" s="328">
        <f t="shared" si="318"/>
        <v>0.78539816339744828</v>
      </c>
      <c r="O627" s="343">
        <f t="shared" si="325"/>
        <v>1.3119062504674004</v>
      </c>
      <c r="P627" s="691">
        <f t="shared" si="326"/>
        <v>0.70401485583656886</v>
      </c>
      <c r="Q627" s="336">
        <f t="shared" si="327"/>
        <v>16.237259579145416</v>
      </c>
      <c r="R627" s="692">
        <f t="shared" si="328"/>
        <v>0.37812093129481467</v>
      </c>
      <c r="S627" s="343">
        <f t="shared" si="319"/>
        <v>1.2540473347029917</v>
      </c>
      <c r="T627" s="330">
        <f t="shared" si="320"/>
        <v>1.5302085586924481</v>
      </c>
      <c r="U627" s="331">
        <f t="shared" si="321"/>
        <v>-14.531234978132975</v>
      </c>
      <c r="V627" s="332">
        <f t="shared" si="322"/>
        <v>-194.79720926094481</v>
      </c>
      <c r="W627" s="334">
        <f>IF(V627&gt;0,V627,V627+180)</f>
        <v>-14.797209260944811</v>
      </c>
      <c r="X627" s="307" t="s">
        <v>332</v>
      </c>
      <c r="AB627" s="345"/>
      <c r="AC627" s="346"/>
      <c r="AE627" s="333">
        <f t="shared" si="323"/>
        <v>20.857212441723174</v>
      </c>
      <c r="AF627" s="334">
        <f t="shared" si="324"/>
        <v>-166.94525798867522</v>
      </c>
    </row>
    <row r="628" spans="1:32" x14ac:dyDescent="0.25">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15.124293785310735</v>
      </c>
      <c r="R628" s="692">
        <f t="shared" si="328"/>
        <v>0</v>
      </c>
      <c r="S628" s="343">
        <f t="shared" si="319"/>
        <v>1</v>
      </c>
      <c r="T628" s="330">
        <f t="shared" si="320"/>
        <v>0</v>
      </c>
      <c r="U628" s="331">
        <f t="shared" si="321"/>
        <v>107.77781325211735</v>
      </c>
      <c r="V628" s="332">
        <f t="shared" si="322"/>
        <v>0</v>
      </c>
      <c r="W628" s="334">
        <f>IF(V628&gt;0,V628,V628+180)</f>
        <v>180</v>
      </c>
      <c r="X628" s="307" t="s">
        <v>426</v>
      </c>
      <c r="AB628" s="341"/>
      <c r="AC628" s="341"/>
      <c r="AE628" s="333">
        <f t="shared" si="323"/>
        <v>67.643491034710024</v>
      </c>
      <c r="AF628" s="334">
        <f t="shared" si="324"/>
        <v>0</v>
      </c>
    </row>
    <row r="629" spans="1:32" x14ac:dyDescent="0.25">
      <c r="A629" s="393">
        <f>Fp2_u</f>
        <v>146133.79932357057</v>
      </c>
      <c r="U629" s="331">
        <v>-25</v>
      </c>
    </row>
    <row r="631" spans="1:32" x14ac:dyDescent="0.25">
      <c r="D631" s="307" t="s">
        <v>351</v>
      </c>
      <c r="E631" s="307" t="s">
        <v>352</v>
      </c>
    </row>
    <row r="632" spans="1:32" x14ac:dyDescent="0.25">
      <c r="A632" s="307" t="s">
        <v>324</v>
      </c>
      <c r="B632" s="307" t="s">
        <v>423</v>
      </c>
      <c r="C632" s="347">
        <f>pole1</f>
        <v>825.19311049896191</v>
      </c>
      <c r="D632" s="347">
        <f>U622</f>
        <v>44.168448552332961</v>
      </c>
      <c r="E632" s="347">
        <f>AE622</f>
        <v>64.633241192048374</v>
      </c>
    </row>
    <row r="633" spans="1:32" x14ac:dyDescent="0.25">
      <c r="A633" s="307" t="s">
        <v>319</v>
      </c>
      <c r="B633" s="307" t="s">
        <v>433</v>
      </c>
      <c r="C633" s="347">
        <f>Zero1</f>
        <v>795774.71636878187</v>
      </c>
      <c r="D633" s="347">
        <f>U623</f>
        <v>-60.885363162499331</v>
      </c>
      <c r="E633" s="347">
        <f>AE623</f>
        <v>-17.970720127823</v>
      </c>
    </row>
    <row r="634" spans="1:32" x14ac:dyDescent="0.25">
      <c r="A634" s="307" t="s">
        <v>327</v>
      </c>
      <c r="B634" s="307" t="s">
        <v>434</v>
      </c>
      <c r="C634" s="347">
        <f>Pole2</f>
        <v>0.75342856523137813</v>
      </c>
      <c r="D634" s="347">
        <f>U624</f>
        <v>104.76750983803184</v>
      </c>
      <c r="E634" s="347">
        <f>AE624</f>
        <v>67.643487414347192</v>
      </c>
    </row>
    <row r="635" spans="1:32" x14ac:dyDescent="0.25">
      <c r="A635" s="307" t="s">
        <v>322</v>
      </c>
      <c r="B635" s="307" t="s">
        <v>435</v>
      </c>
      <c r="C635" s="347">
        <f>Zero2</f>
        <v>3889.4169910497644</v>
      </c>
      <c r="D635" s="347">
        <f>U625</f>
        <v>22.873252158617603</v>
      </c>
      <c r="E635" s="347">
        <f>AE625</f>
        <v>53.986805561751758</v>
      </c>
    </row>
    <row r="636" spans="1:32" x14ac:dyDescent="0.25">
      <c r="A636" s="307" t="s">
        <v>320</v>
      </c>
      <c r="B636" s="307" t="s">
        <v>432</v>
      </c>
      <c r="C636" s="307">
        <f>pole3</f>
        <v>150000</v>
      </c>
      <c r="D636" s="347">
        <f>U626</f>
        <v>-15.019391883720189</v>
      </c>
      <c r="E636" s="347">
        <f>AE626</f>
        <v>20.41834168570081</v>
      </c>
    </row>
    <row r="637" spans="1:32" x14ac:dyDescent="0.25">
      <c r="C637" s="393"/>
      <c r="D637" s="347"/>
      <c r="E637" s="347"/>
    </row>
    <row r="639" spans="1:32" x14ac:dyDescent="0.25">
      <c r="A639" s="347">
        <f>U4*1000</f>
        <v>39131.5</v>
      </c>
    </row>
    <row r="640" spans="1:32" x14ac:dyDescent="0.25">
      <c r="A640" s="347">
        <f>U4*1000</f>
        <v>39131.5</v>
      </c>
    </row>
    <row r="687" spans="34:35" x14ac:dyDescent="0.25">
      <c r="AH687" t="s">
        <v>44</v>
      </c>
      <c r="AI687" s="4">
        <f>SUM(AI689:AI1306)</f>
        <v>0</v>
      </c>
    </row>
  </sheetData>
  <mergeCells count="24">
    <mergeCell ref="AB10:AC10"/>
    <mergeCell ref="AE10:AF10"/>
    <mergeCell ref="C11:D11"/>
    <mergeCell ref="E11:F11"/>
    <mergeCell ref="I11:J11"/>
    <mergeCell ref="K11:L11"/>
    <mergeCell ref="M11:N11"/>
    <mergeCell ref="S11:T11"/>
    <mergeCell ref="O11:P11"/>
    <mergeCell ref="Q11:R11"/>
    <mergeCell ref="B10:B11"/>
    <mergeCell ref="A2:D2"/>
    <mergeCell ref="J2:L2"/>
    <mergeCell ref="A10:A12"/>
    <mergeCell ref="S10:T10"/>
    <mergeCell ref="T2:V2"/>
    <mergeCell ref="G11:H11"/>
    <mergeCell ref="E2:G2"/>
    <mergeCell ref="C10:H10"/>
    <mergeCell ref="I10:N10"/>
    <mergeCell ref="U10:W10"/>
    <mergeCell ref="O10:R10"/>
    <mergeCell ref="M2:O2"/>
    <mergeCell ref="P2:S2"/>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3.2" x14ac:dyDescent="0.25"/>
  <cols>
    <col min="1" max="1" width="10.5546875" customWidth="1"/>
    <col min="2" max="2" width="129.33203125" customWidth="1"/>
  </cols>
  <sheetData>
    <row r="1" spans="1:14" x14ac:dyDescent="0.25">
      <c r="J1" s="113" t="s">
        <v>590</v>
      </c>
      <c r="N1" s="113" t="s">
        <v>592</v>
      </c>
    </row>
    <row r="2" spans="1:14" x14ac:dyDescent="0.25">
      <c r="A2" t="str">
        <f>CHOOSE(BODE_PLOT_TYPE, "BODE_PLOT_Ch1", "BODE_PLOT_Ch2")</f>
        <v>BODE_PLOT_Ch1</v>
      </c>
      <c r="J2" s="113" t="s">
        <v>591</v>
      </c>
      <c r="N2" s="113" t="s">
        <v>682</v>
      </c>
    </row>
    <row r="3" spans="1:14" x14ac:dyDescent="0.25">
      <c r="J3" s="113" t="s">
        <v>589</v>
      </c>
    </row>
    <row r="4" spans="1:14" x14ac:dyDescent="0.25">
      <c r="J4" s="113" t="s">
        <v>588</v>
      </c>
    </row>
    <row r="5" spans="1:14" ht="409.5" customHeight="1" x14ac:dyDescent="0.25">
      <c r="B5" s="521"/>
    </row>
    <row r="6" spans="1:14" ht="12" customHeight="1" x14ac:dyDescent="0.25">
      <c r="B6" s="521"/>
      <c r="F6">
        <f ca="1">INDIRECT(A2)</f>
        <v>0</v>
      </c>
    </row>
    <row r="7" spans="1:14" ht="34.5" customHeight="1" x14ac:dyDescent="0.25"/>
    <row r="8" spans="1:14" ht="409.5" customHeight="1" x14ac:dyDescent="0.25">
      <c r="B8" s="521"/>
    </row>
    <row r="9" spans="1:14" x14ac:dyDescent="0.25">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3.2" x14ac:dyDescent="0.25"/>
  <cols>
    <col min="1" max="1" width="19.6640625" customWidth="1"/>
    <col min="2" max="2" width="13.109375" bestFit="1" customWidth="1"/>
    <col min="4" max="4" width="74.5546875" customWidth="1"/>
    <col min="6" max="6" width="9.109375" customWidth="1"/>
    <col min="7" max="7" width="6.6640625" customWidth="1"/>
    <col min="8" max="8" width="9.109375" style="530"/>
    <col min="9" max="10" width="9.6640625" customWidth="1"/>
    <col min="11" max="11" width="8.109375" customWidth="1"/>
    <col min="12" max="12" width="7.44140625" customWidth="1"/>
    <col min="13" max="13" width="10.6640625" style="348" customWidth="1"/>
    <col min="14" max="16" width="8.6640625" style="4" customWidth="1"/>
    <col min="17" max="17" width="12.109375" style="4" customWidth="1"/>
    <col min="18" max="18" width="8" style="4" customWidth="1"/>
    <col min="19" max="19" width="9.44140625" style="300" customWidth="1"/>
    <col min="20" max="20" width="8" customWidth="1"/>
    <col min="21" max="21" width="9.33203125" customWidth="1"/>
    <col min="22" max="22" width="8.6640625" style="4" customWidth="1"/>
    <col min="23" max="23" width="9.6640625" customWidth="1"/>
    <col min="24" max="24" width="10.6640625" customWidth="1"/>
    <col min="25" max="25" width="9.6640625" style="300" customWidth="1"/>
    <col min="26" max="26" width="10.5546875" customWidth="1"/>
    <col min="28" max="29" width="8.5546875" customWidth="1"/>
    <col min="30" max="30" width="11.6640625" customWidth="1"/>
    <col min="31" max="31" width="12.6640625" customWidth="1"/>
    <col min="32" max="32" width="8" customWidth="1"/>
    <col min="33" max="33" width="9.6640625" customWidth="1"/>
    <col min="34" max="35" width="8.6640625" customWidth="1"/>
    <col min="36" max="36" width="10.5546875" customWidth="1"/>
    <col min="37" max="37" width="10.33203125" customWidth="1"/>
    <col min="38" max="38" width="13.6640625" customWidth="1"/>
    <col min="39" max="39" width="12" style="300" customWidth="1"/>
    <col min="40" max="40" width="11.5546875" customWidth="1"/>
    <col min="41" max="41" width="9.33203125" customWidth="1"/>
    <col min="42" max="43" width="10.44140625" customWidth="1"/>
    <col min="44" max="44" width="14.6640625" customWidth="1"/>
    <col min="46" max="46" width="8.44140625" style="4" customWidth="1"/>
    <col min="47" max="47" width="7.33203125" customWidth="1"/>
    <col min="48" max="48" width="10.109375" style="9" customWidth="1"/>
    <col min="49" max="49" width="12.44140625" style="366" customWidth="1"/>
    <col min="50" max="50" width="11.44140625" style="366" customWidth="1"/>
    <col min="51" max="51" width="3.33203125" customWidth="1"/>
    <col min="52" max="52" width="7.6640625" style="348" customWidth="1"/>
    <col min="53" max="53" width="9.109375" style="300"/>
    <col min="54" max="54" width="10.33203125" style="300" customWidth="1"/>
    <col min="55" max="55" width="12.109375" style="300" customWidth="1"/>
    <col min="56" max="56" width="8.6640625" style="300" customWidth="1"/>
    <col min="57" max="57" width="7.6640625" customWidth="1"/>
    <col min="61" max="61" width="28.44140625" customWidth="1"/>
    <col min="64" max="64" width="12.44140625" bestFit="1" customWidth="1"/>
  </cols>
  <sheetData>
    <row r="1" spans="1:65" ht="12.75" customHeight="1" x14ac:dyDescent="0.25">
      <c r="A1" s="879" t="s">
        <v>675</v>
      </c>
      <c r="B1" s="879"/>
      <c r="C1" s="879"/>
      <c r="D1" s="879"/>
    </row>
    <row r="2" spans="1:65" ht="12.75" customHeight="1" x14ac:dyDescent="0.25">
      <c r="A2" s="879"/>
      <c r="B2" s="879"/>
      <c r="C2" s="879"/>
      <c r="D2" s="879"/>
      <c r="H2" s="535">
        <f>AV19</f>
        <v>0.90659719333786848</v>
      </c>
      <c r="I2" s="113" t="s">
        <v>580</v>
      </c>
      <c r="J2" s="113"/>
      <c r="AK2" s="113"/>
    </row>
    <row r="3" spans="1:65" ht="12.75" customHeight="1" x14ac:dyDescent="0.25">
      <c r="A3" s="879"/>
      <c r="B3" s="879"/>
      <c r="C3" s="879"/>
      <c r="D3" s="879"/>
      <c r="H3" s="535">
        <f>AV59</f>
        <v>0.96233989393446839</v>
      </c>
      <c r="I3" s="113" t="s">
        <v>582</v>
      </c>
      <c r="J3" s="113"/>
      <c r="AK3" s="113"/>
      <c r="AP3">
        <f>IF(MODE=1, (Qg_Q1+Qg_Q2)*Fsw*Vin, (Qg_Q1+Qg_Q2+Qg_Q3+Qg_Q4)*Fsw*Vin)</f>
        <v>0.49499999999999994</v>
      </c>
    </row>
    <row r="4" spans="1:65" ht="12.75" customHeight="1" x14ac:dyDescent="0.25">
      <c r="A4" s="879"/>
      <c r="B4" s="879"/>
      <c r="C4" s="879"/>
      <c r="D4" s="879"/>
      <c r="H4" s="535">
        <f>AV109</f>
        <v>0.96762366867303817</v>
      </c>
      <c r="I4" s="113" t="s">
        <v>581</v>
      </c>
      <c r="J4" s="113"/>
      <c r="AK4" s="113"/>
      <c r="AO4" s="113" t="s">
        <v>710</v>
      </c>
      <c r="AP4">
        <f>(Qg_Q1+Qg_Q2)*Fsw*1000</f>
        <v>9.8999999999999986</v>
      </c>
      <c r="AQ4" s="113" t="s">
        <v>64</v>
      </c>
      <c r="AR4">
        <f>AP4*5/1000</f>
        <v>4.9499999999999995E-2</v>
      </c>
    </row>
    <row r="5" spans="1:65" x14ac:dyDescent="0.25">
      <c r="A5" s="10"/>
      <c r="B5" s="11"/>
      <c r="C5" s="6"/>
      <c r="D5" s="6"/>
    </row>
    <row r="6" spans="1:65" ht="13.5" customHeight="1" thickBot="1" x14ac:dyDescent="0.3">
      <c r="A6" s="880" t="s">
        <v>458</v>
      </c>
      <c r="B6" s="880"/>
      <c r="C6" s="880"/>
      <c r="D6" s="880"/>
    </row>
    <row r="7" spans="1:65" ht="13.8" thickBot="1" x14ac:dyDescent="0.3">
      <c r="A7" s="880"/>
      <c r="B7" s="880"/>
      <c r="C7" s="880"/>
      <c r="D7" s="880"/>
      <c r="G7" s="876" t="s">
        <v>574</v>
      </c>
      <c r="H7" s="877"/>
      <c r="I7" s="877"/>
      <c r="J7" s="877"/>
      <c r="K7" s="877"/>
      <c r="L7" s="877"/>
      <c r="M7" s="877"/>
      <c r="N7" s="878"/>
      <c r="O7" s="591"/>
      <c r="P7" s="591"/>
      <c r="Q7" s="591"/>
      <c r="R7" s="876" t="s">
        <v>469</v>
      </c>
      <c r="S7" s="877"/>
      <c r="T7" s="877"/>
      <c r="U7" s="878"/>
      <c r="V7" s="881" t="s">
        <v>25</v>
      </c>
      <c r="W7" s="882"/>
      <c r="X7" s="883"/>
      <c r="Y7" s="876" t="s">
        <v>57</v>
      </c>
      <c r="Z7" s="877"/>
      <c r="AA7" s="878"/>
      <c r="AB7" s="876" t="s">
        <v>571</v>
      </c>
      <c r="AC7" s="877"/>
      <c r="AD7" s="877"/>
      <c r="AE7" s="877"/>
      <c r="AF7" s="877"/>
      <c r="AG7" s="878"/>
      <c r="AH7" s="876" t="s">
        <v>572</v>
      </c>
      <c r="AI7" s="877"/>
      <c r="AJ7" s="877"/>
      <c r="AK7" s="878"/>
      <c r="AL7" s="453" t="s">
        <v>198</v>
      </c>
      <c r="AM7" s="455" t="s">
        <v>445</v>
      </c>
      <c r="AN7" s="454" t="s">
        <v>487</v>
      </c>
      <c r="AO7" s="885" t="s">
        <v>476</v>
      </c>
      <c r="AP7" s="886"/>
      <c r="AQ7" s="886"/>
      <c r="AR7" s="887"/>
      <c r="AS7" s="888"/>
      <c r="AT7" s="876" t="s">
        <v>484</v>
      </c>
      <c r="AU7" s="877"/>
      <c r="AV7" s="877"/>
      <c r="AW7" s="877"/>
      <c r="AX7" s="877"/>
      <c r="AY7" s="527"/>
      <c r="AZ7" s="884" t="s">
        <v>485</v>
      </c>
      <c r="BA7" s="884"/>
      <c r="BB7" s="884"/>
      <c r="BC7" s="884"/>
      <c r="BD7" s="884"/>
      <c r="BE7" s="884"/>
    </row>
    <row r="8" spans="1:65" ht="66.599999999999994" thickBot="1" x14ac:dyDescent="0.55000000000000004">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x14ac:dyDescent="0.25">
      <c r="A9" s="14" t="s">
        <v>55</v>
      </c>
      <c r="B9" s="15" t="s">
        <v>111</v>
      </c>
      <c r="C9" s="16" t="s">
        <v>76</v>
      </c>
      <c r="D9" s="17" t="s">
        <v>107</v>
      </c>
      <c r="G9">
        <v>0</v>
      </c>
      <c r="H9" s="531">
        <f t="shared" ref="H9:H40" si="0">Vin</f>
        <v>50</v>
      </c>
      <c r="I9" s="4">
        <f t="shared" ref="I9:I40" si="1">MODE</f>
        <v>1</v>
      </c>
      <c r="J9">
        <v>0</v>
      </c>
      <c r="K9" s="348">
        <f t="shared" ref="K9:K40" si="2">Iout*G9/100/Number_of_Phases</f>
        <v>0</v>
      </c>
      <c r="L9" s="4">
        <f t="shared" ref="L9:L40" si="3">Vout*K9/(Vin*Efficiency)</f>
        <v>0</v>
      </c>
      <c r="M9" s="348">
        <f t="shared" ref="M9:M40" si="4">(Vout+(Rdson2+Rs+Rdcr)*K9)/(Vin+(Rs+Rdson2-Rdson1)*K9)</f>
        <v>0.24</v>
      </c>
      <c r="N9" s="4">
        <f t="shared" ref="N9:N40" si="5">(Vin-(Rdson1+Rdcr)*K9-Vout)*M9/(Fsw*Lf)</f>
        <v>13.818181818181817</v>
      </c>
      <c r="O9" s="4">
        <f>K9+N9/2</f>
        <v>6.9090909090909083</v>
      </c>
      <c r="P9" s="4">
        <f>K9-N9/2</f>
        <v>-6.9090909090909083</v>
      </c>
      <c r="Q9" s="4">
        <f t="shared" ref="Q9:Q40" si="6">IF(MIN(Vin, -P9/(Coss_Q1+Coss_Q2)*0.00000002)&lt;0, 0, MIN(Vin, -P9/(Coss_Q1+Coss_Q2)*0.00000002))</f>
        <v>50</v>
      </c>
      <c r="R9" s="4">
        <f>SQRT(K9^2+(N9^2)/12)</f>
        <v>3.9889654962192318</v>
      </c>
      <c r="S9" s="348">
        <f t="shared" ref="S9:S40" si="7">R9^2*Rdcr</f>
        <v>5.5691460055096398E-2</v>
      </c>
      <c r="T9" s="348">
        <f t="shared" ref="T9:T40" si="8">Core_Loss_Ch1</f>
        <v>0.2</v>
      </c>
      <c r="U9" s="348">
        <f t="shared" ref="U9:U40" si="9">(T9+S9*(1+Ltc*(Ta-25)))/(1-S9*Ltc*ThetaCa)</f>
        <v>0.25683574466427173</v>
      </c>
      <c r="V9" s="4">
        <f>N9/SQRT(12)</f>
        <v>3.9889654962192322</v>
      </c>
      <c r="W9" s="348">
        <f t="shared" ref="W9:W73" si="10">RCoutEsr*V9^2</f>
        <v>1.5911845730027546E-2</v>
      </c>
      <c r="X9" s="348">
        <f>W9</f>
        <v>1.5911845730027546E-2</v>
      </c>
      <c r="Y9" s="4">
        <f>SQRT(M9*(1-M9))*SQRT(K9^2+(N9^2)/12)</f>
        <v>1.703619869911426</v>
      </c>
      <c r="Z9" s="348">
        <f t="shared" ref="Z9:Z73" si="11">RCinEsr*Y9^2</f>
        <v>2.9023206611570244E-3</v>
      </c>
      <c r="AA9" s="525">
        <f>Z9</f>
        <v>2.9023206611570244E-3</v>
      </c>
      <c r="AB9" s="348">
        <f>SQRT(M9)*SQRT(K9^2+(N9^2)/12)</f>
        <v>1.9541860134610036</v>
      </c>
      <c r="AC9" s="348">
        <f t="shared" ref="AC9:AC40" si="12">Rdson1*AB9^2</f>
        <v>4.5826115702479318E-2</v>
      </c>
      <c r="AD9" s="348">
        <f t="shared" ref="AD9:AD40" si="13">(Vin*K9/2)*Fsw*(Tr_buck+Tf_buck)</f>
        <v>0</v>
      </c>
      <c r="AE9" s="348">
        <f t="shared" ref="AE9:AE40" si="14">(0.5*Coss_Q1*(Vin-Q9)^2-0.5*Coss_Q2*(Vin-Q9)^2+(Qoss_Q2*(Vin-Q9)/Vin)*Vin)*Fsw</f>
        <v>0</v>
      </c>
      <c r="AF9" s="348">
        <f t="shared" ref="AF9:AF40" si="15">IF(K9&gt;N9/2,0,ABS(K9-N9/2)*Vsd_Q1*Deadtime*Fsw)</f>
        <v>2.0312727272727267E-2</v>
      </c>
      <c r="AG9" s="348">
        <f t="shared" ref="AG9:AG40" si="16">(AF9+AE9+AD9+AC9*(1+RdsonTopTc*Ta-RdsonTopTc*25))/(1-AC9*RdsonTopTc*ThetaJA_Q1)</f>
        <v>6.6651982420181985E-2</v>
      </c>
      <c r="AH9" s="348">
        <f t="shared" ref="AH9:AH40" si="17">SQRT((1-M9))*SQRT(K9^2+(N9^2)/12)</f>
        <v>3.4774994974580413</v>
      </c>
      <c r="AI9" s="348">
        <f t="shared" ref="AI9:AI40" si="18">Rdson2*AH9^2</f>
        <v>4.9581311294765805E-2</v>
      </c>
      <c r="AJ9" s="348">
        <f t="shared" ref="AJ9:AJ40" si="19">IF(K9&lt;N9/2,Deadtime*Fsw*IF(VfdSky_Q2&gt;0,0,Vsd_Q2)*(K9+N9/2),2*Deadtime*Fsw*IF(VfdSky_Q2&gt;0,0,Vsd_Q2)*K9)</f>
        <v>2.0312727272727267E-2</v>
      </c>
      <c r="AK9" s="348">
        <f t="shared" ref="AK9:AK40" si="20">(AJ9+AI9*(1+RdsonBotTc*Ta-RdsonBotTc*25))/(1-AI9*RdsonBotTc*ThetaJA_Q2)</f>
        <v>7.0462802860482759E-2</v>
      </c>
      <c r="AL9" s="348">
        <f t="shared" ref="AL9:AL40" si="21">2*Deadtime*Fsw*IF(VfdSky_Q2&gt;0,VfdSky_Q2,Vsd_Q2)*K9</f>
        <v>0</v>
      </c>
      <c r="AM9" s="348">
        <f t="shared" ref="AM9:AM40" si="22">IF(QrrSky_Q2&gt;0,QrrSky_Q2,Qrr_Q2*K9/(Iout/Number_of_Phases))*Fsw*Vin</f>
        <v>0</v>
      </c>
      <c r="AN9" s="348">
        <f t="shared" ref="AN9:AN40" si="23">Rs*R9^2</f>
        <v>3.1823691460055085E-2</v>
      </c>
      <c r="AO9" s="348">
        <f t="shared" ref="AO9:AO40" si="24">Iq*Vin</f>
        <v>1.1E-4</v>
      </c>
      <c r="AP9" s="348">
        <f t="shared" ref="AP9:AP40" si="25">IF(Ext_VCC=1,  (Qg_Q1+Qg_Q2)*Fsw*VCC, (Qg_Q1+Qg_Q2)*Fsw*Vin)</f>
        <v>4.9499999999999995E-2</v>
      </c>
      <c r="AQ9" s="348">
        <f t="shared" ref="AQ9:AQ72" si="26">(Vin-VCC)*Fsw*(Qg_Q1+Qg_Q2)+(RdsonDRT+RdsonDRT2)*Fsw*Qg_Q1*VCC/(RdsonDRT+2*Rgate1+RdsonDRT2)+(RdsonDRB+RdsonDRB2)*Fsw*Qg_Q2*VCC/(RdsonDRB+2*Rgate2+RdsonDRB2)</f>
        <v>0.46453846153846151</v>
      </c>
      <c r="AR9" s="348">
        <f t="shared" ref="AR9:AR40" si="27">(Qg_Q1+Qg_Q2)*Fsw*(Vin-VCC)</f>
        <v>0.44549999999999995</v>
      </c>
      <c r="AS9" s="348">
        <f t="shared" ref="AS9:AS40" si="28">SUM(AO9:AP9)</f>
        <v>4.9609999999999994E-2</v>
      </c>
      <c r="AT9" s="348">
        <f t="shared" ref="AT9:AT40" si="29" xml:space="preserve"> SUM(U9,X9,AA9,AG9,AK9,AL9,AM9,AS9,AN9)</f>
        <v>0.4941983877961762</v>
      </c>
      <c r="AU9">
        <f t="shared" ref="AU9:AU40" si="30">Vout*K9</f>
        <v>0</v>
      </c>
      <c r="AV9" s="526">
        <f>AU9/(AU9+AT9)</f>
        <v>0</v>
      </c>
      <c r="AW9" s="534">
        <f t="shared" ref="AW9:AW40" si="31">ThetaJA_Q1*BC9</f>
        <v>2.7993832616476433</v>
      </c>
      <c r="AX9" s="534">
        <f t="shared" ref="AX9:AX40" si="32">ThetaJA_Q2*BD9</f>
        <v>2.8678360764216486</v>
      </c>
      <c r="AZ9" s="4">
        <f>AV9*100</f>
        <v>0</v>
      </c>
      <c r="BA9" s="348">
        <f t="shared" ref="BA9:BA40" si="33">U9</f>
        <v>0.25683574466427173</v>
      </c>
      <c r="BB9" s="348">
        <f t="shared" ref="BB9:BB40" si="34">AG9+AK9+AM9</f>
        <v>0.13711478528066473</v>
      </c>
      <c r="BC9" s="348">
        <f t="shared" ref="BC9:BC40" si="35">AG9+AM9*0.66</f>
        <v>6.6651982420181985E-2</v>
      </c>
      <c r="BD9" s="348">
        <f t="shared" ref="BD9:BD40" si="36">AK9+AM9*0.33</f>
        <v>7.0462802860482759E-2</v>
      </c>
      <c r="BE9" s="348">
        <f t="shared" ref="BE9:BE40" si="37">AN9</f>
        <v>3.1823691460055085E-2</v>
      </c>
      <c r="BJ9" s="18"/>
      <c r="BK9" s="18"/>
      <c r="BL9" s="18"/>
      <c r="BM9" s="19"/>
    </row>
    <row r="10" spans="1:65" x14ac:dyDescent="0.25">
      <c r="A10" s="479"/>
      <c r="B10" s="24"/>
      <c r="C10" s="16"/>
      <c r="D10" s="17"/>
      <c r="G10">
        <v>1</v>
      </c>
      <c r="H10" s="531">
        <f t="shared" si="0"/>
        <v>50</v>
      </c>
      <c r="I10" s="4">
        <f t="shared" si="1"/>
        <v>1</v>
      </c>
      <c r="J10" s="348">
        <f t="shared" ref="J10:J41" si="38">Iout*G10/100</f>
        <v>0.05</v>
      </c>
      <c r="K10" s="348">
        <f t="shared" si="2"/>
        <v>0.05</v>
      </c>
      <c r="L10" s="4">
        <f t="shared" si="3"/>
        <v>1.3333333333333336E-2</v>
      </c>
      <c r="M10" s="348">
        <f t="shared" si="4"/>
        <v>0.24001101606499478</v>
      </c>
      <c r="N10" s="4">
        <f t="shared" si="5"/>
        <v>13.818534245352049</v>
      </c>
      <c r="O10" s="4">
        <f t="shared" ref="O10:O73" si="39">K10+N10/2</f>
        <v>6.9592671226760245</v>
      </c>
      <c r="P10" s="4">
        <f t="shared" ref="P10:P73" si="40">K10-N10/2</f>
        <v>-6.8592671226760249</v>
      </c>
      <c r="Q10" s="4">
        <f t="shared" si="6"/>
        <v>50</v>
      </c>
      <c r="R10" s="4">
        <f t="shared" ref="R10:R73" si="41">SQRT(K10^2+(N10^2)/12)</f>
        <v>3.9893805773366133</v>
      </c>
      <c r="S10" s="348">
        <f t="shared" si="7"/>
        <v>5.5703050867907132E-2</v>
      </c>
      <c r="T10" s="348">
        <f t="shared" si="8"/>
        <v>0.2</v>
      </c>
      <c r="U10" s="348">
        <f t="shared" si="9"/>
        <v>0.25684762658060478</v>
      </c>
      <c r="V10" s="4">
        <f t="shared" ref="V10:V73" si="42">N10/SQRT(12)</f>
        <v>3.9890672331800343</v>
      </c>
      <c r="W10" s="348">
        <f t="shared" si="10"/>
        <v>1.5912657390830615E-2</v>
      </c>
      <c r="X10" s="348">
        <f t="shared" ref="X10:X73" si="43">W10</f>
        <v>1.5912657390830615E-2</v>
      </c>
      <c r="Y10" s="4">
        <f t="shared" ref="Y10:Y73" si="44">SQRT(M10*(1-M10))*SQRT(K10^2+(N10^2)/12)</f>
        <v>1.7038238975341362</v>
      </c>
      <c r="Z10" s="348">
        <f t="shared" si="11"/>
        <v>2.9030158738084151E-3</v>
      </c>
      <c r="AA10" s="525">
        <f t="shared" ref="AA10:AA73" si="45">Z10</f>
        <v>2.9030158738084151E-3</v>
      </c>
      <c r="AB10" s="348">
        <f t="shared" ref="AB10:AB73" si="46">SQRT(M10)*SQRT(K10^2+(N10^2)/12)</f>
        <v>1.9544342138346755</v>
      </c>
      <c r="AC10" s="348">
        <f t="shared" si="12"/>
        <v>4.5837757154490795E-2</v>
      </c>
      <c r="AD10" s="348">
        <f t="shared" si="13"/>
        <v>2.9183833161534169E-3</v>
      </c>
      <c r="AE10" s="348">
        <f t="shared" si="14"/>
        <v>0</v>
      </c>
      <c r="AF10" s="348">
        <f t="shared" si="15"/>
        <v>2.0166245340667511E-2</v>
      </c>
      <c r="AG10" s="348">
        <f t="shared" si="16"/>
        <v>6.9457258321154736E-2</v>
      </c>
      <c r="AH10" s="348">
        <f t="shared" si="17"/>
        <v>3.4778361512042291</v>
      </c>
      <c r="AI10" s="348">
        <f t="shared" si="18"/>
        <v>4.959091160795448E-2</v>
      </c>
      <c r="AJ10" s="348">
        <f t="shared" si="19"/>
        <v>2.046024534066751E-2</v>
      </c>
      <c r="AK10" s="348">
        <f t="shared" si="20"/>
        <v>7.0621311070356255E-2</v>
      </c>
      <c r="AL10" s="348">
        <f t="shared" si="21"/>
        <v>2.9399999999999999E-4</v>
      </c>
      <c r="AM10" s="348">
        <f t="shared" si="22"/>
        <v>8.8500000000000002E-3</v>
      </c>
      <c r="AN10" s="348">
        <f t="shared" si="23"/>
        <v>3.183031478166122E-2</v>
      </c>
      <c r="AO10" s="348">
        <f t="shared" si="24"/>
        <v>1.1E-4</v>
      </c>
      <c r="AP10" s="348">
        <f t="shared" si="25"/>
        <v>4.9499999999999995E-2</v>
      </c>
      <c r="AQ10" s="348">
        <f t="shared" si="26"/>
        <v>0.46453846153846151</v>
      </c>
      <c r="AR10" s="348">
        <f t="shared" si="27"/>
        <v>0.44549999999999995</v>
      </c>
      <c r="AS10" s="348">
        <f t="shared" si="28"/>
        <v>4.9609999999999994E-2</v>
      </c>
      <c r="AT10" s="348">
        <f t="shared" si="29"/>
        <v>0.506326184018416</v>
      </c>
      <c r="AU10">
        <f t="shared" si="30"/>
        <v>0.60000000000000009</v>
      </c>
      <c r="AV10" s="526">
        <f t="shared" ref="AV10:AV73" si="47">AU10/(AU10+AT10)</f>
        <v>0.54233553238401189</v>
      </c>
      <c r="AW10" s="534">
        <f t="shared" si="31"/>
        <v>3.1625268494884988</v>
      </c>
      <c r="AX10" s="534">
        <f t="shared" si="32"/>
        <v>2.9931517105635002</v>
      </c>
      <c r="AY10" s="9"/>
      <c r="AZ10" s="4">
        <f t="shared" ref="AZ10:AZ73" si="48">AV10*100</f>
        <v>54.233553238401186</v>
      </c>
      <c r="BA10" s="348">
        <f t="shared" si="33"/>
        <v>0.25684762658060478</v>
      </c>
      <c r="BB10" s="348">
        <f t="shared" si="34"/>
        <v>0.14892856939151097</v>
      </c>
      <c r="BC10" s="348">
        <f t="shared" si="35"/>
        <v>7.5298258321154735E-2</v>
      </c>
      <c r="BD10" s="348">
        <f t="shared" si="36"/>
        <v>7.3541811070356261E-2</v>
      </c>
      <c r="BE10" s="348">
        <f t="shared" si="37"/>
        <v>3.183031478166122E-2</v>
      </c>
      <c r="BJ10" s="18"/>
      <c r="BK10" s="18"/>
      <c r="BL10" s="18"/>
      <c r="BM10" s="19"/>
    </row>
    <row r="11" spans="1:65" x14ac:dyDescent="0.25">
      <c r="A11" s="20" t="s">
        <v>3</v>
      </c>
      <c r="B11" s="5">
        <f>Vin</f>
        <v>50</v>
      </c>
      <c r="C11" s="427" t="s">
        <v>0</v>
      </c>
      <c r="D11" s="21" t="s">
        <v>3</v>
      </c>
      <c r="G11">
        <v>2</v>
      </c>
      <c r="H11" s="531">
        <f t="shared" si="0"/>
        <v>50</v>
      </c>
      <c r="I11" s="4">
        <f t="shared" si="1"/>
        <v>1</v>
      </c>
      <c r="J11" s="348">
        <f t="shared" si="38"/>
        <v>0.1</v>
      </c>
      <c r="K11" s="348">
        <f t="shared" si="2"/>
        <v>0.1</v>
      </c>
      <c r="L11" s="4">
        <f t="shared" si="3"/>
        <v>2.6666666666666672E-2</v>
      </c>
      <c r="M11" s="348">
        <f t="shared" si="4"/>
        <v>0.24002203225998067</v>
      </c>
      <c r="N11" s="4">
        <f t="shared" si="5"/>
        <v>13.818886654135246</v>
      </c>
      <c r="O11" s="4">
        <f t="shared" si="39"/>
        <v>7.0094433270676229</v>
      </c>
      <c r="P11" s="4">
        <f t="shared" si="40"/>
        <v>-6.8094433270676236</v>
      </c>
      <c r="Q11" s="4">
        <f t="shared" si="6"/>
        <v>50</v>
      </c>
      <c r="R11" s="4">
        <f t="shared" si="41"/>
        <v>3.9904221618754119</v>
      </c>
      <c r="S11" s="348">
        <f t="shared" si="7"/>
        <v>5.5732141604952525E-2</v>
      </c>
      <c r="T11" s="348">
        <f t="shared" si="8"/>
        <v>0.2</v>
      </c>
      <c r="U11" s="348">
        <f t="shared" si="9"/>
        <v>0.25687744802964912</v>
      </c>
      <c r="V11" s="4">
        <f t="shared" si="42"/>
        <v>3.989168964832956</v>
      </c>
      <c r="W11" s="348">
        <f t="shared" si="10"/>
        <v>1.5913469029986436E-2</v>
      </c>
      <c r="X11" s="348">
        <f t="shared" si="43"/>
        <v>1.5913469029986436E-2</v>
      </c>
      <c r="Y11" s="4">
        <f t="shared" si="44"/>
        <v>1.7042955069309045</v>
      </c>
      <c r="Z11" s="348">
        <f t="shared" si="11"/>
        <v>2.9046231749448688E-3</v>
      </c>
      <c r="AA11" s="525">
        <f t="shared" si="45"/>
        <v>2.9046231749448688E-3</v>
      </c>
      <c r="AB11" s="348">
        <f t="shared" si="46"/>
        <v>1.9549893598703312</v>
      </c>
      <c r="AC11" s="348">
        <f t="shared" si="12"/>
        <v>4.5863800766474491E-2</v>
      </c>
      <c r="AD11" s="348">
        <f t="shared" si="13"/>
        <v>5.8367666323068338E-3</v>
      </c>
      <c r="AE11" s="348">
        <f t="shared" si="14"/>
        <v>0</v>
      </c>
      <c r="AF11" s="348">
        <f t="shared" si="15"/>
        <v>2.001976338157881E-2</v>
      </c>
      <c r="AG11" s="348">
        <f t="shared" si="16"/>
        <v>7.2277235446406352E-2</v>
      </c>
      <c r="AH11" s="348">
        <f t="shared" si="17"/>
        <v>3.4787189643287122</v>
      </c>
      <c r="AI11" s="348">
        <f t="shared" si="18"/>
        <v>4.9616091094398927E-2</v>
      </c>
      <c r="AJ11" s="348">
        <f t="shared" si="19"/>
        <v>2.0607763381578808E-2</v>
      </c>
      <c r="AK11" s="348">
        <f t="shared" si="20"/>
        <v>7.0795706771239919E-2</v>
      </c>
      <c r="AL11" s="348">
        <f t="shared" si="21"/>
        <v>5.8799999999999998E-4</v>
      </c>
      <c r="AM11" s="348">
        <f t="shared" si="22"/>
        <v>1.77E-2</v>
      </c>
      <c r="AN11" s="348">
        <f t="shared" si="23"/>
        <v>3.1846938059972872E-2</v>
      </c>
      <c r="AO11" s="348">
        <f t="shared" si="24"/>
        <v>1.1E-4</v>
      </c>
      <c r="AP11" s="348">
        <f t="shared" si="25"/>
        <v>4.9499999999999995E-2</v>
      </c>
      <c r="AQ11" s="348">
        <f t="shared" si="26"/>
        <v>0.46453846153846151</v>
      </c>
      <c r="AR11" s="348">
        <f t="shared" si="27"/>
        <v>0.44549999999999995</v>
      </c>
      <c r="AS11" s="348">
        <f t="shared" si="28"/>
        <v>4.9609999999999994E-2</v>
      </c>
      <c r="AT11" s="348">
        <f t="shared" si="29"/>
        <v>0.51851342051219951</v>
      </c>
      <c r="AU11">
        <f t="shared" si="30"/>
        <v>1.2000000000000002</v>
      </c>
      <c r="AV11" s="526">
        <f t="shared" si="47"/>
        <v>0.69827793351904255</v>
      </c>
      <c r="AW11" s="534">
        <f t="shared" si="31"/>
        <v>3.5262878887490667</v>
      </c>
      <c r="AX11" s="534">
        <f t="shared" si="32"/>
        <v>3.1191139655894649</v>
      </c>
      <c r="AY11" s="9"/>
      <c r="AZ11" s="4">
        <f t="shared" si="48"/>
        <v>69.827793351904262</v>
      </c>
      <c r="BA11" s="348">
        <f t="shared" si="33"/>
        <v>0.25687744802964912</v>
      </c>
      <c r="BB11" s="348">
        <f t="shared" si="34"/>
        <v>0.16077294221764626</v>
      </c>
      <c r="BC11" s="348">
        <f t="shared" si="35"/>
        <v>8.395923544640635E-2</v>
      </c>
      <c r="BD11" s="348">
        <f t="shared" si="36"/>
        <v>7.6636706771239918E-2</v>
      </c>
      <c r="BE11" s="348">
        <f t="shared" si="37"/>
        <v>3.1846938059972872E-2</v>
      </c>
      <c r="BJ11" s="18"/>
      <c r="BK11" s="18"/>
      <c r="BL11" s="18"/>
      <c r="BM11" s="19"/>
    </row>
    <row r="12" spans="1:65" x14ac:dyDescent="0.25">
      <c r="A12" s="22" t="s">
        <v>4</v>
      </c>
      <c r="B12" s="5">
        <f>Vout</f>
        <v>12</v>
      </c>
      <c r="C12" s="427" t="s">
        <v>0</v>
      </c>
      <c r="D12" s="21" t="s">
        <v>4</v>
      </c>
      <c r="G12">
        <v>3</v>
      </c>
      <c r="H12" s="531">
        <f t="shared" si="0"/>
        <v>50</v>
      </c>
      <c r="I12" s="4">
        <f t="shared" si="1"/>
        <v>1</v>
      </c>
      <c r="J12" s="348">
        <f t="shared" si="38"/>
        <v>0.15</v>
      </c>
      <c r="K12" s="348">
        <f t="shared" si="2"/>
        <v>0.15</v>
      </c>
      <c r="L12" s="4">
        <f t="shared" si="3"/>
        <v>3.9999999999999994E-2</v>
      </c>
      <c r="M12" s="348">
        <f t="shared" si="4"/>
        <v>0.24003304858495994</v>
      </c>
      <c r="N12" s="4">
        <f t="shared" si="5"/>
        <v>13.819239044531086</v>
      </c>
      <c r="O12" s="4">
        <f t="shared" si="39"/>
        <v>7.0596195222655433</v>
      </c>
      <c r="P12" s="4">
        <f t="shared" si="40"/>
        <v>-6.7596195222655426</v>
      </c>
      <c r="Q12" s="4">
        <f t="shared" si="6"/>
        <v>50</v>
      </c>
      <c r="R12" s="4">
        <f t="shared" si="41"/>
        <v>3.9920897594481812</v>
      </c>
      <c r="S12" s="348">
        <f t="shared" si="7"/>
        <v>5.5778732266218635E-2</v>
      </c>
      <c r="T12" s="348">
        <f t="shared" si="8"/>
        <v>0.2</v>
      </c>
      <c r="U12" s="348">
        <f t="shared" si="9"/>
        <v>0.2569252092630126</v>
      </c>
      <c r="V12" s="4">
        <f t="shared" si="42"/>
        <v>3.989270691177905</v>
      </c>
      <c r="W12" s="348">
        <f t="shared" si="10"/>
        <v>1.5914280647491039E-2</v>
      </c>
      <c r="X12" s="348">
        <f t="shared" si="43"/>
        <v>1.5914280647491039E-2</v>
      </c>
      <c r="Y12" s="4">
        <f t="shared" si="44"/>
        <v>1.7050345012584533</v>
      </c>
      <c r="Z12" s="348">
        <f t="shared" si="11"/>
        <v>2.9071426504816626E-3</v>
      </c>
      <c r="AA12" s="525">
        <f t="shared" si="45"/>
        <v>2.9071426504816626E-3</v>
      </c>
      <c r="AB12" s="348">
        <f t="shared" si="46"/>
        <v>1.9558512324425559</v>
      </c>
      <c r="AC12" s="348">
        <f t="shared" si="12"/>
        <v>4.5904248521364772E-2</v>
      </c>
      <c r="AD12" s="348">
        <f t="shared" si="13"/>
        <v>8.7551499484602498E-3</v>
      </c>
      <c r="AE12" s="348">
        <f t="shared" si="14"/>
        <v>0</v>
      </c>
      <c r="AF12" s="348">
        <f t="shared" si="15"/>
        <v>1.9873281395460692E-2</v>
      </c>
      <c r="AG12" s="348">
        <f t="shared" si="16"/>
        <v>7.5111936642386648E-2</v>
      </c>
      <c r="AH12" s="348">
        <f t="shared" si="17"/>
        <v>3.4801474974552402</v>
      </c>
      <c r="AI12" s="348">
        <f t="shared" si="18"/>
        <v>4.965684907658028E-2</v>
      </c>
      <c r="AJ12" s="348">
        <f t="shared" si="19"/>
        <v>2.0755281395460692E-2</v>
      </c>
      <c r="AK12" s="348">
        <f t="shared" si="20"/>
        <v>7.0985990806939001E-2</v>
      </c>
      <c r="AL12" s="348">
        <f t="shared" si="21"/>
        <v>8.8199999999999975E-4</v>
      </c>
      <c r="AM12" s="348">
        <f t="shared" si="22"/>
        <v>2.6550000000000001E-2</v>
      </c>
      <c r="AN12" s="348">
        <f t="shared" si="23"/>
        <v>3.1873561294982075E-2</v>
      </c>
      <c r="AO12" s="348">
        <f t="shared" si="24"/>
        <v>1.1E-4</v>
      </c>
      <c r="AP12" s="348">
        <f t="shared" si="25"/>
        <v>4.9499999999999995E-2</v>
      </c>
      <c r="AQ12" s="348">
        <f t="shared" si="26"/>
        <v>0.46453846153846151</v>
      </c>
      <c r="AR12" s="348">
        <f t="shared" si="27"/>
        <v>0.44549999999999995</v>
      </c>
      <c r="AS12" s="348">
        <f t="shared" si="28"/>
        <v>4.9609999999999994E-2</v>
      </c>
      <c r="AT12" s="348">
        <f t="shared" si="29"/>
        <v>0.53076012130529304</v>
      </c>
      <c r="AU12">
        <f t="shared" si="30"/>
        <v>1.7999999999999998</v>
      </c>
      <c r="AV12" s="526">
        <f t="shared" si="47"/>
        <v>0.77228024606493961</v>
      </c>
      <c r="AW12" s="534">
        <f t="shared" si="31"/>
        <v>3.8906673389802391</v>
      </c>
      <c r="AX12" s="534">
        <f t="shared" si="32"/>
        <v>3.2457228758424179</v>
      </c>
      <c r="AY12" s="9"/>
      <c r="AZ12" s="4">
        <f t="shared" si="48"/>
        <v>77.22802460649396</v>
      </c>
      <c r="BA12" s="348">
        <f t="shared" si="33"/>
        <v>0.2569252092630126</v>
      </c>
      <c r="BB12" s="348">
        <f t="shared" si="34"/>
        <v>0.17264792744932564</v>
      </c>
      <c r="BC12" s="348">
        <f t="shared" si="35"/>
        <v>9.2634936642386645E-2</v>
      </c>
      <c r="BD12" s="348">
        <f t="shared" si="36"/>
        <v>7.9747490806939006E-2</v>
      </c>
      <c r="BE12" s="348">
        <f t="shared" si="37"/>
        <v>3.1873561294982075E-2</v>
      </c>
      <c r="BJ12" s="18"/>
      <c r="BK12" s="18"/>
      <c r="BL12" s="18"/>
      <c r="BM12" s="19"/>
    </row>
    <row r="13" spans="1:65" x14ac:dyDescent="0.25">
      <c r="A13" s="22" t="s">
        <v>6</v>
      </c>
      <c r="B13" s="5">
        <f>Fsw/1000</f>
        <v>300</v>
      </c>
      <c r="C13" s="427" t="s">
        <v>2</v>
      </c>
      <c r="D13" s="21" t="s">
        <v>94</v>
      </c>
      <c r="G13">
        <v>4</v>
      </c>
      <c r="H13" s="531">
        <f t="shared" si="0"/>
        <v>50</v>
      </c>
      <c r="I13" s="4">
        <f t="shared" si="1"/>
        <v>1</v>
      </c>
      <c r="J13" s="348">
        <f t="shared" si="38"/>
        <v>0.2</v>
      </c>
      <c r="K13" s="348">
        <f t="shared" si="2"/>
        <v>0.2</v>
      </c>
      <c r="L13" s="4">
        <f t="shared" si="3"/>
        <v>5.3333333333333344E-2</v>
      </c>
      <c r="M13" s="348">
        <f t="shared" si="4"/>
        <v>0.24004406503993495</v>
      </c>
      <c r="N13" s="4">
        <f t="shared" si="5"/>
        <v>13.819591416539245</v>
      </c>
      <c r="O13" s="4">
        <f t="shared" si="39"/>
        <v>7.1097957082696226</v>
      </c>
      <c r="P13" s="4">
        <f t="shared" si="40"/>
        <v>-6.7097957082696222</v>
      </c>
      <c r="Q13" s="4">
        <f t="shared" si="6"/>
        <v>50</v>
      </c>
      <c r="R13" s="4">
        <f t="shared" si="41"/>
        <v>3.9943825860000479</v>
      </c>
      <c r="S13" s="348">
        <f t="shared" si="7"/>
        <v>5.5842822851691509E-2</v>
      </c>
      <c r="T13" s="348">
        <f t="shared" si="8"/>
        <v>0.2</v>
      </c>
      <c r="U13" s="348">
        <f t="shared" si="9"/>
        <v>0.2569909106836758</v>
      </c>
      <c r="V13" s="4">
        <f t="shared" si="42"/>
        <v>3.9893724122147876</v>
      </c>
      <c r="W13" s="348">
        <f t="shared" si="10"/>
        <v>1.5915092243340433E-2</v>
      </c>
      <c r="X13" s="348">
        <f t="shared" si="43"/>
        <v>1.5915092243340433E-2</v>
      </c>
      <c r="Y13" s="4">
        <f t="shared" si="44"/>
        <v>1.7060405582309059</v>
      </c>
      <c r="Z13" s="348">
        <f t="shared" si="11"/>
        <v>2.9105743863288213E-3</v>
      </c>
      <c r="AA13" s="525">
        <f t="shared" si="45"/>
        <v>2.9105743863288213E-3</v>
      </c>
      <c r="AB13" s="348">
        <f t="shared" si="46"/>
        <v>1.9570194685231346</v>
      </c>
      <c r="AC13" s="348">
        <f t="shared" si="12"/>
        <v>4.5959102402142869E-2</v>
      </c>
      <c r="AD13" s="348">
        <f t="shared" si="13"/>
        <v>1.1673533264613668E-2</v>
      </c>
      <c r="AE13" s="348">
        <f t="shared" si="14"/>
        <v>0</v>
      </c>
      <c r="AF13" s="348">
        <f t="shared" si="15"/>
        <v>1.9726799382312685E-2</v>
      </c>
      <c r="AG13" s="348">
        <f t="shared" si="16"/>
        <v>7.7961384975352405E-2</v>
      </c>
      <c r="AH13" s="348">
        <f t="shared" si="17"/>
        <v>3.4821210552135975</v>
      </c>
      <c r="AI13" s="348">
        <f t="shared" si="18"/>
        <v>4.9713184876963606E-2</v>
      </c>
      <c r="AJ13" s="348">
        <f t="shared" si="19"/>
        <v>2.0902799382312688E-2</v>
      </c>
      <c r="AK13" s="348">
        <f t="shared" si="20"/>
        <v>7.1192164264926139E-2</v>
      </c>
      <c r="AL13" s="348">
        <f t="shared" si="21"/>
        <v>1.176E-3</v>
      </c>
      <c r="AM13" s="348">
        <f t="shared" si="22"/>
        <v>3.5400000000000001E-2</v>
      </c>
      <c r="AN13" s="348">
        <f t="shared" si="23"/>
        <v>3.1910184486680863E-2</v>
      </c>
      <c r="AO13" s="348">
        <f t="shared" si="24"/>
        <v>1.1E-4</v>
      </c>
      <c r="AP13" s="348">
        <f t="shared" si="25"/>
        <v>4.9499999999999995E-2</v>
      </c>
      <c r="AQ13" s="348">
        <f t="shared" si="26"/>
        <v>0.46453846153846151</v>
      </c>
      <c r="AR13" s="348">
        <f t="shared" si="27"/>
        <v>0.44549999999999995</v>
      </c>
      <c r="AS13" s="348">
        <f t="shared" si="28"/>
        <v>4.9609999999999994E-2</v>
      </c>
      <c r="AT13" s="348">
        <f t="shared" si="29"/>
        <v>0.54306631104030434</v>
      </c>
      <c r="AU13">
        <f t="shared" si="30"/>
        <v>2.4000000000000004</v>
      </c>
      <c r="AV13" s="526">
        <f t="shared" si="47"/>
        <v>0.81547601934652192</v>
      </c>
      <c r="AW13" s="534">
        <f t="shared" si="31"/>
        <v>4.255666168964801</v>
      </c>
      <c r="AX13" s="534">
        <f t="shared" si="32"/>
        <v>3.372978485582494</v>
      </c>
      <c r="AY13" s="9"/>
      <c r="AZ13" s="4">
        <f t="shared" si="48"/>
        <v>81.547601934652192</v>
      </c>
      <c r="BA13" s="348">
        <f t="shared" si="33"/>
        <v>0.2569909106836758</v>
      </c>
      <c r="BB13" s="348">
        <f t="shared" si="34"/>
        <v>0.18455354924027856</v>
      </c>
      <c r="BC13" s="348">
        <f t="shared" si="35"/>
        <v>0.1013253849753524</v>
      </c>
      <c r="BD13" s="348">
        <f t="shared" si="36"/>
        <v>8.2874164264926137E-2</v>
      </c>
      <c r="BE13" s="348">
        <f t="shared" si="37"/>
        <v>3.1910184486680863E-2</v>
      </c>
      <c r="BJ13" s="18"/>
      <c r="BK13" s="18"/>
      <c r="BL13" s="18"/>
      <c r="BM13" s="19"/>
    </row>
    <row r="14" spans="1:65" x14ac:dyDescent="0.25">
      <c r="A14" s="22" t="s">
        <v>5</v>
      </c>
      <c r="B14" s="5">
        <f>Iout</f>
        <v>5</v>
      </c>
      <c r="C14" s="427" t="s">
        <v>1</v>
      </c>
      <c r="D14" s="21" t="s">
        <v>95</v>
      </c>
      <c r="G14">
        <v>5</v>
      </c>
      <c r="H14" s="531">
        <f t="shared" si="0"/>
        <v>50</v>
      </c>
      <c r="I14" s="4">
        <f t="shared" si="1"/>
        <v>1</v>
      </c>
      <c r="J14" s="348">
        <f t="shared" si="38"/>
        <v>0.25</v>
      </c>
      <c r="K14" s="348">
        <f t="shared" si="2"/>
        <v>0.25</v>
      </c>
      <c r="L14" s="4">
        <f t="shared" si="3"/>
        <v>6.6666666666666666E-2</v>
      </c>
      <c r="M14" s="348">
        <f t="shared" si="4"/>
        <v>0.24005508162490793</v>
      </c>
      <c r="N14" s="4">
        <f t="shared" si="5"/>
        <v>13.819943770159401</v>
      </c>
      <c r="O14" s="4">
        <f t="shared" si="39"/>
        <v>7.1599718850797007</v>
      </c>
      <c r="P14" s="4">
        <f t="shared" si="40"/>
        <v>-6.6599718850797007</v>
      </c>
      <c r="Q14" s="4">
        <f t="shared" si="6"/>
        <v>50</v>
      </c>
      <c r="R14" s="4">
        <f t="shared" si="41"/>
        <v>3.9972995656481189</v>
      </c>
      <c r="S14" s="348">
        <f t="shared" si="7"/>
        <v>5.5924413361357242E-2</v>
      </c>
      <c r="T14" s="348">
        <f t="shared" si="8"/>
        <v>0.2</v>
      </c>
      <c r="U14" s="348">
        <f t="shared" si="9"/>
        <v>0.25707455284600089</v>
      </c>
      <c r="V14" s="4">
        <f t="shared" si="42"/>
        <v>3.9894741279435113</v>
      </c>
      <c r="W14" s="348">
        <f t="shared" si="10"/>
        <v>1.5915903817530642E-2</v>
      </c>
      <c r="X14" s="348">
        <f t="shared" si="43"/>
        <v>1.5915903817530642E-2</v>
      </c>
      <c r="Y14" s="4">
        <f t="shared" si="44"/>
        <v>1.7073132308955818</v>
      </c>
      <c r="Z14" s="348">
        <f t="shared" si="11"/>
        <v>2.9149184683911105E-3</v>
      </c>
      <c r="AA14" s="525">
        <f t="shared" si="45"/>
        <v>2.9149184683911105E-3</v>
      </c>
      <c r="AB14" s="348">
        <f t="shared" si="46"/>
        <v>1.9584935620657675</v>
      </c>
      <c r="AC14" s="348">
        <f t="shared" si="12"/>
        <v>4.6028364391836697E-2</v>
      </c>
      <c r="AD14" s="348">
        <f t="shared" si="13"/>
        <v>1.4591916580767084E-2</v>
      </c>
      <c r="AE14" s="348">
        <f t="shared" si="14"/>
        <v>0</v>
      </c>
      <c r="AF14" s="348">
        <f t="shared" si="15"/>
        <v>1.9580317342134321E-2</v>
      </c>
      <c r="AG14" s="348">
        <f t="shared" si="16"/>
        <v>8.0825603731986814E-2</v>
      </c>
      <c r="AH14" s="348">
        <f t="shared" si="17"/>
        <v>3.4846386878523834</v>
      </c>
      <c r="AI14" s="348">
        <f t="shared" si="18"/>
        <v>4.9785097817998072E-2</v>
      </c>
      <c r="AJ14" s="348">
        <f t="shared" si="19"/>
        <v>2.1050317342134316E-2</v>
      </c>
      <c r="AK14" s="348">
        <f t="shared" si="20"/>
        <v>7.1414228476360003E-2</v>
      </c>
      <c r="AL14" s="348">
        <f t="shared" si="21"/>
        <v>1.4699999999999997E-3</v>
      </c>
      <c r="AM14" s="348">
        <f t="shared" si="22"/>
        <v>4.4249999999999998E-2</v>
      </c>
      <c r="AN14" s="348">
        <f t="shared" si="23"/>
        <v>3.1956807635061285E-2</v>
      </c>
      <c r="AO14" s="348">
        <f t="shared" si="24"/>
        <v>1.1E-4</v>
      </c>
      <c r="AP14" s="348">
        <f t="shared" si="25"/>
        <v>4.9499999999999995E-2</v>
      </c>
      <c r="AQ14" s="348">
        <f t="shared" si="26"/>
        <v>0.46453846153846151</v>
      </c>
      <c r="AR14" s="348">
        <f t="shared" si="27"/>
        <v>0.44549999999999995</v>
      </c>
      <c r="AS14" s="348">
        <f t="shared" si="28"/>
        <v>4.9609999999999994E-2</v>
      </c>
      <c r="AT14" s="348">
        <f t="shared" si="29"/>
        <v>0.55543201497533079</v>
      </c>
      <c r="AU14">
        <f t="shared" si="30"/>
        <v>3</v>
      </c>
      <c r="AV14" s="526">
        <f t="shared" si="47"/>
        <v>0.84377931777745308</v>
      </c>
      <c r="AW14" s="534">
        <f t="shared" si="31"/>
        <v>4.6212853567434458</v>
      </c>
      <c r="AX14" s="534">
        <f t="shared" si="32"/>
        <v>3.5008808489878525</v>
      </c>
      <c r="AY14" s="9"/>
      <c r="AZ14" s="4">
        <f t="shared" si="48"/>
        <v>84.377931777745303</v>
      </c>
      <c r="BA14" s="348">
        <f t="shared" si="33"/>
        <v>0.25707455284600089</v>
      </c>
      <c r="BB14" s="348">
        <f t="shared" si="34"/>
        <v>0.19648983220834682</v>
      </c>
      <c r="BC14" s="348">
        <f t="shared" si="35"/>
        <v>0.11003060373198681</v>
      </c>
      <c r="BD14" s="348">
        <f t="shared" si="36"/>
        <v>8.6016728476360008E-2</v>
      </c>
      <c r="BE14" s="348">
        <f t="shared" si="37"/>
        <v>3.1956807635061285E-2</v>
      </c>
      <c r="BJ14" s="18"/>
      <c r="BK14" s="18"/>
      <c r="BL14" s="18"/>
      <c r="BM14" s="19"/>
    </row>
    <row r="15" spans="1:65" x14ac:dyDescent="0.25">
      <c r="A15" s="23" t="s">
        <v>83</v>
      </c>
      <c r="B15" s="5">
        <f>Ta</f>
        <v>25</v>
      </c>
      <c r="C15" s="427" t="s">
        <v>449</v>
      </c>
      <c r="D15" s="21" t="s">
        <v>96</v>
      </c>
      <c r="G15">
        <v>6</v>
      </c>
      <c r="H15" s="531">
        <f t="shared" si="0"/>
        <v>50</v>
      </c>
      <c r="I15" s="4">
        <f t="shared" si="1"/>
        <v>1</v>
      </c>
      <c r="J15" s="348">
        <f t="shared" si="38"/>
        <v>0.3</v>
      </c>
      <c r="K15" s="348">
        <f t="shared" si="2"/>
        <v>0.3</v>
      </c>
      <c r="L15" s="4">
        <f t="shared" si="3"/>
        <v>7.9999999999999988E-2</v>
      </c>
      <c r="M15" s="348">
        <f t="shared" si="4"/>
        <v>0.24006609833988121</v>
      </c>
      <c r="N15" s="4">
        <f t="shared" si="5"/>
        <v>13.82029610539122</v>
      </c>
      <c r="O15" s="4">
        <f t="shared" si="39"/>
        <v>7.2101480526956099</v>
      </c>
      <c r="P15" s="4">
        <f t="shared" si="40"/>
        <v>-6.6101480526956102</v>
      </c>
      <c r="Q15" s="4">
        <f t="shared" si="6"/>
        <v>50</v>
      </c>
      <c r="R15" s="4">
        <f t="shared" si="41"/>
        <v>4.0008393331971783</v>
      </c>
      <c r="S15" s="348">
        <f t="shared" si="7"/>
        <v>5.6023503795201747E-2</v>
      </c>
      <c r="T15" s="348">
        <f t="shared" si="8"/>
        <v>0.2</v>
      </c>
      <c r="U15" s="348">
        <f t="shared" si="9"/>
        <v>0.25717613645574289</v>
      </c>
      <c r="V15" s="4">
        <f t="shared" si="42"/>
        <v>3.989575838363979</v>
      </c>
      <c r="W15" s="348">
        <f t="shared" si="10"/>
        <v>1.5916715370057646E-2</v>
      </c>
      <c r="X15" s="348">
        <f t="shared" si="43"/>
        <v>1.5916715370057646E-2</v>
      </c>
      <c r="Y15" s="4">
        <f t="shared" si="44"/>
        <v>1.7088519486977334</v>
      </c>
      <c r="Z15" s="348">
        <f t="shared" si="11"/>
        <v>2.920174982568041E-3</v>
      </c>
      <c r="AA15" s="525">
        <f t="shared" si="45"/>
        <v>2.920174982568041E-3</v>
      </c>
      <c r="AB15" s="348">
        <f t="shared" si="46"/>
        <v>1.9602728652222747</v>
      </c>
      <c r="AC15" s="348">
        <f t="shared" si="12"/>
        <v>4.6112036473520954E-2</v>
      </c>
      <c r="AD15" s="348">
        <f t="shared" si="13"/>
        <v>1.75102998969205E-2</v>
      </c>
      <c r="AE15" s="348">
        <f t="shared" si="14"/>
        <v>0</v>
      </c>
      <c r="AF15" s="348">
        <f t="shared" si="15"/>
        <v>1.9433835274925093E-2</v>
      </c>
      <c r="AG15" s="348">
        <f t="shared" si="16"/>
        <v>8.3704616420027425E-2</v>
      </c>
      <c r="AH15" s="348">
        <f t="shared" si="17"/>
        <v>3.4876991934412716</v>
      </c>
      <c r="AI15" s="348">
        <f t="shared" si="18"/>
        <v>4.9872587222116668E-2</v>
      </c>
      <c r="AJ15" s="348">
        <f t="shared" si="19"/>
        <v>2.1197835274925088E-2</v>
      </c>
      <c r="AK15" s="348">
        <f t="shared" si="20"/>
        <v>7.165218501611241E-2</v>
      </c>
      <c r="AL15" s="348">
        <f t="shared" si="21"/>
        <v>1.7639999999999995E-3</v>
      </c>
      <c r="AM15" s="348">
        <f t="shared" si="22"/>
        <v>5.3100000000000001E-2</v>
      </c>
      <c r="AN15" s="348">
        <f t="shared" si="23"/>
        <v>3.2013430740115284E-2</v>
      </c>
      <c r="AO15" s="348">
        <f t="shared" si="24"/>
        <v>1.1E-4</v>
      </c>
      <c r="AP15" s="348">
        <f t="shared" si="25"/>
        <v>4.9499999999999995E-2</v>
      </c>
      <c r="AQ15" s="348">
        <f t="shared" si="26"/>
        <v>0.46453846153846151</v>
      </c>
      <c r="AR15" s="348">
        <f t="shared" si="27"/>
        <v>0.44549999999999995</v>
      </c>
      <c r="AS15" s="348">
        <f t="shared" si="28"/>
        <v>4.9609999999999994E-2</v>
      </c>
      <c r="AT15" s="348">
        <f t="shared" si="29"/>
        <v>0.56785725898462369</v>
      </c>
      <c r="AU15">
        <f t="shared" si="30"/>
        <v>3.5999999999999996</v>
      </c>
      <c r="AV15" s="526">
        <f t="shared" si="47"/>
        <v>0.86375318930116962</v>
      </c>
      <c r="AW15" s="534">
        <f t="shared" si="31"/>
        <v>4.9875258896411525</v>
      </c>
      <c r="AX15" s="534">
        <f t="shared" si="32"/>
        <v>3.6294300301557754</v>
      </c>
      <c r="AY15" s="9"/>
      <c r="AZ15" s="4">
        <f t="shared" si="48"/>
        <v>86.375318930116961</v>
      </c>
      <c r="BA15" s="348">
        <f t="shared" si="33"/>
        <v>0.25717613645574289</v>
      </c>
      <c r="BB15" s="348">
        <f t="shared" si="34"/>
        <v>0.20845680143613984</v>
      </c>
      <c r="BC15" s="348">
        <f t="shared" si="35"/>
        <v>0.11875061642002743</v>
      </c>
      <c r="BD15" s="348">
        <f t="shared" si="36"/>
        <v>8.9175185016112407E-2</v>
      </c>
      <c r="BE15" s="348">
        <f t="shared" si="37"/>
        <v>3.2013430740115284E-2</v>
      </c>
      <c r="BJ15" s="18"/>
      <c r="BK15" s="18"/>
      <c r="BL15" s="18"/>
      <c r="BM15" s="19"/>
    </row>
    <row r="16" spans="1:65" x14ac:dyDescent="0.25">
      <c r="A16" s="435" t="s">
        <v>460</v>
      </c>
      <c r="B16" s="5">
        <f>VCC</f>
        <v>5</v>
      </c>
      <c r="C16" s="427" t="s">
        <v>0</v>
      </c>
      <c r="D16" s="427" t="s">
        <v>459</v>
      </c>
      <c r="G16">
        <v>7</v>
      </c>
      <c r="H16" s="531">
        <f t="shared" si="0"/>
        <v>50</v>
      </c>
      <c r="I16" s="4">
        <f t="shared" si="1"/>
        <v>1</v>
      </c>
      <c r="J16" s="348">
        <f t="shared" si="38"/>
        <v>0.35</v>
      </c>
      <c r="K16" s="348">
        <f t="shared" si="2"/>
        <v>0.35</v>
      </c>
      <c r="L16" s="4">
        <f t="shared" si="3"/>
        <v>9.3333333333333324E-2</v>
      </c>
      <c r="M16" s="348">
        <f t="shared" si="4"/>
        <v>0.24007711518485716</v>
      </c>
      <c r="N16" s="4">
        <f t="shared" si="5"/>
        <v>13.820648422234383</v>
      </c>
      <c r="O16" s="4">
        <f t="shared" si="39"/>
        <v>7.2603242111171911</v>
      </c>
      <c r="P16" s="4">
        <f t="shared" si="40"/>
        <v>-6.5603242111171918</v>
      </c>
      <c r="Q16" s="4">
        <f t="shared" si="6"/>
        <v>50</v>
      </c>
      <c r="R16" s="4">
        <f t="shared" si="41"/>
        <v>4.00500023731803</v>
      </c>
      <c r="S16" s="348">
        <f t="shared" si="7"/>
        <v>5.6140094153211161E-2</v>
      </c>
      <c r="T16" s="348">
        <f t="shared" si="8"/>
        <v>0.2</v>
      </c>
      <c r="U16" s="348">
        <f t="shared" si="9"/>
        <v>0.25729566237006463</v>
      </c>
      <c r="V16" s="4">
        <f t="shared" si="42"/>
        <v>3.9896775434760992</v>
      </c>
      <c r="W16" s="348">
        <f t="shared" si="10"/>
        <v>1.5917526900917481E-2</v>
      </c>
      <c r="X16" s="348">
        <f t="shared" si="43"/>
        <v>1.5917526900917481E-2</v>
      </c>
      <c r="Y16" s="4">
        <f t="shared" si="44"/>
        <v>1.7106560188284115</v>
      </c>
      <c r="Z16" s="348">
        <f t="shared" si="11"/>
        <v>2.9263440147538704E-3</v>
      </c>
      <c r="AA16" s="525">
        <f t="shared" si="45"/>
        <v>2.9263440147538704E-3</v>
      </c>
      <c r="AB16" s="348">
        <f t="shared" si="46"/>
        <v>1.9623565898836461</v>
      </c>
      <c r="AC16" s="348">
        <f t="shared" si="12"/>
        <v>4.6210120630317271E-2</v>
      </c>
      <c r="AD16" s="348">
        <f t="shared" si="13"/>
        <v>2.0428683213073916E-2</v>
      </c>
      <c r="AE16" s="348">
        <f t="shared" si="14"/>
        <v>0</v>
      </c>
      <c r="AF16" s="348">
        <f t="shared" si="15"/>
        <v>1.9287353180684544E-2</v>
      </c>
      <c r="AG16" s="348">
        <f t="shared" si="16"/>
        <v>8.6598446768902701E-2</v>
      </c>
      <c r="AH16" s="348">
        <f t="shared" si="17"/>
        <v>3.4913011206508244</v>
      </c>
      <c r="AI16" s="348">
        <f t="shared" si="18"/>
        <v>4.9975652411736578E-2</v>
      </c>
      <c r="AJ16" s="348">
        <f t="shared" si="19"/>
        <v>2.1345353180684538E-2</v>
      </c>
      <c r="AK16" s="348">
        <f t="shared" si="20"/>
        <v>7.1906035702805862E-2</v>
      </c>
      <c r="AL16" s="348">
        <f t="shared" si="21"/>
        <v>2.0579999999999995E-3</v>
      </c>
      <c r="AM16" s="348">
        <f t="shared" si="22"/>
        <v>6.1949999999999991E-2</v>
      </c>
      <c r="AN16" s="348">
        <f t="shared" si="23"/>
        <v>3.208005380183495E-2</v>
      </c>
      <c r="AO16" s="348">
        <f t="shared" si="24"/>
        <v>1.1E-4</v>
      </c>
      <c r="AP16" s="348">
        <f t="shared" si="25"/>
        <v>4.9499999999999995E-2</v>
      </c>
      <c r="AQ16" s="348">
        <f t="shared" si="26"/>
        <v>0.46453846153846151</v>
      </c>
      <c r="AR16" s="348">
        <f t="shared" si="27"/>
        <v>0.44549999999999995</v>
      </c>
      <c r="AS16" s="348">
        <f t="shared" si="28"/>
        <v>4.9609999999999994E-2</v>
      </c>
      <c r="AT16" s="348">
        <f t="shared" si="29"/>
        <v>0.58034206955927958</v>
      </c>
      <c r="AU16">
        <f t="shared" si="30"/>
        <v>4.1999999999999993</v>
      </c>
      <c r="AV16" s="526">
        <f t="shared" si="47"/>
        <v>0.87859821303273733</v>
      </c>
      <c r="AW16" s="534">
        <f t="shared" si="31"/>
        <v>5.3543887642939128</v>
      </c>
      <c r="AX16" s="534">
        <f t="shared" si="32"/>
        <v>3.7586261031041985</v>
      </c>
      <c r="AY16" s="9"/>
      <c r="AZ16" s="4">
        <f t="shared" si="48"/>
        <v>87.859821303273733</v>
      </c>
      <c r="BA16" s="348">
        <f t="shared" si="33"/>
        <v>0.25729566237006463</v>
      </c>
      <c r="BB16" s="348">
        <f t="shared" si="34"/>
        <v>0.22045448247170857</v>
      </c>
      <c r="BC16" s="348">
        <f t="shared" si="35"/>
        <v>0.12748544676890269</v>
      </c>
      <c r="BD16" s="348">
        <f t="shared" si="36"/>
        <v>9.2349535702805852E-2</v>
      </c>
      <c r="BE16" s="348">
        <f t="shared" si="37"/>
        <v>3.208005380183495E-2</v>
      </c>
      <c r="BJ16" s="18"/>
      <c r="BK16" s="18"/>
      <c r="BL16" s="18"/>
      <c r="BM16" s="19"/>
    </row>
    <row r="17" spans="1:65" x14ac:dyDescent="0.25">
      <c r="A17" s="24" t="s">
        <v>58</v>
      </c>
      <c r="B17" s="16" t="s">
        <v>111</v>
      </c>
      <c r="C17" s="24" t="s">
        <v>76</v>
      </c>
      <c r="D17" s="17" t="s">
        <v>107</v>
      </c>
      <c r="G17">
        <v>8</v>
      </c>
      <c r="H17" s="531">
        <f t="shared" si="0"/>
        <v>50</v>
      </c>
      <c r="I17" s="4">
        <f t="shared" si="1"/>
        <v>1</v>
      </c>
      <c r="J17" s="348">
        <f t="shared" si="38"/>
        <v>0.4</v>
      </c>
      <c r="K17" s="348">
        <f t="shared" si="2"/>
        <v>0.4</v>
      </c>
      <c r="L17" s="4">
        <f t="shared" si="3"/>
        <v>0.10666666666666669</v>
      </c>
      <c r="M17" s="348">
        <f t="shared" si="4"/>
        <v>0.24008813215983796</v>
      </c>
      <c r="N17" s="4">
        <f t="shared" si="5"/>
        <v>13.821000720688561</v>
      </c>
      <c r="O17" s="4">
        <f t="shared" si="39"/>
        <v>7.3105003603442809</v>
      </c>
      <c r="P17" s="4">
        <f t="shared" si="40"/>
        <v>-6.5105003603442801</v>
      </c>
      <c r="Q17" s="4">
        <f t="shared" si="6"/>
        <v>50</v>
      </c>
      <c r="R17" s="4">
        <f t="shared" si="41"/>
        <v>4.009780344371265</v>
      </c>
      <c r="S17" s="348">
        <f t="shared" si="7"/>
        <v>5.6274184435371494E-2</v>
      </c>
      <c r="T17" s="348">
        <f t="shared" si="8"/>
        <v>0.2</v>
      </c>
      <c r="U17" s="348">
        <f t="shared" si="9"/>
        <v>0.25743313159755521</v>
      </c>
      <c r="V17" s="4">
        <f t="shared" si="42"/>
        <v>3.9897792432797763</v>
      </c>
      <c r="W17" s="348">
        <f t="shared" si="10"/>
        <v>1.5918338410106144E-2</v>
      </c>
      <c r="X17" s="348">
        <f t="shared" si="43"/>
        <v>1.5918338410106144E-2</v>
      </c>
      <c r="Y17" s="4">
        <f t="shared" si="44"/>
        <v>1.7127246278481547</v>
      </c>
      <c r="Z17" s="348">
        <f t="shared" si="11"/>
        <v>2.9334256508375999E-3</v>
      </c>
      <c r="AA17" s="525">
        <f t="shared" si="45"/>
        <v>2.9334256508375999E-3</v>
      </c>
      <c r="AB17" s="348">
        <f t="shared" si="46"/>
        <v>1.9647438095375596</v>
      </c>
      <c r="AC17" s="348">
        <f t="shared" si="12"/>
        <v>4.6322618845393945E-2</v>
      </c>
      <c r="AD17" s="348">
        <f t="shared" si="13"/>
        <v>2.3347066529227335E-2</v>
      </c>
      <c r="AE17" s="348">
        <f t="shared" si="14"/>
        <v>0</v>
      </c>
      <c r="AF17" s="348">
        <f t="shared" si="15"/>
        <v>1.9140871059412184E-2</v>
      </c>
      <c r="AG17" s="348">
        <f t="shared" si="16"/>
        <v>8.950711873037609E-2</v>
      </c>
      <c r="AH17" s="348">
        <f t="shared" si="17"/>
        <v>3.4954427720948287</v>
      </c>
      <c r="AI17" s="348">
        <f t="shared" si="18"/>
        <v>5.0094292709258914E-2</v>
      </c>
      <c r="AJ17" s="348">
        <f t="shared" si="19"/>
        <v>2.149287105941218E-2</v>
      </c>
      <c r="AK17" s="348">
        <f t="shared" si="20"/>
        <v>7.2175782598859511E-2</v>
      </c>
      <c r="AL17" s="348">
        <f t="shared" si="21"/>
        <v>2.3519999999999999E-3</v>
      </c>
      <c r="AM17" s="348">
        <f t="shared" si="22"/>
        <v>7.0800000000000002E-2</v>
      </c>
      <c r="AN17" s="348">
        <f t="shared" si="23"/>
        <v>3.2156676820212282E-2</v>
      </c>
      <c r="AO17" s="348">
        <f t="shared" si="24"/>
        <v>1.1E-4</v>
      </c>
      <c r="AP17" s="348">
        <f t="shared" si="25"/>
        <v>4.9499999999999995E-2</v>
      </c>
      <c r="AQ17" s="348">
        <f t="shared" si="26"/>
        <v>0.46453846153846151</v>
      </c>
      <c r="AR17" s="348">
        <f t="shared" si="27"/>
        <v>0.44549999999999995</v>
      </c>
      <c r="AS17" s="348">
        <f t="shared" si="28"/>
        <v>4.9609999999999994E-2</v>
      </c>
      <c r="AT17" s="348">
        <f t="shared" si="29"/>
        <v>0.5928864738079469</v>
      </c>
      <c r="AU17">
        <f t="shared" si="30"/>
        <v>4.8000000000000007</v>
      </c>
      <c r="AV17" s="526">
        <f t="shared" si="47"/>
        <v>0.89006138425359693</v>
      </c>
      <c r="AW17" s="534">
        <f t="shared" si="31"/>
        <v>5.721874986675795</v>
      </c>
      <c r="AX17" s="534">
        <f t="shared" si="32"/>
        <v>3.8884691517735823</v>
      </c>
      <c r="AY17" s="9"/>
      <c r="AZ17" s="4">
        <f t="shared" si="48"/>
        <v>89.006138425359694</v>
      </c>
      <c r="BA17" s="348">
        <f t="shared" si="33"/>
        <v>0.25743313159755521</v>
      </c>
      <c r="BB17" s="348">
        <f t="shared" si="34"/>
        <v>0.2324829013292356</v>
      </c>
      <c r="BC17" s="348">
        <f t="shared" si="35"/>
        <v>0.13623511873037608</v>
      </c>
      <c r="BD17" s="348">
        <f t="shared" si="36"/>
        <v>9.5539782598859507E-2</v>
      </c>
      <c r="BE17" s="348">
        <f t="shared" si="37"/>
        <v>3.2156676820212282E-2</v>
      </c>
      <c r="BJ17" s="18"/>
      <c r="BK17" s="18"/>
      <c r="BL17" s="18"/>
      <c r="BM17" s="19"/>
    </row>
    <row r="18" spans="1:65" x14ac:dyDescent="0.25">
      <c r="A18" s="35" t="s">
        <v>56</v>
      </c>
      <c r="B18" s="38">
        <f>Lf*1000000</f>
        <v>2.2000000000000002</v>
      </c>
      <c r="C18" s="428" t="s">
        <v>10</v>
      </c>
      <c r="D18" s="427" t="s">
        <v>452</v>
      </c>
      <c r="G18">
        <v>9</v>
      </c>
      <c r="H18" s="531">
        <f t="shared" si="0"/>
        <v>50</v>
      </c>
      <c r="I18" s="4">
        <f t="shared" si="1"/>
        <v>1</v>
      </c>
      <c r="J18" s="348">
        <f t="shared" si="38"/>
        <v>0.45</v>
      </c>
      <c r="K18" s="348">
        <f t="shared" si="2"/>
        <v>0.45</v>
      </c>
      <c r="L18" s="4">
        <f t="shared" si="3"/>
        <v>0.12000000000000001</v>
      </c>
      <c r="M18" s="348">
        <f t="shared" si="4"/>
        <v>0.24009914926482595</v>
      </c>
      <c r="N18" s="4">
        <f t="shared" si="5"/>
        <v>13.82135300075343</v>
      </c>
      <c r="O18" s="4">
        <f t="shared" si="39"/>
        <v>7.3606765003767149</v>
      </c>
      <c r="P18" s="4">
        <f t="shared" si="40"/>
        <v>-6.4606765003767146</v>
      </c>
      <c r="Q18" s="4">
        <f t="shared" si="6"/>
        <v>50</v>
      </c>
      <c r="R18" s="4">
        <f t="shared" si="41"/>
        <v>4.0151774428560003</v>
      </c>
      <c r="S18" s="348">
        <f t="shared" si="7"/>
        <v>5.6425774641668779E-2</v>
      </c>
      <c r="T18" s="348">
        <f t="shared" si="8"/>
        <v>0.2</v>
      </c>
      <c r="U18" s="348">
        <f t="shared" si="9"/>
        <v>0.2575885452982507</v>
      </c>
      <c r="V18" s="4">
        <f t="shared" si="42"/>
        <v>3.9898809377749176</v>
      </c>
      <c r="W18" s="348">
        <f t="shared" si="10"/>
        <v>1.5919149897619656E-2</v>
      </c>
      <c r="X18" s="348">
        <f t="shared" si="43"/>
        <v>1.5919149897619656E-2</v>
      </c>
      <c r="Y18" s="4">
        <f t="shared" si="44"/>
        <v>1.7150568435777795</v>
      </c>
      <c r="Z18" s="348">
        <f t="shared" si="11"/>
        <v>2.9414199767029761E-3</v>
      </c>
      <c r="AA18" s="525">
        <f t="shared" si="45"/>
        <v>2.9414199767029761E-3</v>
      </c>
      <c r="AB18" s="348">
        <f t="shared" si="46"/>
        <v>1.9674334614323927</v>
      </c>
      <c r="AC18" s="348">
        <f t="shared" si="12"/>
        <v>4.6449533101966159E-2</v>
      </c>
      <c r="AD18" s="348">
        <f t="shared" si="13"/>
        <v>2.6265449845380751E-2</v>
      </c>
      <c r="AE18" s="348">
        <f t="shared" si="14"/>
        <v>0</v>
      </c>
      <c r="AF18" s="348">
        <f t="shared" si="15"/>
        <v>1.8994388911107538E-2</v>
      </c>
      <c r="AG18" s="348">
        <f t="shared" si="16"/>
        <v>9.2430656479199305E-2</v>
      </c>
      <c r="AH18" s="348">
        <f t="shared" si="17"/>
        <v>3.5001222082172796</v>
      </c>
      <c r="AI18" s="348">
        <f t="shared" si="18"/>
        <v>5.0228507437068796E-2</v>
      </c>
      <c r="AJ18" s="348">
        <f t="shared" si="19"/>
        <v>2.1640388911107537E-2</v>
      </c>
      <c r="AK18" s="348">
        <f t="shared" si="20"/>
        <v>7.2461428010544907E-2</v>
      </c>
      <c r="AL18" s="348">
        <f t="shared" si="21"/>
        <v>2.6459999999999995E-3</v>
      </c>
      <c r="AM18" s="348">
        <f t="shared" si="22"/>
        <v>7.9649999999999999E-2</v>
      </c>
      <c r="AN18" s="348">
        <f t="shared" si="23"/>
        <v>3.2243299795239301E-2</v>
      </c>
      <c r="AO18" s="348">
        <f t="shared" si="24"/>
        <v>1.1E-4</v>
      </c>
      <c r="AP18" s="348">
        <f t="shared" si="25"/>
        <v>4.9499999999999995E-2</v>
      </c>
      <c r="AQ18" s="348">
        <f t="shared" si="26"/>
        <v>0.46453846153846151</v>
      </c>
      <c r="AR18" s="348">
        <f t="shared" si="27"/>
        <v>0.44549999999999995</v>
      </c>
      <c r="AS18" s="348">
        <f t="shared" si="28"/>
        <v>4.9609999999999994E-2</v>
      </c>
      <c r="AT18" s="348">
        <f t="shared" si="29"/>
        <v>0.60549049945755684</v>
      </c>
      <c r="AU18">
        <f t="shared" si="30"/>
        <v>5.4</v>
      </c>
      <c r="AV18" s="526">
        <f t="shared" si="47"/>
        <v>0.8991771780319614</v>
      </c>
      <c r="AW18" s="534">
        <f t="shared" si="31"/>
        <v>6.0899855721263716</v>
      </c>
      <c r="AX18" s="534">
        <f t="shared" si="32"/>
        <v>4.0189592700291783</v>
      </c>
      <c r="AY18" s="9"/>
      <c r="AZ18" s="4">
        <f t="shared" si="48"/>
        <v>89.91771780319614</v>
      </c>
      <c r="BA18" s="348">
        <f t="shared" si="33"/>
        <v>0.2575885452982507</v>
      </c>
      <c r="BB18" s="348">
        <f t="shared" si="34"/>
        <v>0.24454208448974421</v>
      </c>
      <c r="BC18" s="348">
        <f t="shared" si="35"/>
        <v>0.14499965647919932</v>
      </c>
      <c r="BD18" s="348">
        <f t="shared" si="36"/>
        <v>9.8745928010544909E-2</v>
      </c>
      <c r="BE18" s="348">
        <f t="shared" si="37"/>
        <v>3.2243299795239301E-2</v>
      </c>
      <c r="BK18" s="18"/>
      <c r="BL18" s="19"/>
    </row>
    <row r="19" spans="1:65" x14ac:dyDescent="0.25">
      <c r="A19" s="35" t="s">
        <v>11</v>
      </c>
      <c r="B19" s="39">
        <f>Rdcr*1000</f>
        <v>3.5</v>
      </c>
      <c r="C19" s="429" t="s">
        <v>450</v>
      </c>
      <c r="D19" s="427" t="s">
        <v>453</v>
      </c>
      <c r="G19">
        <v>10</v>
      </c>
      <c r="H19" s="531">
        <f t="shared" si="0"/>
        <v>50</v>
      </c>
      <c r="I19" s="4">
        <f t="shared" si="1"/>
        <v>1</v>
      </c>
      <c r="J19" s="348">
        <f t="shared" si="38"/>
        <v>0.5</v>
      </c>
      <c r="K19" s="348">
        <f t="shared" si="2"/>
        <v>0.5</v>
      </c>
      <c r="L19" s="4">
        <f t="shared" si="3"/>
        <v>0.13333333333333333</v>
      </c>
      <c r="M19" s="348">
        <f t="shared" si="4"/>
        <v>0.24011016649982347</v>
      </c>
      <c r="N19" s="4">
        <f t="shared" si="5"/>
        <v>13.821705262428663</v>
      </c>
      <c r="O19" s="4">
        <f t="shared" si="39"/>
        <v>7.4108526312143317</v>
      </c>
      <c r="P19" s="4">
        <f t="shared" si="40"/>
        <v>-6.4108526312143317</v>
      </c>
      <c r="Q19" s="4">
        <f t="shared" si="6"/>
        <v>50</v>
      </c>
      <c r="R19" s="4">
        <f t="shared" si="41"/>
        <v>4.021189048459922</v>
      </c>
      <c r="S19" s="348">
        <f t="shared" si="7"/>
        <v>5.6594864772089054E-2</v>
      </c>
      <c r="T19" s="348">
        <f t="shared" si="8"/>
        <v>0.2</v>
      </c>
      <c r="U19" s="348">
        <f t="shared" si="9"/>
        <v>0.25776190478365923</v>
      </c>
      <c r="V19" s="4">
        <f t="shared" si="42"/>
        <v>3.989982626961428</v>
      </c>
      <c r="W19" s="348">
        <f t="shared" si="10"/>
        <v>1.5919961363454017E-2</v>
      </c>
      <c r="X19" s="348">
        <f t="shared" si="43"/>
        <v>1.5919961363454017E-2</v>
      </c>
      <c r="Y19" s="4">
        <f t="shared" si="44"/>
        <v>1.7176516172462</v>
      </c>
      <c r="Z19" s="348">
        <f t="shared" si="11"/>
        <v>2.9503270782284862E-3</v>
      </c>
      <c r="AA19" s="525">
        <f t="shared" si="45"/>
        <v>2.9503270782284862E-3</v>
      </c>
      <c r="AB19" s="348">
        <f t="shared" si="46"/>
        <v>1.9704243490361806</v>
      </c>
      <c r="AC19" s="348">
        <f t="shared" si="12"/>
        <v>4.6590865383295876E-2</v>
      </c>
      <c r="AD19" s="348">
        <f t="shared" si="13"/>
        <v>2.9183833161534167E-2</v>
      </c>
      <c r="AE19" s="348">
        <f t="shared" si="14"/>
        <v>0</v>
      </c>
      <c r="AF19" s="348">
        <f t="shared" si="15"/>
        <v>1.8847906735770133E-2</v>
      </c>
      <c r="AG19" s="348">
        <f t="shared" si="16"/>
        <v>9.5369084413773425E-2</v>
      </c>
      <c r="AH19" s="348">
        <f t="shared" si="17"/>
        <v>3.5053372517033732</v>
      </c>
      <c r="AI19" s="348">
        <f t="shared" si="18"/>
        <v>5.0378295917535357E-2</v>
      </c>
      <c r="AJ19" s="348">
        <f t="shared" si="19"/>
        <v>2.1787906735770132E-2</v>
      </c>
      <c r="AK19" s="348">
        <f t="shared" si="20"/>
        <v>7.2762974488051024E-2</v>
      </c>
      <c r="AL19" s="348">
        <f t="shared" si="21"/>
        <v>2.9399999999999995E-3</v>
      </c>
      <c r="AM19" s="348">
        <f t="shared" si="22"/>
        <v>8.8499999999999995E-2</v>
      </c>
      <c r="AN19" s="348">
        <f t="shared" si="23"/>
        <v>3.2339922726908027E-2</v>
      </c>
      <c r="AO19" s="348">
        <f t="shared" si="24"/>
        <v>1.1E-4</v>
      </c>
      <c r="AP19" s="348">
        <f t="shared" si="25"/>
        <v>4.9499999999999995E-2</v>
      </c>
      <c r="AQ19" s="348">
        <f t="shared" si="26"/>
        <v>0.46453846153846151</v>
      </c>
      <c r="AR19" s="348">
        <f t="shared" si="27"/>
        <v>0.44549999999999995</v>
      </c>
      <c r="AS19" s="348">
        <f t="shared" si="28"/>
        <v>4.9609999999999994E-2</v>
      </c>
      <c r="AT19" s="348">
        <f t="shared" si="29"/>
        <v>0.6181541748540742</v>
      </c>
      <c r="AU19">
        <f t="shared" si="30"/>
        <v>6</v>
      </c>
      <c r="AV19" s="526">
        <f t="shared" si="47"/>
        <v>0.90659719333786848</v>
      </c>
      <c r="AW19" s="534">
        <f t="shared" si="31"/>
        <v>6.4587215453784834</v>
      </c>
      <c r="AX19" s="534">
        <f t="shared" si="32"/>
        <v>4.1500965616636769</v>
      </c>
      <c r="AY19" s="9"/>
      <c r="AZ19" s="4">
        <f t="shared" si="48"/>
        <v>90.659719333786853</v>
      </c>
      <c r="BA19" s="348">
        <f t="shared" si="33"/>
        <v>0.25776190478365923</v>
      </c>
      <c r="BB19" s="348">
        <f t="shared" si="34"/>
        <v>0.25663205890182444</v>
      </c>
      <c r="BC19" s="348">
        <f t="shared" si="35"/>
        <v>0.15377908441377341</v>
      </c>
      <c r="BD19" s="348">
        <f t="shared" si="36"/>
        <v>0.10196797448805102</v>
      </c>
      <c r="BE19" s="348">
        <f t="shared" si="37"/>
        <v>3.2339922726908027E-2</v>
      </c>
      <c r="BK19" s="18"/>
      <c r="BL19" s="19"/>
    </row>
    <row r="20" spans="1:65" x14ac:dyDescent="0.25">
      <c r="A20" s="35" t="s">
        <v>82</v>
      </c>
      <c r="B20" s="39">
        <f>Ltc*1000000</f>
        <v>4000</v>
      </c>
      <c r="C20" s="428" t="s">
        <v>81</v>
      </c>
      <c r="D20" s="21" t="s">
        <v>97</v>
      </c>
      <c r="G20">
        <v>11</v>
      </c>
      <c r="H20" s="531">
        <f t="shared" si="0"/>
        <v>50</v>
      </c>
      <c r="I20" s="4">
        <f t="shared" si="1"/>
        <v>1</v>
      </c>
      <c r="J20" s="348">
        <f t="shared" si="38"/>
        <v>0.55000000000000004</v>
      </c>
      <c r="K20" s="348">
        <f t="shared" si="2"/>
        <v>0.55000000000000004</v>
      </c>
      <c r="L20" s="4">
        <f t="shared" si="3"/>
        <v>0.14666666666666667</v>
      </c>
      <c r="M20" s="348">
        <f t="shared" si="4"/>
        <v>0.24012118386483283</v>
      </c>
      <c r="N20" s="4">
        <f t="shared" si="5"/>
        <v>13.822057505713937</v>
      </c>
      <c r="O20" s="4">
        <f t="shared" si="39"/>
        <v>7.4610287528569685</v>
      </c>
      <c r="P20" s="4">
        <f t="shared" si="40"/>
        <v>-6.3610287528569689</v>
      </c>
      <c r="Q20" s="4">
        <f t="shared" si="6"/>
        <v>50</v>
      </c>
      <c r="R20" s="4">
        <f t="shared" si="41"/>
        <v>4.0278124096841017</v>
      </c>
      <c r="S20" s="348">
        <f t="shared" si="7"/>
        <v>5.678145482661838E-2</v>
      </c>
      <c r="T20" s="348">
        <f t="shared" si="8"/>
        <v>0.2</v>
      </c>
      <c r="U20" s="348">
        <f t="shared" si="9"/>
        <v>0.25795321151678813</v>
      </c>
      <c r="V20" s="4">
        <f t="shared" si="42"/>
        <v>3.9900843108392148</v>
      </c>
      <c r="W20" s="348">
        <f t="shared" si="10"/>
        <v>1.5920772807605253E-2</v>
      </c>
      <c r="X20" s="348">
        <f t="shared" si="43"/>
        <v>1.5920772807605253E-2</v>
      </c>
      <c r="Y20" s="4">
        <f t="shared" si="44"/>
        <v>1.7205077858839715</v>
      </c>
      <c r="Z20" s="348">
        <f t="shared" si="11"/>
        <v>2.9601470412873657E-3</v>
      </c>
      <c r="AA20" s="525">
        <f t="shared" si="45"/>
        <v>2.9601470412873657E-3</v>
      </c>
      <c r="AB20" s="348">
        <f t="shared" si="46"/>
        <v>1.9737151447775647</v>
      </c>
      <c r="AC20" s="348">
        <f t="shared" si="12"/>
        <v>4.6746617672691886E-2</v>
      </c>
      <c r="AD20" s="348">
        <f t="shared" si="13"/>
        <v>3.2102216477687587E-2</v>
      </c>
      <c r="AE20" s="348">
        <f t="shared" si="14"/>
        <v>0</v>
      </c>
      <c r="AF20" s="348">
        <f t="shared" si="15"/>
        <v>1.8701424533399486E-2</v>
      </c>
      <c r="AG20" s="348">
        <f t="shared" si="16"/>
        <v>9.8322427156818701E-2</v>
      </c>
      <c r="AH20" s="348">
        <f t="shared" si="17"/>
        <v>3.5110854923913384</v>
      </c>
      <c r="AI20" s="348">
        <f t="shared" si="18"/>
        <v>5.0543657473011795E-2</v>
      </c>
      <c r="AJ20" s="348">
        <f t="shared" si="19"/>
        <v>2.1935424533399483E-2</v>
      </c>
      <c r="AK20" s="348">
        <f t="shared" si="20"/>
        <v>7.3080424825558737E-2</v>
      </c>
      <c r="AL20" s="348">
        <f t="shared" si="21"/>
        <v>3.2339999999999999E-3</v>
      </c>
      <c r="AM20" s="348">
        <f t="shared" si="22"/>
        <v>9.7350000000000006E-2</v>
      </c>
      <c r="AN20" s="348">
        <f t="shared" si="23"/>
        <v>3.2446545615210501E-2</v>
      </c>
      <c r="AO20" s="348">
        <f t="shared" si="24"/>
        <v>1.1E-4</v>
      </c>
      <c r="AP20" s="348">
        <f t="shared" si="25"/>
        <v>4.9499999999999995E-2</v>
      </c>
      <c r="AQ20" s="348">
        <f t="shared" si="26"/>
        <v>0.46453846153846151</v>
      </c>
      <c r="AR20" s="348">
        <f t="shared" si="27"/>
        <v>0.44549999999999995</v>
      </c>
      <c r="AS20" s="348">
        <f t="shared" si="28"/>
        <v>4.9609999999999994E-2</v>
      </c>
      <c r="AT20" s="348">
        <f t="shared" si="29"/>
        <v>0.63087752896326876</v>
      </c>
      <c r="AU20">
        <f t="shared" si="30"/>
        <v>6.6000000000000005</v>
      </c>
      <c r="AV20" s="526">
        <f t="shared" si="47"/>
        <v>0.91275228678175091</v>
      </c>
      <c r="AW20" s="534">
        <f t="shared" si="31"/>
        <v>6.828083940586386</v>
      </c>
      <c r="AX20" s="534">
        <f t="shared" si="32"/>
        <v>4.281881140400241</v>
      </c>
      <c r="AY20" s="9"/>
      <c r="AZ20" s="4">
        <f t="shared" si="48"/>
        <v>91.275228678175097</v>
      </c>
      <c r="BA20" s="348">
        <f t="shared" si="33"/>
        <v>0.25795321151678813</v>
      </c>
      <c r="BB20" s="348">
        <f t="shared" si="34"/>
        <v>0.26875285198237742</v>
      </c>
      <c r="BC20" s="348">
        <f t="shared" si="35"/>
        <v>0.16257342715681872</v>
      </c>
      <c r="BD20" s="348">
        <f t="shared" si="36"/>
        <v>0.10520592482555874</v>
      </c>
      <c r="BE20" s="348">
        <f t="shared" si="37"/>
        <v>3.2446545615210501E-2</v>
      </c>
      <c r="BK20" s="18"/>
      <c r="BL20" s="19"/>
    </row>
    <row r="21" spans="1:65" x14ac:dyDescent="0.25">
      <c r="A21" s="25" t="s">
        <v>129</v>
      </c>
      <c r="B21" s="39">
        <f>ThetaCa</f>
        <v>20</v>
      </c>
      <c r="C21" s="428" t="s">
        <v>202</v>
      </c>
      <c r="D21" s="26" t="s">
        <v>130</v>
      </c>
      <c r="G21">
        <v>12</v>
      </c>
      <c r="H21" s="531">
        <f t="shared" si="0"/>
        <v>50</v>
      </c>
      <c r="I21" s="4">
        <f t="shared" si="1"/>
        <v>1</v>
      </c>
      <c r="J21" s="348">
        <f t="shared" si="38"/>
        <v>0.6</v>
      </c>
      <c r="K21" s="348">
        <f t="shared" si="2"/>
        <v>0.6</v>
      </c>
      <c r="L21" s="4">
        <f t="shared" si="3"/>
        <v>0.15999999999999998</v>
      </c>
      <c r="M21" s="348">
        <f t="shared" si="4"/>
        <v>0.2401322013598563</v>
      </c>
      <c r="N21" s="4">
        <f t="shared" si="5"/>
        <v>13.822409730608925</v>
      </c>
      <c r="O21" s="4">
        <f t="shared" si="39"/>
        <v>7.5112048653044621</v>
      </c>
      <c r="P21" s="4">
        <f t="shared" si="40"/>
        <v>-6.3112048653044628</v>
      </c>
      <c r="Q21" s="4">
        <f t="shared" si="6"/>
        <v>50</v>
      </c>
      <c r="R21" s="4">
        <f t="shared" si="41"/>
        <v>4.0350445140133653</v>
      </c>
      <c r="S21" s="348">
        <f t="shared" si="7"/>
        <v>5.6985544805242747E-2</v>
      </c>
      <c r="T21" s="348">
        <f t="shared" si="8"/>
        <v>0.2</v>
      </c>
      <c r="U21" s="348">
        <f t="shared" si="9"/>
        <v>0.258162467112175</v>
      </c>
      <c r="V21" s="4">
        <f t="shared" si="42"/>
        <v>3.9901859894081828</v>
      </c>
      <c r="W21" s="348">
        <f t="shared" si="10"/>
        <v>1.5921584230069358E-2</v>
      </c>
      <c r="X21" s="348">
        <f t="shared" si="43"/>
        <v>1.5921584230069358E-2</v>
      </c>
      <c r="Y21" s="4">
        <f t="shared" si="44"/>
        <v>1.7236240749500993</v>
      </c>
      <c r="Z21" s="348">
        <f t="shared" si="11"/>
        <v>2.9708799517475857E-3</v>
      </c>
      <c r="AA21" s="525">
        <f t="shared" si="45"/>
        <v>2.9708799517475857E-3</v>
      </c>
      <c r="AB21" s="348">
        <f t="shared" si="46"/>
        <v>1.9773043930544623</v>
      </c>
      <c r="AC21" s="348">
        <f t="shared" si="12"/>
        <v>4.6916791953509708E-2</v>
      </c>
      <c r="AD21" s="348">
        <f t="shared" si="13"/>
        <v>3.5020599793840999E-2</v>
      </c>
      <c r="AE21" s="348">
        <f t="shared" si="14"/>
        <v>0</v>
      </c>
      <c r="AF21" s="348">
        <f t="shared" si="15"/>
        <v>1.8554942303995119E-2</v>
      </c>
      <c r="AG21" s="348">
        <f t="shared" si="16"/>
        <v>0.1012907095560527</v>
      </c>
      <c r="AH21" s="348">
        <f t="shared" si="17"/>
        <v>3.5173642926596158</v>
      </c>
      <c r="AI21" s="348">
        <f t="shared" si="18"/>
        <v>5.07245914258352E-2</v>
      </c>
      <c r="AJ21" s="348">
        <f t="shared" si="19"/>
        <v>2.2082942303995115E-2</v>
      </c>
      <c r="AK21" s="348">
        <f t="shared" si="20"/>
        <v>7.3413782061324317E-2</v>
      </c>
      <c r="AL21" s="348">
        <f t="shared" si="21"/>
        <v>3.527999999999999E-3</v>
      </c>
      <c r="AM21" s="348">
        <f t="shared" si="22"/>
        <v>0.1062</v>
      </c>
      <c r="AN21" s="348">
        <f t="shared" si="23"/>
        <v>3.2563168460138715E-2</v>
      </c>
      <c r="AO21" s="348">
        <f t="shared" si="24"/>
        <v>1.1E-4</v>
      </c>
      <c r="AP21" s="348">
        <f t="shared" si="25"/>
        <v>4.9499999999999995E-2</v>
      </c>
      <c r="AQ21" s="348">
        <f t="shared" si="26"/>
        <v>0.46453846153846151</v>
      </c>
      <c r="AR21" s="348">
        <f t="shared" si="27"/>
        <v>0.44549999999999995</v>
      </c>
      <c r="AS21" s="348">
        <f t="shared" si="28"/>
        <v>4.9609999999999994E-2</v>
      </c>
      <c r="AT21" s="348">
        <f t="shared" si="29"/>
        <v>0.64366059137150766</v>
      </c>
      <c r="AU21">
        <f t="shared" si="30"/>
        <v>7.1999999999999993</v>
      </c>
      <c r="AV21" s="526">
        <f t="shared" si="47"/>
        <v>0.91793875016984128</v>
      </c>
      <c r="AW21" s="534">
        <f t="shared" si="31"/>
        <v>7.1980738013542132</v>
      </c>
      <c r="AX21" s="534">
        <f t="shared" si="32"/>
        <v>4.4143131298959002</v>
      </c>
      <c r="AY21" s="9"/>
      <c r="AZ21" s="4">
        <f t="shared" si="48"/>
        <v>91.793875016984131</v>
      </c>
      <c r="BA21" s="348">
        <f t="shared" si="33"/>
        <v>0.258162467112175</v>
      </c>
      <c r="BB21" s="348">
        <f t="shared" si="34"/>
        <v>0.28090449161737702</v>
      </c>
      <c r="BC21" s="348">
        <f t="shared" si="35"/>
        <v>0.1713827095560527</v>
      </c>
      <c r="BD21" s="348">
        <f t="shared" si="36"/>
        <v>0.10845978206132431</v>
      </c>
      <c r="BE21" s="348">
        <f t="shared" si="37"/>
        <v>3.2563168460138715E-2</v>
      </c>
      <c r="BK21" s="18"/>
      <c r="BL21" s="19"/>
    </row>
    <row r="22" spans="1:65" x14ac:dyDescent="0.25">
      <c r="A22" s="36" t="s">
        <v>57</v>
      </c>
      <c r="B22" s="39">
        <f>Cin*1000000</f>
        <v>30</v>
      </c>
      <c r="C22" s="430" t="s">
        <v>451</v>
      </c>
      <c r="D22" s="427" t="s">
        <v>468</v>
      </c>
      <c r="G22">
        <v>13</v>
      </c>
      <c r="H22" s="531">
        <f t="shared" si="0"/>
        <v>50</v>
      </c>
      <c r="I22" s="4">
        <f t="shared" si="1"/>
        <v>1</v>
      </c>
      <c r="J22" s="348">
        <f t="shared" si="38"/>
        <v>0.65</v>
      </c>
      <c r="K22" s="348">
        <f t="shared" si="2"/>
        <v>0.65</v>
      </c>
      <c r="L22" s="4">
        <f t="shared" si="3"/>
        <v>0.17333333333333334</v>
      </c>
      <c r="M22" s="348">
        <f t="shared" si="4"/>
        <v>0.24014321898489616</v>
      </c>
      <c r="N22" s="4">
        <f t="shared" si="5"/>
        <v>13.822761937113304</v>
      </c>
      <c r="O22" s="4">
        <f t="shared" si="39"/>
        <v>7.5613809685566524</v>
      </c>
      <c r="P22" s="4">
        <f t="shared" si="40"/>
        <v>-6.2613809685566517</v>
      </c>
      <c r="Q22" s="4">
        <f t="shared" si="6"/>
        <v>50</v>
      </c>
      <c r="R22" s="4">
        <f t="shared" si="41"/>
        <v>4.0428820946006283</v>
      </c>
      <c r="S22" s="348">
        <f t="shared" si="7"/>
        <v>5.7207134707948269E-2</v>
      </c>
      <c r="T22" s="348">
        <f t="shared" si="8"/>
        <v>0.2</v>
      </c>
      <c r="U22" s="348">
        <f t="shared" si="9"/>
        <v>0.25838967333592194</v>
      </c>
      <c r="V22" s="4">
        <f t="shared" si="42"/>
        <v>3.9902876626682398</v>
      </c>
      <c r="W22" s="348">
        <f t="shared" si="10"/>
        <v>1.5922395630842363E-2</v>
      </c>
      <c r="X22" s="348">
        <f t="shared" si="43"/>
        <v>1.5922395630842363E-2</v>
      </c>
      <c r="Y22" s="4">
        <f t="shared" si="44"/>
        <v>1.726999101178651</v>
      </c>
      <c r="Z22" s="348">
        <f t="shared" si="11"/>
        <v>2.9825258954718687E-3</v>
      </c>
      <c r="AA22" s="525">
        <f t="shared" si="45"/>
        <v>2.9825258954718687E-3</v>
      </c>
      <c r="AB22" s="348">
        <f t="shared" si="46"/>
        <v>1.9811905134950172</v>
      </c>
      <c r="AC22" s="348">
        <f t="shared" si="12"/>
        <v>4.71013902091518E-2</v>
      </c>
      <c r="AD22" s="348">
        <f t="shared" si="13"/>
        <v>3.7938983109994419E-2</v>
      </c>
      <c r="AE22" s="348">
        <f t="shared" si="14"/>
        <v>0</v>
      </c>
      <c r="AF22" s="348">
        <f t="shared" si="15"/>
        <v>1.8408460047556557E-2</v>
      </c>
      <c r="AG22" s="348">
        <f t="shared" si="16"/>
        <v>0.10427395668487716</v>
      </c>
      <c r="AH22" s="348">
        <f t="shared" si="17"/>
        <v>3.5241707932618294</v>
      </c>
      <c r="AI22" s="348">
        <f t="shared" si="18"/>
        <v>5.092109709832681E-2</v>
      </c>
      <c r="AJ22" s="348">
        <f t="shared" si="19"/>
        <v>2.2230460047556553E-2</v>
      </c>
      <c r="AK22" s="348">
        <f t="shared" si="20"/>
        <v>7.3763049477772819E-2</v>
      </c>
      <c r="AL22" s="348">
        <f t="shared" si="21"/>
        <v>3.8219999999999994E-3</v>
      </c>
      <c r="AM22" s="348">
        <f t="shared" si="22"/>
        <v>0.11505</v>
      </c>
      <c r="AN22" s="348">
        <f t="shared" si="23"/>
        <v>3.2689791261684725E-2</v>
      </c>
      <c r="AO22" s="348">
        <f t="shared" si="24"/>
        <v>1.1E-4</v>
      </c>
      <c r="AP22" s="348">
        <f t="shared" si="25"/>
        <v>4.9499999999999995E-2</v>
      </c>
      <c r="AQ22" s="348">
        <f t="shared" si="26"/>
        <v>0.46453846153846151</v>
      </c>
      <c r="AR22" s="348">
        <f t="shared" si="27"/>
        <v>0.44549999999999995</v>
      </c>
      <c r="AS22" s="348">
        <f t="shared" si="28"/>
        <v>4.9609999999999994E-2</v>
      </c>
      <c r="AT22" s="348">
        <f t="shared" si="29"/>
        <v>0.65650339228657084</v>
      </c>
      <c r="AU22">
        <f t="shared" si="30"/>
        <v>7.8000000000000007</v>
      </c>
      <c r="AV22" s="526">
        <f t="shared" si="47"/>
        <v>0.92236703968150868</v>
      </c>
      <c r="AW22" s="534">
        <f t="shared" si="31"/>
        <v>7.5686921807648408</v>
      </c>
      <c r="AX22" s="534">
        <f t="shared" si="32"/>
        <v>4.5473926637453541</v>
      </c>
      <c r="AY22" s="9"/>
      <c r="AZ22" s="4">
        <f t="shared" si="48"/>
        <v>92.236703968150863</v>
      </c>
      <c r="BA22" s="348">
        <f t="shared" si="33"/>
        <v>0.25838967333592194</v>
      </c>
      <c r="BB22" s="348">
        <f t="shared" si="34"/>
        <v>0.29308700616264999</v>
      </c>
      <c r="BC22" s="348">
        <f t="shared" si="35"/>
        <v>0.18020695668487716</v>
      </c>
      <c r="BD22" s="348">
        <f t="shared" si="36"/>
        <v>0.11172954947777282</v>
      </c>
      <c r="BE22" s="348">
        <f t="shared" si="37"/>
        <v>3.2689791261684725E-2</v>
      </c>
      <c r="BK22" s="18"/>
      <c r="BL22" s="19"/>
    </row>
    <row r="23" spans="1:65" x14ac:dyDescent="0.25">
      <c r="A23" s="36" t="s">
        <v>86</v>
      </c>
      <c r="B23" s="39">
        <f>RCinEsr*1000</f>
        <v>1</v>
      </c>
      <c r="C23" s="429" t="s">
        <v>450</v>
      </c>
      <c r="D23" s="427" t="s">
        <v>464</v>
      </c>
      <c r="G23">
        <v>14</v>
      </c>
      <c r="H23" s="531">
        <f t="shared" si="0"/>
        <v>50</v>
      </c>
      <c r="I23" s="4">
        <f t="shared" si="1"/>
        <v>1</v>
      </c>
      <c r="J23" s="348">
        <f t="shared" si="38"/>
        <v>0.7</v>
      </c>
      <c r="K23" s="348">
        <f t="shared" si="2"/>
        <v>0.7</v>
      </c>
      <c r="L23" s="4">
        <f t="shared" si="3"/>
        <v>0.18666666666666665</v>
      </c>
      <c r="M23" s="348">
        <f t="shared" si="4"/>
        <v>0.24015423673995473</v>
      </c>
      <c r="N23" s="4">
        <f t="shared" si="5"/>
        <v>13.823114125226743</v>
      </c>
      <c r="O23" s="4">
        <f t="shared" si="39"/>
        <v>7.6115570626133717</v>
      </c>
      <c r="P23" s="4">
        <f t="shared" si="40"/>
        <v>-6.2115570626133714</v>
      </c>
      <c r="Q23" s="4">
        <f t="shared" si="6"/>
        <v>50</v>
      </c>
      <c r="R23" s="4">
        <f t="shared" si="41"/>
        <v>4.0513216374314522</v>
      </c>
      <c r="S23" s="348">
        <f t="shared" si="7"/>
        <v>5.7446224534720924E-2</v>
      </c>
      <c r="T23" s="348">
        <f t="shared" si="8"/>
        <v>0.2</v>
      </c>
      <c r="U23" s="348">
        <f t="shared" si="9"/>
        <v>0.25863483210573263</v>
      </c>
      <c r="V23" s="4">
        <f t="shared" si="42"/>
        <v>3.9903893306192892</v>
      </c>
      <c r="W23" s="348">
        <f t="shared" si="10"/>
        <v>1.5923207009920261E-2</v>
      </c>
      <c r="X23" s="348">
        <f t="shared" si="43"/>
        <v>1.5923207009920261E-2</v>
      </c>
      <c r="Y23" s="4">
        <f t="shared" si="44"/>
        <v>1.7306313756307752</v>
      </c>
      <c r="Z23" s="348">
        <f t="shared" si="11"/>
        <v>2.995084958317669E-3</v>
      </c>
      <c r="AA23" s="525">
        <f t="shared" si="45"/>
        <v>2.995084958317669E-3</v>
      </c>
      <c r="AB23" s="348">
        <f t="shared" si="46"/>
        <v>1.9853718044543385</v>
      </c>
      <c r="AC23" s="348">
        <f t="shared" si="12"/>
        <v>4.7300414423067309E-2</v>
      </c>
      <c r="AD23" s="348">
        <f t="shared" si="13"/>
        <v>4.0857366426147831E-2</v>
      </c>
      <c r="AE23" s="348">
        <f t="shared" si="14"/>
        <v>0</v>
      </c>
      <c r="AF23" s="348">
        <f t="shared" si="15"/>
        <v>1.8261977764083309E-2</v>
      </c>
      <c r="AG23" s="348">
        <f t="shared" si="16"/>
        <v>0.10727219384307307</v>
      </c>
      <c r="AH23" s="348">
        <f t="shared" si="17"/>
        <v>3.5315019195801081</v>
      </c>
      <c r="AI23" s="348">
        <f t="shared" si="18"/>
        <v>5.1133173812791741E-2</v>
      </c>
      <c r="AJ23" s="348">
        <f t="shared" si="19"/>
        <v>2.2377977764083307E-2</v>
      </c>
      <c r="AK23" s="348">
        <f t="shared" si="20"/>
        <v>7.4128230601600259E-2</v>
      </c>
      <c r="AL23" s="348">
        <f t="shared" si="21"/>
        <v>4.115999999999999E-3</v>
      </c>
      <c r="AM23" s="348">
        <f t="shared" si="22"/>
        <v>0.12389999999999998</v>
      </c>
      <c r="AN23" s="348">
        <f t="shared" si="23"/>
        <v>3.282641401984053E-2</v>
      </c>
      <c r="AO23" s="348">
        <f t="shared" si="24"/>
        <v>1.1E-4</v>
      </c>
      <c r="AP23" s="348">
        <f t="shared" si="25"/>
        <v>4.9499999999999995E-2</v>
      </c>
      <c r="AQ23" s="348">
        <f t="shared" si="26"/>
        <v>0.46453846153846151</v>
      </c>
      <c r="AR23" s="348">
        <f t="shared" si="27"/>
        <v>0.44549999999999995</v>
      </c>
      <c r="AS23" s="348">
        <f t="shared" si="28"/>
        <v>4.9609999999999994E-2</v>
      </c>
      <c r="AT23" s="348">
        <f t="shared" si="29"/>
        <v>0.6694059625384845</v>
      </c>
      <c r="AU23">
        <f t="shared" si="30"/>
        <v>8.3999999999999986</v>
      </c>
      <c r="AV23" s="526">
        <f t="shared" si="47"/>
        <v>0.92619075986856358</v>
      </c>
      <c r="AW23" s="534">
        <f t="shared" si="31"/>
        <v>7.9399401414090685</v>
      </c>
      <c r="AX23" s="534">
        <f t="shared" si="32"/>
        <v>4.6811198854851304</v>
      </c>
      <c r="AY23" s="9"/>
      <c r="AZ23" s="4">
        <f t="shared" si="48"/>
        <v>92.619075986856359</v>
      </c>
      <c r="BA23" s="348">
        <f t="shared" si="33"/>
        <v>0.25863483210573263</v>
      </c>
      <c r="BB23" s="348">
        <f t="shared" si="34"/>
        <v>0.30530042444467331</v>
      </c>
      <c r="BC23" s="348">
        <f t="shared" si="35"/>
        <v>0.18904619384307306</v>
      </c>
      <c r="BD23" s="348">
        <f t="shared" si="36"/>
        <v>0.11501523060160025</v>
      </c>
      <c r="BE23" s="348">
        <f t="shared" si="37"/>
        <v>3.282641401984053E-2</v>
      </c>
      <c r="BK23" s="18"/>
      <c r="BL23" s="19"/>
    </row>
    <row r="24" spans="1:65" x14ac:dyDescent="0.25">
      <c r="A24" s="35" t="s">
        <v>25</v>
      </c>
      <c r="B24" s="39">
        <f>Cout*1000000</f>
        <v>200</v>
      </c>
      <c r="C24" s="428" t="s">
        <v>451</v>
      </c>
      <c r="D24" s="427" t="s">
        <v>467</v>
      </c>
      <c r="G24">
        <v>15</v>
      </c>
      <c r="H24" s="531">
        <f t="shared" si="0"/>
        <v>50</v>
      </c>
      <c r="I24" s="4">
        <f t="shared" si="1"/>
        <v>1</v>
      </c>
      <c r="J24" s="348">
        <f t="shared" si="38"/>
        <v>0.75</v>
      </c>
      <c r="K24" s="348">
        <f t="shared" si="2"/>
        <v>0.75</v>
      </c>
      <c r="L24" s="4">
        <f t="shared" si="3"/>
        <v>0.2</v>
      </c>
      <c r="M24" s="348">
        <f t="shared" si="4"/>
        <v>0.2401652546250343</v>
      </c>
      <c r="N24" s="4">
        <f t="shared" si="5"/>
        <v>13.82346629494892</v>
      </c>
      <c r="O24" s="4">
        <f t="shared" si="39"/>
        <v>7.6617331474744601</v>
      </c>
      <c r="P24" s="4">
        <f t="shared" si="40"/>
        <v>-6.1617331474744601</v>
      </c>
      <c r="Q24" s="4">
        <f t="shared" si="6"/>
        <v>50</v>
      </c>
      <c r="R24" s="4">
        <f t="shared" si="41"/>
        <v>4.0603593889333327</v>
      </c>
      <c r="S24" s="348">
        <f t="shared" si="7"/>
        <v>5.770281428554673E-2</v>
      </c>
      <c r="T24" s="348">
        <f t="shared" si="8"/>
        <v>0.2</v>
      </c>
      <c r="U24" s="348">
        <f t="shared" si="9"/>
        <v>0.25889794549095269</v>
      </c>
      <c r="V24" s="4">
        <f t="shared" si="42"/>
        <v>3.9904909932612389</v>
      </c>
      <c r="W24" s="348">
        <f t="shared" si="10"/>
        <v>1.5924018367299071E-2</v>
      </c>
      <c r="X24" s="348">
        <f t="shared" si="43"/>
        <v>1.5924018367299071E-2</v>
      </c>
      <c r="Y24" s="4">
        <f t="shared" si="44"/>
        <v>1.734519306936994</v>
      </c>
      <c r="Z24" s="348">
        <f t="shared" si="11"/>
        <v>3.0085572261371899E-3</v>
      </c>
      <c r="AA24" s="525">
        <f t="shared" si="45"/>
        <v>3.0085572261371899E-3</v>
      </c>
      <c r="AB24" s="348">
        <f t="shared" si="46"/>
        <v>1.9898464467296679</v>
      </c>
      <c r="AC24" s="348">
        <f t="shared" si="12"/>
        <v>4.7513866578752222E-2</v>
      </c>
      <c r="AD24" s="348">
        <f t="shared" si="13"/>
        <v>4.3775749742301251E-2</v>
      </c>
      <c r="AE24" s="348">
        <f t="shared" si="14"/>
        <v>0</v>
      </c>
      <c r="AF24" s="348">
        <f t="shared" si="15"/>
        <v>1.8115495453574913E-2</v>
      </c>
      <c r="AG24" s="348">
        <f t="shared" si="16"/>
        <v>0.1102854465575047</v>
      </c>
      <c r="AH24" s="348">
        <f t="shared" si="17"/>
        <v>3.5393543882658007</v>
      </c>
      <c r="AI24" s="348">
        <f t="shared" si="18"/>
        <v>5.1360820891519152E-2</v>
      </c>
      <c r="AJ24" s="348">
        <f t="shared" si="19"/>
        <v>2.252549545357491E-2</v>
      </c>
      <c r="AK24" s="348">
        <f t="shared" si="20"/>
        <v>7.4509329203885713E-2</v>
      </c>
      <c r="AL24" s="348">
        <f t="shared" si="21"/>
        <v>4.409999999999999E-3</v>
      </c>
      <c r="AM24" s="348">
        <f t="shared" si="22"/>
        <v>0.13274999999999998</v>
      </c>
      <c r="AN24" s="348">
        <f t="shared" si="23"/>
        <v>3.297303673459813E-2</v>
      </c>
      <c r="AO24" s="348">
        <f t="shared" si="24"/>
        <v>1.1E-4</v>
      </c>
      <c r="AP24" s="348">
        <f t="shared" si="25"/>
        <v>4.9499999999999995E-2</v>
      </c>
      <c r="AQ24" s="348">
        <f t="shared" si="26"/>
        <v>0.46453846153846151</v>
      </c>
      <c r="AR24" s="348">
        <f t="shared" si="27"/>
        <v>0.44549999999999995</v>
      </c>
      <c r="AS24" s="348">
        <f t="shared" si="28"/>
        <v>4.9609999999999994E-2</v>
      </c>
      <c r="AT24" s="348">
        <f t="shared" si="29"/>
        <v>0.68236833358037752</v>
      </c>
      <c r="AU24">
        <f t="shared" si="30"/>
        <v>9</v>
      </c>
      <c r="AV24" s="526">
        <f t="shared" si="47"/>
        <v>0.92952464623621178</v>
      </c>
      <c r="AW24" s="534">
        <f t="shared" si="31"/>
        <v>8.3118187554151977</v>
      </c>
      <c r="AX24" s="534">
        <f t="shared" si="32"/>
        <v>4.8154949485981486</v>
      </c>
      <c r="AY24" s="9"/>
      <c r="AZ24" s="4">
        <f t="shared" si="48"/>
        <v>92.952464623621182</v>
      </c>
      <c r="BA24" s="348">
        <f t="shared" si="33"/>
        <v>0.25889794549095269</v>
      </c>
      <c r="BB24" s="348">
        <f t="shared" si="34"/>
        <v>0.3175447757613904</v>
      </c>
      <c r="BC24" s="348">
        <f t="shared" si="35"/>
        <v>0.19790044655750469</v>
      </c>
      <c r="BD24" s="348">
        <f t="shared" si="36"/>
        <v>0.1183168292038857</v>
      </c>
      <c r="BE24" s="348">
        <f t="shared" si="37"/>
        <v>3.297303673459813E-2</v>
      </c>
      <c r="BK24" s="18"/>
      <c r="BL24" s="19"/>
    </row>
    <row r="25" spans="1:65" x14ac:dyDescent="0.25">
      <c r="A25" s="35" t="s">
        <v>85</v>
      </c>
      <c r="B25" s="40">
        <f>Cout_ESR*1000</f>
        <v>1</v>
      </c>
      <c r="C25" s="429" t="s">
        <v>450</v>
      </c>
      <c r="D25" s="427" t="s">
        <v>466</v>
      </c>
      <c r="G25">
        <v>16</v>
      </c>
      <c r="H25" s="531">
        <f t="shared" si="0"/>
        <v>50</v>
      </c>
      <c r="I25" s="4">
        <f t="shared" si="1"/>
        <v>1</v>
      </c>
      <c r="J25" s="348">
        <f t="shared" si="38"/>
        <v>0.8</v>
      </c>
      <c r="K25" s="348">
        <f t="shared" si="2"/>
        <v>0.8</v>
      </c>
      <c r="L25" s="4">
        <f t="shared" si="3"/>
        <v>0.21333333333333337</v>
      </c>
      <c r="M25" s="348">
        <f t="shared" si="4"/>
        <v>0.24017627264013724</v>
      </c>
      <c r="N25" s="4">
        <f t="shared" si="5"/>
        <v>13.82381844627951</v>
      </c>
      <c r="O25" s="4">
        <f t="shared" si="39"/>
        <v>7.711909223139755</v>
      </c>
      <c r="P25" s="4">
        <f t="shared" si="40"/>
        <v>-6.1119092231397554</v>
      </c>
      <c r="Q25" s="4">
        <f t="shared" si="6"/>
        <v>50</v>
      </c>
      <c r="R25" s="4">
        <f t="shared" si="41"/>
        <v>4.0699913639926564</v>
      </c>
      <c r="S25" s="348">
        <f t="shared" si="7"/>
        <v>5.7976903960411816E-2</v>
      </c>
      <c r="T25" s="348">
        <f t="shared" si="8"/>
        <v>0.2</v>
      </c>
      <c r="U25" s="348">
        <f t="shared" si="9"/>
        <v>0.25917901571261376</v>
      </c>
      <c r="V25" s="4">
        <f t="shared" si="42"/>
        <v>3.990592650593995</v>
      </c>
      <c r="W25" s="348">
        <f t="shared" si="10"/>
        <v>1.5924829702974808E-2</v>
      </c>
      <c r="X25" s="348">
        <f t="shared" si="43"/>
        <v>1.5924829702974808E-2</v>
      </c>
      <c r="Y25" s="4">
        <f t="shared" si="44"/>
        <v>1.7386612047139542</v>
      </c>
      <c r="Z25" s="348">
        <f t="shared" si="11"/>
        <v>3.0229427847773787E-3</v>
      </c>
      <c r="AA25" s="525">
        <f t="shared" si="45"/>
        <v>3.0229427847773787E-3</v>
      </c>
      <c r="AB25" s="348">
        <f t="shared" si="46"/>
        <v>1.9946125074758554</v>
      </c>
      <c r="AC25" s="348">
        <f t="shared" si="12"/>
        <v>4.7741748659749429E-2</v>
      </c>
      <c r="AD25" s="348">
        <f t="shared" si="13"/>
        <v>4.669413305845467E-2</v>
      </c>
      <c r="AE25" s="348">
        <f t="shared" si="14"/>
        <v>0</v>
      </c>
      <c r="AF25" s="348">
        <f t="shared" si="15"/>
        <v>1.7969013116030878E-2</v>
      </c>
      <c r="AG25" s="348">
        <f t="shared" si="16"/>
        <v>0.11331374058283203</v>
      </c>
      <c r="AH25" s="348">
        <f t="shared" si="17"/>
        <v>3.5477247142352639</v>
      </c>
      <c r="AI25" s="348">
        <f t="shared" si="18"/>
        <v>5.1604037656782301E-2</v>
      </c>
      <c r="AJ25" s="348">
        <f t="shared" si="19"/>
        <v>2.2673013116030875E-2</v>
      </c>
      <c r="AK25" s="348">
        <f t="shared" si="20"/>
        <v>7.4906349300212463E-2</v>
      </c>
      <c r="AL25" s="348">
        <f t="shared" si="21"/>
        <v>4.7039999999999998E-3</v>
      </c>
      <c r="AM25" s="348">
        <f t="shared" si="22"/>
        <v>0.1416</v>
      </c>
      <c r="AN25" s="348">
        <f t="shared" si="23"/>
        <v>3.3129659405949613E-2</v>
      </c>
      <c r="AO25" s="348">
        <f t="shared" si="24"/>
        <v>1.1E-4</v>
      </c>
      <c r="AP25" s="348">
        <f t="shared" si="25"/>
        <v>4.9499999999999995E-2</v>
      </c>
      <c r="AQ25" s="348">
        <f t="shared" si="26"/>
        <v>0.46453846153846151</v>
      </c>
      <c r="AR25" s="348">
        <f t="shared" si="27"/>
        <v>0.44549999999999995</v>
      </c>
      <c r="AS25" s="348">
        <f t="shared" si="28"/>
        <v>4.9609999999999994E-2</v>
      </c>
      <c r="AT25" s="348">
        <f t="shared" si="29"/>
        <v>0.69539053748936008</v>
      </c>
      <c r="AU25">
        <f t="shared" si="30"/>
        <v>9.6000000000000014</v>
      </c>
      <c r="AV25" s="526">
        <f t="shared" si="47"/>
        <v>0.93245612830740288</v>
      </c>
      <c r="AW25" s="534">
        <f t="shared" si="31"/>
        <v>8.6843291044789463</v>
      </c>
      <c r="AX25" s="534">
        <f t="shared" si="32"/>
        <v>4.9505180165186475</v>
      </c>
      <c r="AY25" s="9"/>
      <c r="AZ25" s="4">
        <f t="shared" si="48"/>
        <v>93.245612830740285</v>
      </c>
      <c r="BA25" s="348">
        <f t="shared" si="33"/>
        <v>0.25917901571261376</v>
      </c>
      <c r="BB25" s="348">
        <f t="shared" si="34"/>
        <v>0.32982008988304451</v>
      </c>
      <c r="BC25" s="348">
        <f t="shared" si="35"/>
        <v>0.20676974058283204</v>
      </c>
      <c r="BD25" s="348">
        <f t="shared" si="36"/>
        <v>0.12163434930021247</v>
      </c>
      <c r="BE25" s="348">
        <f t="shared" si="37"/>
        <v>3.3129659405949613E-2</v>
      </c>
    </row>
    <row r="26" spans="1:65" x14ac:dyDescent="0.25">
      <c r="A26" s="24" t="s">
        <v>112</v>
      </c>
      <c r="B26" s="37" t="s">
        <v>111</v>
      </c>
      <c r="C26" s="24" t="s">
        <v>76</v>
      </c>
      <c r="D26" s="17" t="s">
        <v>107</v>
      </c>
      <c r="G26">
        <v>17</v>
      </c>
      <c r="H26" s="531">
        <f t="shared" si="0"/>
        <v>50</v>
      </c>
      <c r="I26" s="4">
        <f t="shared" si="1"/>
        <v>1</v>
      </c>
      <c r="J26" s="348">
        <f t="shared" si="38"/>
        <v>0.85</v>
      </c>
      <c r="K26" s="348">
        <f t="shared" si="2"/>
        <v>0.85</v>
      </c>
      <c r="L26" s="4">
        <f t="shared" si="3"/>
        <v>0.22666666666666666</v>
      </c>
      <c r="M26" s="348">
        <f t="shared" si="4"/>
        <v>0.24018729078526577</v>
      </c>
      <c r="N26" s="4">
        <f t="shared" si="5"/>
        <v>13.824170579218187</v>
      </c>
      <c r="O26" s="4">
        <f t="shared" si="39"/>
        <v>7.7620852896090931</v>
      </c>
      <c r="P26" s="4">
        <f t="shared" si="40"/>
        <v>-6.0620852896090938</v>
      </c>
      <c r="Q26" s="4">
        <f t="shared" si="6"/>
        <v>50</v>
      </c>
      <c r="R26" s="4">
        <f t="shared" si="41"/>
        <v>4.0802133543411028</v>
      </c>
      <c r="S26" s="348">
        <f t="shared" si="7"/>
        <v>5.8268493559302158E-2</v>
      </c>
      <c r="T26" s="348">
        <f t="shared" si="8"/>
        <v>0.2</v>
      </c>
      <c r="U26" s="348">
        <f t="shared" si="9"/>
        <v>0.25947804514348</v>
      </c>
      <c r="V26" s="4">
        <f t="shared" si="42"/>
        <v>3.9906943026174626</v>
      </c>
      <c r="W26" s="348">
        <f t="shared" si="10"/>
        <v>1.5925641016943475E-2</v>
      </c>
      <c r="X26" s="348">
        <f t="shared" si="43"/>
        <v>1.5925641016943475E-2</v>
      </c>
      <c r="Y26" s="4">
        <f t="shared" si="44"/>
        <v>1.7430552831393262</v>
      </c>
      <c r="Z26" s="348">
        <f t="shared" si="11"/>
        <v>3.0382417200799168E-3</v>
      </c>
      <c r="AA26" s="525">
        <f t="shared" si="45"/>
        <v>3.0382417200799168E-3</v>
      </c>
      <c r="AB26" s="348">
        <f t="shared" si="46"/>
        <v>1.9996679443024314</v>
      </c>
      <c r="AC26" s="348">
        <f t="shared" si="12"/>
        <v>4.7984062649648544E-2</v>
      </c>
      <c r="AD26" s="348">
        <f t="shared" si="13"/>
        <v>4.9612516374608083E-2</v>
      </c>
      <c r="AE26" s="348">
        <f t="shared" si="14"/>
        <v>0</v>
      </c>
      <c r="AF26" s="348">
        <f t="shared" si="15"/>
        <v>1.7822530751450735E-2</v>
      </c>
      <c r="AG26" s="348">
        <f t="shared" si="16"/>
        <v>0.11635710190223193</v>
      </c>
      <c r="AH26" s="348">
        <f t="shared" si="17"/>
        <v>3.5566092179873743</v>
      </c>
      <c r="AI26" s="348">
        <f t="shared" si="18"/>
        <v>5.1862823430838312E-2</v>
      </c>
      <c r="AJ26" s="348">
        <f t="shared" si="19"/>
        <v>2.282053075145073E-2</v>
      </c>
      <c r="AK26" s="348">
        <f t="shared" si="20"/>
        <v>7.5319295150798563E-2</v>
      </c>
      <c r="AL26" s="348">
        <f t="shared" si="21"/>
        <v>4.997999999999999E-3</v>
      </c>
      <c r="AM26" s="348">
        <f t="shared" si="22"/>
        <v>0.15045</v>
      </c>
      <c r="AN26" s="348">
        <f t="shared" si="23"/>
        <v>3.3296282033886945E-2</v>
      </c>
      <c r="AO26" s="348">
        <f t="shared" si="24"/>
        <v>1.1E-4</v>
      </c>
      <c r="AP26" s="348">
        <f t="shared" si="25"/>
        <v>4.9499999999999995E-2</v>
      </c>
      <c r="AQ26" s="348">
        <f t="shared" si="26"/>
        <v>0.46453846153846151</v>
      </c>
      <c r="AR26" s="348">
        <f t="shared" si="27"/>
        <v>0.44549999999999995</v>
      </c>
      <c r="AS26" s="348">
        <f t="shared" si="28"/>
        <v>4.9609999999999994E-2</v>
      </c>
      <c r="AT26" s="348">
        <f t="shared" si="29"/>
        <v>0.70847260696742087</v>
      </c>
      <c r="AU26">
        <f t="shared" si="30"/>
        <v>10.199999999999999</v>
      </c>
      <c r="AV26" s="526">
        <f t="shared" si="47"/>
        <v>0.9350529966482285</v>
      </c>
      <c r="AW26" s="534">
        <f t="shared" si="31"/>
        <v>9.0574722798937408</v>
      </c>
      <c r="AX26" s="534">
        <f t="shared" si="32"/>
        <v>5.086189262637502</v>
      </c>
      <c r="AY26" s="9"/>
      <c r="AZ26" s="4">
        <f t="shared" si="48"/>
        <v>93.505299664822843</v>
      </c>
      <c r="BA26" s="348">
        <f t="shared" si="33"/>
        <v>0.25947804514348</v>
      </c>
      <c r="BB26" s="348">
        <f t="shared" si="34"/>
        <v>0.3421263970530305</v>
      </c>
      <c r="BC26" s="348">
        <f t="shared" si="35"/>
        <v>0.21565410190223194</v>
      </c>
      <c r="BD26" s="348">
        <f t="shared" si="36"/>
        <v>0.12496779515079856</v>
      </c>
      <c r="BE26" s="348">
        <f t="shared" si="37"/>
        <v>3.3296282033886945E-2</v>
      </c>
    </row>
    <row r="27" spans="1:65" x14ac:dyDescent="0.25">
      <c r="A27" s="22" t="s">
        <v>61</v>
      </c>
      <c r="B27" s="5">
        <v>0.7</v>
      </c>
      <c r="C27" s="431" t="s">
        <v>116</v>
      </c>
      <c r="D27" s="427" t="s">
        <v>491</v>
      </c>
      <c r="G27">
        <v>18</v>
      </c>
      <c r="H27" s="531">
        <f t="shared" si="0"/>
        <v>50</v>
      </c>
      <c r="I27" s="4">
        <f t="shared" si="1"/>
        <v>1</v>
      </c>
      <c r="J27" s="348">
        <f t="shared" si="38"/>
        <v>0.9</v>
      </c>
      <c r="K27" s="348">
        <f t="shared" si="2"/>
        <v>0.9</v>
      </c>
      <c r="L27" s="4">
        <f t="shared" si="3"/>
        <v>0.24000000000000002</v>
      </c>
      <c r="M27" s="348">
        <f t="shared" si="4"/>
        <v>0.24019830906042222</v>
      </c>
      <c r="N27" s="4">
        <f t="shared" si="5"/>
        <v>13.824522693764623</v>
      </c>
      <c r="O27" s="4">
        <f t="shared" si="39"/>
        <v>7.8122613468823117</v>
      </c>
      <c r="P27" s="4">
        <f t="shared" si="40"/>
        <v>-6.012261346882311</v>
      </c>
      <c r="Q27" s="4">
        <f t="shared" si="6"/>
        <v>50</v>
      </c>
      <c r="R27" s="4">
        <f t="shared" si="41"/>
        <v>4.0910209372723925</v>
      </c>
      <c r="S27" s="348">
        <f t="shared" si="7"/>
        <v>5.8577583082203795E-2</v>
      </c>
      <c r="T27" s="348">
        <f t="shared" si="8"/>
        <v>0.2</v>
      </c>
      <c r="U27" s="348">
        <f t="shared" si="9"/>
        <v>0.2597950363080983</v>
      </c>
      <c r="V27" s="4">
        <f t="shared" si="42"/>
        <v>3.9907959493315479</v>
      </c>
      <c r="W27" s="348">
        <f t="shared" si="10"/>
        <v>1.5926452309201092E-2</v>
      </c>
      <c r="X27" s="348">
        <f t="shared" si="43"/>
        <v>1.5926452309201092E-2</v>
      </c>
      <c r="Y27" s="4">
        <f t="shared" si="44"/>
        <v>1.747699664668168</v>
      </c>
      <c r="Z27" s="348">
        <f t="shared" si="11"/>
        <v>3.0544541178812268E-3</v>
      </c>
      <c r="AA27" s="525">
        <f t="shared" si="45"/>
        <v>3.0544541178812268E-3</v>
      </c>
      <c r="AB27" s="348">
        <f t="shared" si="46"/>
        <v>2.0050106095331515</v>
      </c>
      <c r="AC27" s="348">
        <f t="shared" si="12"/>
        <v>4.8240810532086002E-2</v>
      </c>
      <c r="AD27" s="348">
        <f t="shared" si="13"/>
        <v>5.2530899690761503E-2</v>
      </c>
      <c r="AE27" s="348">
        <f t="shared" si="14"/>
        <v>0</v>
      </c>
      <c r="AF27" s="348">
        <f t="shared" si="15"/>
        <v>1.7676048359833992E-2</v>
      </c>
      <c r="AG27" s="348">
        <f t="shared" si="16"/>
        <v>0.11941555672812798</v>
      </c>
      <c r="AH27" s="348">
        <f t="shared" si="17"/>
        <v>3.5660040332086815</v>
      </c>
      <c r="AI27" s="348">
        <f t="shared" si="18"/>
        <v>5.2137177535928385E-2</v>
      </c>
      <c r="AJ27" s="348">
        <f t="shared" si="19"/>
        <v>2.2968048359833994E-2</v>
      </c>
      <c r="AK27" s="348">
        <f t="shared" si="20"/>
        <v>7.5748171260636932E-2</v>
      </c>
      <c r="AL27" s="348">
        <f t="shared" si="21"/>
        <v>5.291999999999999E-3</v>
      </c>
      <c r="AM27" s="348">
        <f t="shared" si="22"/>
        <v>0.1593</v>
      </c>
      <c r="AN27" s="348">
        <f t="shared" si="23"/>
        <v>3.3472904618402168E-2</v>
      </c>
      <c r="AO27" s="348">
        <f t="shared" si="24"/>
        <v>1.1E-4</v>
      </c>
      <c r="AP27" s="348">
        <f t="shared" si="25"/>
        <v>4.9499999999999995E-2</v>
      </c>
      <c r="AQ27" s="348">
        <f t="shared" si="26"/>
        <v>0.46453846153846151</v>
      </c>
      <c r="AR27" s="348">
        <f t="shared" si="27"/>
        <v>0.44549999999999995</v>
      </c>
      <c r="AS27" s="348">
        <f t="shared" si="28"/>
        <v>4.9609999999999994E-2</v>
      </c>
      <c r="AT27" s="348">
        <f t="shared" si="29"/>
        <v>0.72161457534234774</v>
      </c>
      <c r="AU27">
        <f t="shared" si="30"/>
        <v>10.8</v>
      </c>
      <c r="AV27" s="526">
        <f t="shared" si="47"/>
        <v>0.93736862393516529</v>
      </c>
      <c r="AW27" s="534">
        <f t="shared" si="31"/>
        <v>9.4312493825813757</v>
      </c>
      <c r="AX27" s="534">
        <f t="shared" si="32"/>
        <v>5.2225088703079239</v>
      </c>
      <c r="AY27" s="9"/>
      <c r="AZ27" s="4">
        <f t="shared" si="48"/>
        <v>93.736862393516532</v>
      </c>
      <c r="BA27" s="348">
        <f t="shared" si="33"/>
        <v>0.2597950363080983</v>
      </c>
      <c r="BB27" s="348">
        <f t="shared" si="34"/>
        <v>0.35446372798876491</v>
      </c>
      <c r="BC27" s="348">
        <f t="shared" si="35"/>
        <v>0.22455355672812799</v>
      </c>
      <c r="BD27" s="348">
        <f t="shared" si="36"/>
        <v>0.12831717126063694</v>
      </c>
      <c r="BE27" s="348">
        <f t="shared" si="37"/>
        <v>3.3472904618402168E-2</v>
      </c>
    </row>
    <row r="28" spans="1:65" x14ac:dyDescent="0.25">
      <c r="A28" s="22" t="s">
        <v>126</v>
      </c>
      <c r="B28" s="5">
        <f>RdsonDRT2</f>
        <v>0.5</v>
      </c>
      <c r="C28" s="431" t="s">
        <v>116</v>
      </c>
      <c r="D28" s="427" t="s">
        <v>490</v>
      </c>
      <c r="G28">
        <v>19</v>
      </c>
      <c r="H28" s="531">
        <f t="shared" si="0"/>
        <v>50</v>
      </c>
      <c r="I28" s="4">
        <f t="shared" si="1"/>
        <v>1</v>
      </c>
      <c r="J28" s="348">
        <f t="shared" si="38"/>
        <v>0.95</v>
      </c>
      <c r="K28" s="348">
        <f t="shared" si="2"/>
        <v>0.95</v>
      </c>
      <c r="L28" s="4">
        <f t="shared" si="3"/>
        <v>0.2533333333333333</v>
      </c>
      <c r="M28" s="348">
        <f t="shared" si="4"/>
        <v>0.24020932746560889</v>
      </c>
      <c r="N28" s="4">
        <f t="shared" si="5"/>
        <v>13.824874789918496</v>
      </c>
      <c r="O28" s="4">
        <f t="shared" si="39"/>
        <v>7.8624373949592483</v>
      </c>
      <c r="P28" s="4">
        <f t="shared" si="40"/>
        <v>-5.962437394959248</v>
      </c>
      <c r="Q28" s="4">
        <f t="shared" si="6"/>
        <v>50</v>
      </c>
      <c r="R28" s="4">
        <f t="shared" si="41"/>
        <v>4.1024094846496819</v>
      </c>
      <c r="S28" s="348">
        <f t="shared" si="7"/>
        <v>5.8904172529102843E-2</v>
      </c>
      <c r="T28" s="348">
        <f t="shared" si="8"/>
        <v>0.2</v>
      </c>
      <c r="U28" s="348">
        <f t="shared" si="9"/>
        <v>0.2601299918828518</v>
      </c>
      <c r="V28" s="4">
        <f t="shared" si="42"/>
        <v>3.9908975907361577</v>
      </c>
      <c r="W28" s="348">
        <f t="shared" si="10"/>
        <v>1.5927263579743667E-2</v>
      </c>
      <c r="X28" s="348">
        <f t="shared" si="43"/>
        <v>1.5927263579743667E-2</v>
      </c>
      <c r="Y28" s="4">
        <f t="shared" si="44"/>
        <v>1.7525923838738089</v>
      </c>
      <c r="Z28" s="348">
        <f t="shared" si="11"/>
        <v>3.0715800640124802E-3</v>
      </c>
      <c r="AA28" s="525">
        <f t="shared" si="45"/>
        <v>3.0715800640124802E-3</v>
      </c>
      <c r="AB28" s="348">
        <f t="shared" si="46"/>
        <v>2.010638254608577</v>
      </c>
      <c r="AC28" s="348">
        <f t="shared" si="12"/>
        <v>4.8511994290745104E-2</v>
      </c>
      <c r="AD28" s="348">
        <f t="shared" si="13"/>
        <v>5.5449283006914915E-2</v>
      </c>
      <c r="AE28" s="348">
        <f t="shared" si="14"/>
        <v>0</v>
      </c>
      <c r="AF28" s="348">
        <f t="shared" si="15"/>
        <v>1.7529565941180186E-2</v>
      </c>
      <c r="AG28" s="348">
        <f t="shared" si="16"/>
        <v>0.12248913150292916</v>
      </c>
      <c r="AH28" s="348">
        <f t="shared" si="17"/>
        <v>3.5759051146315732</v>
      </c>
      <c r="AI28" s="348">
        <f t="shared" si="18"/>
        <v>5.2427099294277801E-2</v>
      </c>
      <c r="AJ28" s="348">
        <f t="shared" si="19"/>
        <v>2.3115565941180187E-2</v>
      </c>
      <c r="AK28" s="348">
        <f t="shared" si="20"/>
        <v>7.619298237964485E-2</v>
      </c>
      <c r="AL28" s="348">
        <f t="shared" si="21"/>
        <v>5.585999999999999E-3</v>
      </c>
      <c r="AM28" s="348">
        <f t="shared" si="22"/>
        <v>0.16814999999999999</v>
      </c>
      <c r="AN28" s="348">
        <f t="shared" si="23"/>
        <v>3.3659527159487342E-2</v>
      </c>
      <c r="AO28" s="348">
        <f t="shared" si="24"/>
        <v>1.1E-4</v>
      </c>
      <c r="AP28" s="348">
        <f t="shared" si="25"/>
        <v>4.9499999999999995E-2</v>
      </c>
      <c r="AQ28" s="348">
        <f t="shared" si="26"/>
        <v>0.46453846153846151</v>
      </c>
      <c r="AR28" s="348">
        <f t="shared" si="27"/>
        <v>0.44549999999999995</v>
      </c>
      <c r="AS28" s="348">
        <f t="shared" si="28"/>
        <v>4.9609999999999994E-2</v>
      </c>
      <c r="AT28" s="348">
        <f t="shared" si="29"/>
        <v>0.73481647656866933</v>
      </c>
      <c r="AU28">
        <f t="shared" si="30"/>
        <v>11.399999999999999</v>
      </c>
      <c r="AV28" s="526">
        <f t="shared" si="47"/>
        <v>0.93944560447308456</v>
      </c>
      <c r="AW28" s="534">
        <f t="shared" si="31"/>
        <v>9.8056615231230246</v>
      </c>
      <c r="AX28" s="534">
        <f t="shared" si="32"/>
        <v>5.3594770328515464</v>
      </c>
      <c r="AY28" s="9"/>
      <c r="AZ28" s="4">
        <f t="shared" si="48"/>
        <v>93.944560447308461</v>
      </c>
      <c r="BA28" s="348">
        <f t="shared" si="33"/>
        <v>0.2601299918828518</v>
      </c>
      <c r="BB28" s="348">
        <f t="shared" si="34"/>
        <v>0.36683211388257397</v>
      </c>
      <c r="BC28" s="348">
        <f t="shared" si="35"/>
        <v>0.23346813150292917</v>
      </c>
      <c r="BD28" s="348">
        <f t="shared" si="36"/>
        <v>0.13168248237964486</v>
      </c>
      <c r="BE28" s="348">
        <f t="shared" si="37"/>
        <v>3.3659527159487342E-2</v>
      </c>
    </row>
    <row r="29" spans="1:65" x14ac:dyDescent="0.25">
      <c r="A29" s="24" t="s">
        <v>113</v>
      </c>
      <c r="B29" s="15" t="s">
        <v>111</v>
      </c>
      <c r="C29" s="24" t="s">
        <v>76</v>
      </c>
      <c r="D29" s="17" t="s">
        <v>107</v>
      </c>
      <c r="G29">
        <v>20</v>
      </c>
      <c r="H29" s="531">
        <f t="shared" si="0"/>
        <v>50</v>
      </c>
      <c r="I29" s="4">
        <f t="shared" si="1"/>
        <v>1</v>
      </c>
      <c r="J29" s="348">
        <f t="shared" si="38"/>
        <v>1</v>
      </c>
      <c r="K29" s="348">
        <f t="shared" si="2"/>
        <v>1</v>
      </c>
      <c r="L29" s="4">
        <f t="shared" si="3"/>
        <v>0.26666666666666666</v>
      </c>
      <c r="M29" s="348">
        <f t="shared" si="4"/>
        <v>0.24022034600082809</v>
      </c>
      <c r="N29" s="4">
        <f t="shared" si="5"/>
        <v>13.825226867679474</v>
      </c>
      <c r="O29" s="4">
        <f t="shared" si="39"/>
        <v>7.9126134338397369</v>
      </c>
      <c r="P29" s="4">
        <f t="shared" si="40"/>
        <v>-5.9126134338397369</v>
      </c>
      <c r="Q29" s="4">
        <f t="shared" si="6"/>
        <v>50</v>
      </c>
      <c r="R29" s="4">
        <f t="shared" si="41"/>
        <v>4.1143741721636351</v>
      </c>
      <c r="S29" s="348">
        <f t="shared" si="7"/>
        <v>5.9248261899985194E-2</v>
      </c>
      <c r="T29" s="348">
        <f t="shared" si="8"/>
        <v>0.2</v>
      </c>
      <c r="U29" s="348">
        <f t="shared" si="9"/>
        <v>0.26048291469601564</v>
      </c>
      <c r="V29" s="4">
        <f t="shared" si="42"/>
        <v>3.9909992268311956</v>
      </c>
      <c r="W29" s="348">
        <f t="shared" si="10"/>
        <v>1.5928074828567201E-2</v>
      </c>
      <c r="X29" s="348">
        <f t="shared" si="43"/>
        <v>1.5928074828567201E-2</v>
      </c>
      <c r="Y29" s="4">
        <f t="shared" si="44"/>
        <v>1.7577313913961863</v>
      </c>
      <c r="Z29" s="348">
        <f t="shared" si="11"/>
        <v>3.0896196442995734E-3</v>
      </c>
      <c r="AA29" s="525">
        <f t="shared" si="45"/>
        <v>3.0896196442995734E-3</v>
      </c>
      <c r="AB29" s="348">
        <f t="shared" si="46"/>
        <v>2.0165485346121281</v>
      </c>
      <c r="AC29" s="348">
        <f t="shared" si="12"/>
        <v>4.879761590935585E-2</v>
      </c>
      <c r="AD29" s="348">
        <f t="shared" si="13"/>
        <v>5.8367666323068335E-2</v>
      </c>
      <c r="AE29" s="348">
        <f t="shared" si="14"/>
        <v>0</v>
      </c>
      <c r="AF29" s="348">
        <f t="shared" si="15"/>
        <v>1.7383083495488824E-2</v>
      </c>
      <c r="AG29" s="348">
        <f t="shared" si="16"/>
        <v>0.12557785289977719</v>
      </c>
      <c r="AH29" s="348">
        <f t="shared" si="17"/>
        <v>3.5863082461105984</v>
      </c>
      <c r="AI29" s="348">
        <f t="shared" si="18"/>
        <v>5.2732588028095585E-2</v>
      </c>
      <c r="AJ29" s="348">
        <f t="shared" si="19"/>
        <v>2.3263083495488824E-2</v>
      </c>
      <c r="AK29" s="348">
        <f t="shared" si="20"/>
        <v>7.6653733502822508E-2</v>
      </c>
      <c r="AL29" s="348">
        <f t="shared" si="21"/>
        <v>5.8799999999999989E-3</v>
      </c>
      <c r="AM29" s="348">
        <f t="shared" si="22"/>
        <v>0.17699999999999999</v>
      </c>
      <c r="AN29" s="348">
        <f t="shared" si="23"/>
        <v>3.3856149657134398E-2</v>
      </c>
      <c r="AO29" s="348">
        <f t="shared" si="24"/>
        <v>1.1E-4</v>
      </c>
      <c r="AP29" s="348">
        <f t="shared" si="25"/>
        <v>4.9499999999999995E-2</v>
      </c>
      <c r="AQ29" s="348">
        <f t="shared" si="26"/>
        <v>0.46453846153846151</v>
      </c>
      <c r="AR29" s="348">
        <f t="shared" si="27"/>
        <v>0.44549999999999995</v>
      </c>
      <c r="AS29" s="348">
        <f t="shared" si="28"/>
        <v>4.9609999999999994E-2</v>
      </c>
      <c r="AT29" s="348">
        <f t="shared" si="29"/>
        <v>0.74807834522861649</v>
      </c>
      <c r="AU29">
        <f t="shared" si="30"/>
        <v>12</v>
      </c>
      <c r="AV29" s="526">
        <f t="shared" si="47"/>
        <v>0.94131834422647631</v>
      </c>
      <c r="AW29" s="534">
        <f t="shared" si="31"/>
        <v>10.180709821790641</v>
      </c>
      <c r="AX29" s="534">
        <f t="shared" si="32"/>
        <v>5.4970939535648764</v>
      </c>
      <c r="AY29" s="9"/>
      <c r="AZ29" s="4">
        <f t="shared" si="48"/>
        <v>94.131834422647628</v>
      </c>
      <c r="BA29" s="348">
        <f t="shared" si="33"/>
        <v>0.26048291469601564</v>
      </c>
      <c r="BB29" s="348">
        <f t="shared" si="34"/>
        <v>0.37923158640259969</v>
      </c>
      <c r="BC29" s="348">
        <f t="shared" si="35"/>
        <v>0.24239785289977717</v>
      </c>
      <c r="BD29" s="348">
        <f t="shared" si="36"/>
        <v>0.1350637335028225</v>
      </c>
      <c r="BE29" s="348">
        <f t="shared" si="37"/>
        <v>3.3856149657134398E-2</v>
      </c>
    </row>
    <row r="30" spans="1:65" x14ac:dyDescent="0.25">
      <c r="A30" s="22" t="s">
        <v>60</v>
      </c>
      <c r="B30" s="27">
        <v>0.7</v>
      </c>
      <c r="C30" s="431" t="s">
        <v>116</v>
      </c>
      <c r="D30" s="427" t="s">
        <v>489</v>
      </c>
      <c r="G30">
        <v>21</v>
      </c>
      <c r="H30" s="531">
        <f t="shared" si="0"/>
        <v>50</v>
      </c>
      <c r="I30" s="4">
        <f t="shared" si="1"/>
        <v>1</v>
      </c>
      <c r="J30" s="348">
        <f t="shared" si="38"/>
        <v>1.05</v>
      </c>
      <c r="K30" s="348">
        <f t="shared" si="2"/>
        <v>1.05</v>
      </c>
      <c r="L30" s="4">
        <f t="shared" si="3"/>
        <v>0.28000000000000003</v>
      </c>
      <c r="M30" s="348">
        <f t="shared" si="4"/>
        <v>0.24023136466608214</v>
      </c>
      <c r="N30" s="4">
        <f t="shared" si="5"/>
        <v>13.825578927047243</v>
      </c>
      <c r="O30" s="4">
        <f t="shared" si="39"/>
        <v>7.9627894635236212</v>
      </c>
      <c r="P30" s="4">
        <f t="shared" si="40"/>
        <v>-5.8627894635236215</v>
      </c>
      <c r="Q30" s="4">
        <f t="shared" si="6"/>
        <v>50</v>
      </c>
      <c r="R30" s="4">
        <f t="shared" si="41"/>
        <v>4.1269099888012741</v>
      </c>
      <c r="S30" s="348">
        <f t="shared" si="7"/>
        <v>5.9609851194837062E-2</v>
      </c>
      <c r="T30" s="348">
        <f t="shared" si="8"/>
        <v>0.2</v>
      </c>
      <c r="U30" s="348">
        <f t="shared" si="9"/>
        <v>0.26085380772781808</v>
      </c>
      <c r="V30" s="4">
        <f t="shared" si="42"/>
        <v>3.9911008576165719</v>
      </c>
      <c r="W30" s="348">
        <f t="shared" si="10"/>
        <v>1.5928886055667738E-2</v>
      </c>
      <c r="X30" s="348">
        <f t="shared" si="43"/>
        <v>1.5928886055667738E-2</v>
      </c>
      <c r="Y30" s="4">
        <f t="shared" si="44"/>
        <v>1.7631145579806093</v>
      </c>
      <c r="Z30" s="348">
        <f t="shared" si="11"/>
        <v>3.1085729445631594E-3</v>
      </c>
      <c r="AA30" s="525">
        <f t="shared" si="45"/>
        <v>3.1085729445631594E-3</v>
      </c>
      <c r="AB30" s="348">
        <f t="shared" si="46"/>
        <v>2.0227390129000682</v>
      </c>
      <c r="AC30" s="348">
        <f t="shared" si="12"/>
        <v>4.9097677371695313E-2</v>
      </c>
      <c r="AD30" s="348">
        <f t="shared" si="13"/>
        <v>6.1286049639221754E-2</v>
      </c>
      <c r="AE30" s="348">
        <f t="shared" si="14"/>
        <v>0</v>
      </c>
      <c r="AF30" s="348">
        <f t="shared" si="15"/>
        <v>1.7236601022759448E-2</v>
      </c>
      <c r="AG30" s="348">
        <f t="shared" si="16"/>
        <v>0.12868174782330324</v>
      </c>
      <c r="AH30" s="348">
        <f t="shared" si="17"/>
        <v>3.5972090488821733</v>
      </c>
      <c r="AI30" s="348">
        <f t="shared" si="18"/>
        <v>5.3053643059575134E-2</v>
      </c>
      <c r="AJ30" s="348">
        <f t="shared" si="19"/>
        <v>2.3410601022759443E-2</v>
      </c>
      <c r="AK30" s="348">
        <f t="shared" si="20"/>
        <v>7.7130429870421943E-2</v>
      </c>
      <c r="AL30" s="348">
        <f t="shared" si="21"/>
        <v>6.1739999999999989E-3</v>
      </c>
      <c r="AM30" s="348">
        <f t="shared" si="22"/>
        <v>0.18584999999999999</v>
      </c>
      <c r="AN30" s="348">
        <f t="shared" si="23"/>
        <v>3.406277211133546E-2</v>
      </c>
      <c r="AO30" s="348">
        <f t="shared" si="24"/>
        <v>1.1E-4</v>
      </c>
      <c r="AP30" s="348">
        <f t="shared" si="25"/>
        <v>4.9499999999999995E-2</v>
      </c>
      <c r="AQ30" s="348">
        <f t="shared" si="26"/>
        <v>0.46453846153846151</v>
      </c>
      <c r="AR30" s="348">
        <f t="shared" si="27"/>
        <v>0.44549999999999995</v>
      </c>
      <c r="AS30" s="348">
        <f t="shared" si="28"/>
        <v>4.9609999999999994E-2</v>
      </c>
      <c r="AT30" s="348">
        <f t="shared" si="29"/>
        <v>0.76140021653310963</v>
      </c>
      <c r="AU30">
        <f t="shared" si="30"/>
        <v>12.600000000000001</v>
      </c>
      <c r="AV30" s="526">
        <f t="shared" si="47"/>
        <v>0.94301493824045701</v>
      </c>
      <c r="AW30" s="534">
        <f t="shared" si="31"/>
        <v>10.556395408578735</v>
      </c>
      <c r="AX30" s="534">
        <f t="shared" si="32"/>
        <v>5.6353598457261738</v>
      </c>
      <c r="AY30" s="9"/>
      <c r="AZ30" s="4">
        <f t="shared" si="48"/>
        <v>94.301493824045707</v>
      </c>
      <c r="BA30" s="348">
        <f t="shared" si="33"/>
        <v>0.26085380772781808</v>
      </c>
      <c r="BB30" s="348">
        <f t="shared" si="34"/>
        <v>0.39166217769372513</v>
      </c>
      <c r="BC30" s="348">
        <f t="shared" si="35"/>
        <v>0.25134274782330324</v>
      </c>
      <c r="BD30" s="348">
        <f t="shared" si="36"/>
        <v>0.13846092987042194</v>
      </c>
      <c r="BE30" s="348">
        <f t="shared" si="37"/>
        <v>3.406277211133546E-2</v>
      </c>
    </row>
    <row r="31" spans="1:65" x14ac:dyDescent="0.25">
      <c r="A31" s="22" t="s">
        <v>125</v>
      </c>
      <c r="B31" s="27">
        <v>0.5</v>
      </c>
      <c r="C31" s="431" t="s">
        <v>116</v>
      </c>
      <c r="D31" s="427" t="s">
        <v>488</v>
      </c>
      <c r="G31">
        <v>22</v>
      </c>
      <c r="H31" s="531">
        <f t="shared" si="0"/>
        <v>50</v>
      </c>
      <c r="I31" s="4">
        <f t="shared" si="1"/>
        <v>1</v>
      </c>
      <c r="J31" s="348">
        <f t="shared" si="38"/>
        <v>1.1000000000000001</v>
      </c>
      <c r="K31" s="348">
        <f t="shared" si="2"/>
        <v>1.1000000000000001</v>
      </c>
      <c r="L31" s="4">
        <f t="shared" si="3"/>
        <v>0.29333333333333333</v>
      </c>
      <c r="M31" s="348">
        <f t="shared" si="4"/>
        <v>0.24024238346137328</v>
      </c>
      <c r="N31" s="4">
        <f t="shared" si="5"/>
        <v>13.825930968021467</v>
      </c>
      <c r="O31" s="4">
        <f t="shared" si="39"/>
        <v>8.0129654840107332</v>
      </c>
      <c r="P31" s="4">
        <f t="shared" si="40"/>
        <v>-5.8129654840107339</v>
      </c>
      <c r="Q31" s="4">
        <f t="shared" si="6"/>
        <v>50</v>
      </c>
      <c r="R31" s="4">
        <f t="shared" si="41"/>
        <v>4.1400117464859019</v>
      </c>
      <c r="S31" s="348">
        <f t="shared" si="7"/>
        <v>5.9988940413644373E-2</v>
      </c>
      <c r="T31" s="348">
        <f t="shared" si="8"/>
        <v>0.2</v>
      </c>
      <c r="U31" s="348">
        <f t="shared" si="9"/>
        <v>0.26124267411050167</v>
      </c>
      <c r="V31" s="4">
        <f t="shared" si="42"/>
        <v>3.9912024830921888</v>
      </c>
      <c r="W31" s="348">
        <f t="shared" si="10"/>
        <v>1.5929697261041254E-2</v>
      </c>
      <c r="X31" s="348">
        <f t="shared" si="43"/>
        <v>1.5929697261041254E-2</v>
      </c>
      <c r="Y31" s="4">
        <f t="shared" si="44"/>
        <v>1.7687396785899885</v>
      </c>
      <c r="Z31" s="348">
        <f t="shared" si="11"/>
        <v>3.1284400506186158E-3</v>
      </c>
      <c r="AA31" s="525">
        <f t="shared" si="45"/>
        <v>3.1284400506186158E-3</v>
      </c>
      <c r="AB31" s="348">
        <f t="shared" si="46"/>
        <v>2.0292071658159796</v>
      </c>
      <c r="AC31" s="348">
        <f t="shared" si="12"/>
        <v>4.9412180661587042E-2</v>
      </c>
      <c r="AD31" s="348">
        <f t="shared" si="13"/>
        <v>6.4204432955375174E-2</v>
      </c>
      <c r="AE31" s="348">
        <f t="shared" si="14"/>
        <v>0</v>
      </c>
      <c r="AF31" s="348">
        <f t="shared" si="15"/>
        <v>1.7090118522991558E-2</v>
      </c>
      <c r="AG31" s="348">
        <f t="shared" si="16"/>
        <v>0.13180084341039233</v>
      </c>
      <c r="AH31" s="348">
        <f t="shared" si="17"/>
        <v>3.6086029899730345</v>
      </c>
      <c r="AI31" s="348">
        <f t="shared" si="18"/>
        <v>5.3390263710893525E-2</v>
      </c>
      <c r="AJ31" s="348">
        <f t="shared" si="19"/>
        <v>2.3558118522991552E-2</v>
      </c>
      <c r="AK31" s="348">
        <f t="shared" si="20"/>
        <v>7.7623076968123997E-2</v>
      </c>
      <c r="AL31" s="348">
        <f t="shared" si="21"/>
        <v>6.4679999999999998E-3</v>
      </c>
      <c r="AM31" s="348">
        <f t="shared" si="22"/>
        <v>0.19470000000000001</v>
      </c>
      <c r="AN31" s="348">
        <f t="shared" si="23"/>
        <v>3.42793945220825E-2</v>
      </c>
      <c r="AO31" s="348">
        <f t="shared" si="24"/>
        <v>1.1E-4</v>
      </c>
      <c r="AP31" s="348">
        <f t="shared" si="25"/>
        <v>4.9499999999999995E-2</v>
      </c>
      <c r="AQ31" s="348">
        <f t="shared" si="26"/>
        <v>0.46453846153846151</v>
      </c>
      <c r="AR31" s="348">
        <f t="shared" si="27"/>
        <v>0.44549999999999995</v>
      </c>
      <c r="AS31" s="348">
        <f t="shared" si="28"/>
        <v>4.9609999999999994E-2</v>
      </c>
      <c r="AT31" s="348">
        <f t="shared" si="29"/>
        <v>0.77478212632276044</v>
      </c>
      <c r="AU31">
        <f t="shared" si="30"/>
        <v>13.200000000000001</v>
      </c>
      <c r="AV31" s="526">
        <f t="shared" si="47"/>
        <v>0.94455855416426215</v>
      </c>
      <c r="AW31" s="534">
        <f t="shared" si="31"/>
        <v>10.932719423236477</v>
      </c>
      <c r="AX31" s="534">
        <f t="shared" si="32"/>
        <v>5.7742749326026468</v>
      </c>
      <c r="AY31" s="9"/>
      <c r="AZ31" s="4">
        <f t="shared" si="48"/>
        <v>94.455855416426218</v>
      </c>
      <c r="BA31" s="348">
        <f t="shared" si="33"/>
        <v>0.26124267411050167</v>
      </c>
      <c r="BB31" s="348">
        <f t="shared" si="34"/>
        <v>0.4041239203785163</v>
      </c>
      <c r="BC31" s="348">
        <f t="shared" si="35"/>
        <v>0.26030284341039234</v>
      </c>
      <c r="BD31" s="348">
        <f t="shared" si="36"/>
        <v>0.14187407696812399</v>
      </c>
      <c r="BE31" s="348">
        <f t="shared" si="37"/>
        <v>3.42793945220825E-2</v>
      </c>
    </row>
    <row r="32" spans="1:65" x14ac:dyDescent="0.25">
      <c r="A32" s="24" t="s">
        <v>62</v>
      </c>
      <c r="B32" s="15" t="s">
        <v>111</v>
      </c>
      <c r="C32" s="24" t="s">
        <v>76</v>
      </c>
      <c r="D32" s="17" t="s">
        <v>107</v>
      </c>
      <c r="G32">
        <v>23</v>
      </c>
      <c r="H32" s="531">
        <f t="shared" si="0"/>
        <v>50</v>
      </c>
      <c r="I32" s="4">
        <f t="shared" si="1"/>
        <v>1</v>
      </c>
      <c r="J32" s="348">
        <f t="shared" si="38"/>
        <v>1.1499999999999999</v>
      </c>
      <c r="K32" s="348">
        <f t="shared" si="2"/>
        <v>1.1499999999999999</v>
      </c>
      <c r="L32" s="4">
        <f t="shared" si="3"/>
        <v>0.30666666666666664</v>
      </c>
      <c r="M32" s="348">
        <f t="shared" si="4"/>
        <v>0.24025340238670387</v>
      </c>
      <c r="N32" s="4">
        <f t="shared" si="5"/>
        <v>13.826282990601822</v>
      </c>
      <c r="O32" s="4">
        <f t="shared" si="39"/>
        <v>8.0631414953009113</v>
      </c>
      <c r="P32" s="4">
        <f t="shared" si="40"/>
        <v>-5.7631414953009106</v>
      </c>
      <c r="Q32" s="4">
        <f t="shared" si="6"/>
        <v>50</v>
      </c>
      <c r="R32" s="4">
        <f t="shared" si="41"/>
        <v>4.1536740898491029</v>
      </c>
      <c r="S32" s="348">
        <f t="shared" si="7"/>
        <v>6.0385529556393203E-2</v>
      </c>
      <c r="T32" s="348">
        <f t="shared" si="8"/>
        <v>0.2</v>
      </c>
      <c r="U32" s="348">
        <f t="shared" si="9"/>
        <v>0.26164951712839102</v>
      </c>
      <c r="V32" s="4">
        <f t="shared" si="42"/>
        <v>3.9913041032579533</v>
      </c>
      <c r="W32" s="348">
        <f t="shared" si="10"/>
        <v>1.5930508444683775E-2</v>
      </c>
      <c r="X32" s="348">
        <f t="shared" si="43"/>
        <v>1.5930508444683775E-2</v>
      </c>
      <c r="Y32" s="4">
        <f t="shared" si="44"/>
        <v>1.7746044765738844</v>
      </c>
      <c r="Z32" s="348">
        <f t="shared" si="11"/>
        <v>3.1492210482760704E-3</v>
      </c>
      <c r="AA32" s="525">
        <f t="shared" si="45"/>
        <v>3.1492210482760704E-3</v>
      </c>
      <c r="AB32" s="348">
        <f t="shared" si="46"/>
        <v>2.0359503874706304</v>
      </c>
      <c r="AC32" s="348">
        <f t="shared" si="12"/>
        <v>4.9741127762901717E-2</v>
      </c>
      <c r="AD32" s="348">
        <f t="shared" si="13"/>
        <v>6.7122816271528565E-2</v>
      </c>
      <c r="AE32" s="348">
        <f t="shared" si="14"/>
        <v>0</v>
      </c>
      <c r="AF32" s="348">
        <f t="shared" si="15"/>
        <v>1.6943635996184675E-2</v>
      </c>
      <c r="AG32" s="348">
        <f t="shared" si="16"/>
        <v>0.13493516703095818</v>
      </c>
      <c r="AH32" s="348">
        <f t="shared" si="17"/>
        <v>3.6204853907234544</v>
      </c>
      <c r="AI32" s="348">
        <f t="shared" si="18"/>
        <v>5.3742449304212049E-2</v>
      </c>
      <c r="AJ32" s="348">
        <f t="shared" si="19"/>
        <v>2.3705635996184676E-2</v>
      </c>
      <c r="AK32" s="348">
        <f t="shared" si="20"/>
        <v>7.8131680527226105E-2</v>
      </c>
      <c r="AL32" s="348">
        <f t="shared" si="21"/>
        <v>6.761999999999998E-3</v>
      </c>
      <c r="AM32" s="348">
        <f t="shared" si="22"/>
        <v>0.20354999999999995</v>
      </c>
      <c r="AN32" s="348">
        <f t="shared" si="23"/>
        <v>3.4506016889367545E-2</v>
      </c>
      <c r="AO32" s="348">
        <f t="shared" si="24"/>
        <v>1.1E-4</v>
      </c>
      <c r="AP32" s="348">
        <f t="shared" si="25"/>
        <v>4.9499999999999995E-2</v>
      </c>
      <c r="AQ32" s="348">
        <f t="shared" si="26"/>
        <v>0.46453846153846151</v>
      </c>
      <c r="AR32" s="348">
        <f t="shared" si="27"/>
        <v>0.44549999999999995</v>
      </c>
      <c r="AS32" s="348">
        <f t="shared" si="28"/>
        <v>4.9609999999999994E-2</v>
      </c>
      <c r="AT32" s="348">
        <f t="shared" si="29"/>
        <v>0.78822411106890278</v>
      </c>
      <c r="AU32">
        <f t="shared" si="30"/>
        <v>13.799999999999999</v>
      </c>
      <c r="AV32" s="526">
        <f t="shared" si="47"/>
        <v>0.94596846709594806</v>
      </c>
      <c r="AW32" s="534">
        <f t="shared" si="31"/>
        <v>11.309683015300243</v>
      </c>
      <c r="AX32" s="534">
        <f t="shared" si="32"/>
        <v>5.913839447458102</v>
      </c>
      <c r="AY32" s="9"/>
      <c r="AZ32" s="4">
        <f t="shared" si="48"/>
        <v>94.5968467095948</v>
      </c>
      <c r="BA32" s="348">
        <f t="shared" si="33"/>
        <v>0.26164951712839102</v>
      </c>
      <c r="BB32" s="348">
        <f t="shared" si="34"/>
        <v>0.41661684755818423</v>
      </c>
      <c r="BC32" s="348">
        <f t="shared" si="35"/>
        <v>0.26927816703095814</v>
      </c>
      <c r="BD32" s="348">
        <f t="shared" si="36"/>
        <v>0.14530318052722607</v>
      </c>
      <c r="BE32" s="348">
        <f t="shared" si="37"/>
        <v>3.4506016889367545E-2</v>
      </c>
    </row>
    <row r="33" spans="1:57" x14ac:dyDescent="0.25">
      <c r="A33" s="22" t="s">
        <v>62</v>
      </c>
      <c r="B33" s="5">
        <f>Deadtime*1000000000</f>
        <v>14</v>
      </c>
      <c r="C33" s="427" t="s">
        <v>75</v>
      </c>
      <c r="D33" s="21" t="s">
        <v>98</v>
      </c>
      <c r="G33">
        <v>24</v>
      </c>
      <c r="H33" s="531">
        <f t="shared" si="0"/>
        <v>50</v>
      </c>
      <c r="I33" s="4">
        <f t="shared" si="1"/>
        <v>1</v>
      </c>
      <c r="J33" s="348">
        <f t="shared" si="38"/>
        <v>1.2</v>
      </c>
      <c r="K33" s="348">
        <f t="shared" si="2"/>
        <v>1.2</v>
      </c>
      <c r="L33" s="4">
        <f t="shared" si="3"/>
        <v>0.31999999999999995</v>
      </c>
      <c r="M33" s="348">
        <f t="shared" si="4"/>
        <v>0.24026442144207621</v>
      </c>
      <c r="N33" s="4">
        <f t="shared" si="5"/>
        <v>13.826634994787989</v>
      </c>
      <c r="O33" s="4">
        <f t="shared" si="39"/>
        <v>8.1133174973939948</v>
      </c>
      <c r="P33" s="4">
        <f t="shared" si="40"/>
        <v>-5.7133174973939944</v>
      </c>
      <c r="Q33" s="4">
        <f t="shared" si="6"/>
        <v>50</v>
      </c>
      <c r="R33" s="4">
        <f t="shared" si="41"/>
        <v>4.1678915060964963</v>
      </c>
      <c r="S33" s="348">
        <f t="shared" si="7"/>
        <v>6.0799618623069623E-2</v>
      </c>
      <c r="T33" s="348">
        <f t="shared" si="8"/>
        <v>0.2</v>
      </c>
      <c r="U33" s="348">
        <f t="shared" si="9"/>
        <v>0.26207434021796122</v>
      </c>
      <c r="V33" s="4">
        <f t="shared" si="42"/>
        <v>3.9914057181137728</v>
      </c>
      <c r="W33" s="348">
        <f t="shared" si="10"/>
        <v>1.5931319606591322E-2</v>
      </c>
      <c r="X33" s="348">
        <f t="shared" si="43"/>
        <v>1.5931319606591322E-2</v>
      </c>
      <c r="Y33" s="4">
        <f t="shared" si="44"/>
        <v>1.7807066078780027</v>
      </c>
      <c r="Z33" s="348">
        <f t="shared" si="11"/>
        <v>3.1709160233403832E-3</v>
      </c>
      <c r="AA33" s="525">
        <f t="shared" si="45"/>
        <v>3.1709160233403832E-3</v>
      </c>
      <c r="AB33" s="348">
        <f t="shared" si="46"/>
        <v>2.0429659945684504</v>
      </c>
      <c r="AC33" s="348">
        <f t="shared" si="12"/>
        <v>5.0084520659556694E-2</v>
      </c>
      <c r="AD33" s="348">
        <f t="shared" si="13"/>
        <v>7.0041199587681999E-2</v>
      </c>
      <c r="AE33" s="348">
        <f t="shared" si="14"/>
        <v>0</v>
      </c>
      <c r="AF33" s="348">
        <f t="shared" si="15"/>
        <v>1.6797153442338342E-2</v>
      </c>
      <c r="AG33" s="348">
        <f t="shared" si="16"/>
        <v>0.13808474628872597</v>
      </c>
      <c r="AH33" s="348">
        <f t="shared" si="17"/>
        <v>3.6328514353918004</v>
      </c>
      <c r="AI33" s="348">
        <f t="shared" si="18"/>
        <v>5.4110199161675879E-2</v>
      </c>
      <c r="AJ33" s="348">
        <f t="shared" si="19"/>
        <v>2.3853153442338342E-2</v>
      </c>
      <c r="AK33" s="348">
        <f t="shared" si="20"/>
        <v>7.8656246524838588E-2</v>
      </c>
      <c r="AL33" s="348">
        <f t="shared" si="21"/>
        <v>7.055999999999998E-3</v>
      </c>
      <c r="AM33" s="348">
        <f t="shared" si="22"/>
        <v>0.21240000000000001</v>
      </c>
      <c r="AN33" s="348">
        <f t="shared" si="23"/>
        <v>3.4742639213182644E-2</v>
      </c>
      <c r="AO33" s="348">
        <f t="shared" si="24"/>
        <v>1.1E-4</v>
      </c>
      <c r="AP33" s="348">
        <f t="shared" si="25"/>
        <v>4.9499999999999995E-2</v>
      </c>
      <c r="AQ33" s="348">
        <f t="shared" si="26"/>
        <v>0.46453846153846151</v>
      </c>
      <c r="AR33" s="348">
        <f t="shared" si="27"/>
        <v>0.44549999999999995</v>
      </c>
      <c r="AS33" s="348">
        <f t="shared" si="28"/>
        <v>4.9609999999999994E-2</v>
      </c>
      <c r="AT33" s="348">
        <f t="shared" si="29"/>
        <v>0.80172620787464022</v>
      </c>
      <c r="AU33">
        <f t="shared" si="30"/>
        <v>14.399999999999999</v>
      </c>
      <c r="AV33" s="526">
        <f t="shared" si="47"/>
        <v>0.94726084413628375</v>
      </c>
      <c r="AW33" s="534">
        <f t="shared" si="31"/>
        <v>11.687287344126492</v>
      </c>
      <c r="AX33" s="534">
        <f t="shared" si="32"/>
        <v>6.0540536335609314</v>
      </c>
      <c r="AY33" s="9"/>
      <c r="AZ33" s="4">
        <f t="shared" si="48"/>
        <v>94.726084413628371</v>
      </c>
      <c r="BA33" s="348">
        <f t="shared" si="33"/>
        <v>0.26207434021796122</v>
      </c>
      <c r="BB33" s="348">
        <f t="shared" si="34"/>
        <v>0.42914099281356455</v>
      </c>
      <c r="BC33" s="348">
        <f t="shared" si="35"/>
        <v>0.278268746288726</v>
      </c>
      <c r="BD33" s="348">
        <f t="shared" si="36"/>
        <v>0.14874824652483859</v>
      </c>
      <c r="BE33" s="348">
        <f t="shared" si="37"/>
        <v>3.4742639213182644E-2</v>
      </c>
    </row>
    <row r="34" spans="1:57" x14ac:dyDescent="0.25">
      <c r="A34" s="24" t="s">
        <v>52</v>
      </c>
      <c r="B34" s="15" t="s">
        <v>111</v>
      </c>
      <c r="C34" s="24" t="s">
        <v>76</v>
      </c>
      <c r="D34" s="17" t="s">
        <v>107</v>
      </c>
      <c r="G34">
        <v>25</v>
      </c>
      <c r="H34" s="531">
        <f t="shared" si="0"/>
        <v>50</v>
      </c>
      <c r="I34" s="4">
        <f t="shared" si="1"/>
        <v>1</v>
      </c>
      <c r="J34" s="348">
        <f t="shared" si="38"/>
        <v>1.25</v>
      </c>
      <c r="K34" s="348">
        <f t="shared" si="2"/>
        <v>1.25</v>
      </c>
      <c r="L34" s="4">
        <f t="shared" si="3"/>
        <v>0.33333333333333331</v>
      </c>
      <c r="M34" s="348">
        <f t="shared" si="4"/>
        <v>0.24027544062749259</v>
      </c>
      <c r="N34" s="4">
        <f t="shared" si="5"/>
        <v>13.826986980579639</v>
      </c>
      <c r="O34" s="4">
        <f t="shared" si="39"/>
        <v>8.1634934902898202</v>
      </c>
      <c r="P34" s="4">
        <f t="shared" si="40"/>
        <v>-5.6634934902898193</v>
      </c>
      <c r="Q34" s="4">
        <f t="shared" si="6"/>
        <v>50</v>
      </c>
      <c r="R34" s="4">
        <f t="shared" si="41"/>
        <v>4.1826583349300597</v>
      </c>
      <c r="S34" s="348">
        <f t="shared" si="7"/>
        <v>6.1231207613659647E-2</v>
      </c>
      <c r="T34" s="348">
        <f t="shared" si="8"/>
        <v>0.2</v>
      </c>
      <c r="U34" s="348">
        <f t="shared" si="9"/>
        <v>0.26251714696791068</v>
      </c>
      <c r="V34" s="4">
        <f t="shared" si="42"/>
        <v>3.9915073276595527</v>
      </c>
      <c r="W34" s="348">
        <f t="shared" si="10"/>
        <v>1.5932130746759903E-2</v>
      </c>
      <c r="X34" s="348">
        <f t="shared" si="43"/>
        <v>1.5932130746759903E-2</v>
      </c>
      <c r="Y34" s="4">
        <f t="shared" si="44"/>
        <v>1.7870436652782584</v>
      </c>
      <c r="Z34" s="348">
        <f t="shared" si="11"/>
        <v>3.193525061611152E-3</v>
      </c>
      <c r="AA34" s="525">
        <f t="shared" si="45"/>
        <v>3.193525061611152E-3</v>
      </c>
      <c r="AB34" s="348">
        <f t="shared" si="46"/>
        <v>2.0502512312624068</v>
      </c>
      <c r="AC34" s="348">
        <f t="shared" si="12"/>
        <v>5.0442361335516189E-2</v>
      </c>
      <c r="AD34" s="348">
        <f t="shared" si="13"/>
        <v>7.2959582903835418E-2</v>
      </c>
      <c r="AE34" s="348">
        <f t="shared" si="14"/>
        <v>0</v>
      </c>
      <c r="AF34" s="348">
        <f t="shared" si="15"/>
        <v>1.6650670861452065E-2</v>
      </c>
      <c r="AG34" s="348">
        <f t="shared" si="16"/>
        <v>0.1412496090220243</v>
      </c>
      <c r="AH34" s="348">
        <f t="shared" si="17"/>
        <v>3.645696179808033</v>
      </c>
      <c r="AI34" s="348">
        <f t="shared" si="18"/>
        <v>5.449351260541422E-2</v>
      </c>
      <c r="AJ34" s="348">
        <f t="shared" si="19"/>
        <v>2.4000670861452068E-2</v>
      </c>
      <c r="AK34" s="348">
        <f t="shared" si="20"/>
        <v>7.9196781184090986E-2</v>
      </c>
      <c r="AL34" s="348">
        <f t="shared" si="21"/>
        <v>7.3499999999999989E-3</v>
      </c>
      <c r="AM34" s="348">
        <f t="shared" si="22"/>
        <v>0.22125</v>
      </c>
      <c r="AN34" s="348">
        <f t="shared" si="23"/>
        <v>3.4989261493519802E-2</v>
      </c>
      <c r="AO34" s="348">
        <f t="shared" si="24"/>
        <v>1.1E-4</v>
      </c>
      <c r="AP34" s="348">
        <f t="shared" si="25"/>
        <v>4.9499999999999995E-2</v>
      </c>
      <c r="AQ34" s="348">
        <f t="shared" si="26"/>
        <v>0.46453846153846151</v>
      </c>
      <c r="AR34" s="348">
        <f t="shared" si="27"/>
        <v>0.44549999999999995</v>
      </c>
      <c r="AS34" s="348">
        <f t="shared" si="28"/>
        <v>4.9609999999999994E-2</v>
      </c>
      <c r="AT34" s="348">
        <f t="shared" si="29"/>
        <v>0.81528845447591691</v>
      </c>
      <c r="AU34">
        <f t="shared" si="30"/>
        <v>15</v>
      </c>
      <c r="AV34" s="526">
        <f t="shared" si="47"/>
        <v>0.94844934654067714</v>
      </c>
      <c r="AW34" s="534">
        <f t="shared" si="31"/>
        <v>12.06553357892502</v>
      </c>
      <c r="AX34" s="534">
        <f t="shared" si="32"/>
        <v>6.1949177441925043</v>
      </c>
      <c r="AY34" s="9"/>
      <c r="AZ34" s="4">
        <f t="shared" si="48"/>
        <v>94.844934654067714</v>
      </c>
      <c r="BA34" s="348">
        <f t="shared" si="33"/>
        <v>0.26251714696791068</v>
      </c>
      <c r="BB34" s="348">
        <f t="shared" si="34"/>
        <v>0.44169639020611529</v>
      </c>
      <c r="BC34" s="348">
        <f t="shared" si="35"/>
        <v>0.28727460902202429</v>
      </c>
      <c r="BD34" s="348">
        <f t="shared" si="36"/>
        <v>0.15220928118409099</v>
      </c>
      <c r="BE34" s="348">
        <f t="shared" si="37"/>
        <v>3.4989261493519802E-2</v>
      </c>
    </row>
    <row r="35" spans="1:57" x14ac:dyDescent="0.25">
      <c r="A35" s="22" t="s">
        <v>128</v>
      </c>
      <c r="B35" s="5">
        <f>Iq*1000</f>
        <v>2.2000000000000001E-3</v>
      </c>
      <c r="C35" s="427" t="s">
        <v>64</v>
      </c>
      <c r="D35" s="21" t="s">
        <v>131</v>
      </c>
      <c r="G35">
        <v>26</v>
      </c>
      <c r="H35" s="531">
        <f t="shared" si="0"/>
        <v>50</v>
      </c>
      <c r="I35" s="4">
        <f t="shared" si="1"/>
        <v>1</v>
      </c>
      <c r="J35" s="348">
        <f t="shared" si="38"/>
        <v>1.3</v>
      </c>
      <c r="K35" s="348">
        <f t="shared" si="2"/>
        <v>1.3</v>
      </c>
      <c r="L35" s="4">
        <f t="shared" si="3"/>
        <v>0.34666666666666668</v>
      </c>
      <c r="M35" s="348">
        <f t="shared" si="4"/>
        <v>0.24028645994295525</v>
      </c>
      <c r="N35" s="4">
        <f t="shared" si="5"/>
        <v>13.827338947976436</v>
      </c>
      <c r="O35" s="4">
        <f t="shared" si="39"/>
        <v>8.2136694739882188</v>
      </c>
      <c r="P35" s="4">
        <f t="shared" si="40"/>
        <v>-5.6136694739882183</v>
      </c>
      <c r="Q35" s="4">
        <f t="shared" si="6"/>
        <v>50</v>
      </c>
      <c r="R35" s="4">
        <f t="shared" si="41"/>
        <v>4.1979687784910347</v>
      </c>
      <c r="S35" s="348">
        <f t="shared" si="7"/>
        <v>6.1680296528149284E-2</v>
      </c>
      <c r="T35" s="348">
        <f t="shared" si="8"/>
        <v>0.2</v>
      </c>
      <c r="U35" s="348">
        <f t="shared" si="9"/>
        <v>0.262977941119237</v>
      </c>
      <c r="V35" s="4">
        <f t="shared" si="42"/>
        <v>3.9916089318951964</v>
      </c>
      <c r="W35" s="348">
        <f t="shared" si="10"/>
        <v>1.5932941865185509E-2</v>
      </c>
      <c r="X35" s="348">
        <f t="shared" si="43"/>
        <v>1.5932941865185509E-2</v>
      </c>
      <c r="Y35" s="4">
        <f t="shared" si="44"/>
        <v>1.7936131826240331</v>
      </c>
      <c r="Z35" s="348">
        <f t="shared" si="11"/>
        <v>3.2170482488827132E-3</v>
      </c>
      <c r="AA35" s="525">
        <f t="shared" si="45"/>
        <v>3.2170482488827132E-3</v>
      </c>
      <c r="AB35" s="348">
        <f t="shared" si="46"/>
        <v>2.0578032740196348</v>
      </c>
      <c r="AC35" s="348">
        <f t="shared" si="12"/>
        <v>5.0814651774791136E-2</v>
      </c>
      <c r="AD35" s="348">
        <f t="shared" si="13"/>
        <v>7.5877966219988838E-2</v>
      </c>
      <c r="AE35" s="348">
        <f t="shared" si="14"/>
        <v>0</v>
      </c>
      <c r="AF35" s="348">
        <f t="shared" si="15"/>
        <v>1.650418825352536E-2</v>
      </c>
      <c r="AG35" s="348">
        <f t="shared" si="16"/>
        <v>0.14442978330458656</v>
      </c>
      <c r="AH35" s="348">
        <f t="shared" si="17"/>
        <v>3.6590145600447648</v>
      </c>
      <c r="AI35" s="348">
        <f t="shared" si="18"/>
        <v>5.4892388957540283E-2</v>
      </c>
      <c r="AJ35" s="348">
        <f t="shared" si="19"/>
        <v>2.4148188253525358E-2</v>
      </c>
      <c r="AK35" s="348">
        <f t="shared" si="20"/>
        <v>7.9753290974347552E-2</v>
      </c>
      <c r="AL35" s="348">
        <f t="shared" si="21"/>
        <v>7.6439999999999989E-3</v>
      </c>
      <c r="AM35" s="348">
        <f t="shared" si="22"/>
        <v>0.2301</v>
      </c>
      <c r="AN35" s="348">
        <f t="shared" si="23"/>
        <v>3.5245883730371019E-2</v>
      </c>
      <c r="AO35" s="348">
        <f t="shared" si="24"/>
        <v>1.1E-4</v>
      </c>
      <c r="AP35" s="348">
        <f t="shared" si="25"/>
        <v>4.9499999999999995E-2</v>
      </c>
      <c r="AQ35" s="348">
        <f t="shared" si="26"/>
        <v>0.46453846153846151</v>
      </c>
      <c r="AR35" s="348">
        <f t="shared" si="27"/>
        <v>0.44549999999999995</v>
      </c>
      <c r="AS35" s="348">
        <f t="shared" si="28"/>
        <v>4.9609999999999994E-2</v>
      </c>
      <c r="AT35" s="348">
        <f t="shared" si="29"/>
        <v>0.82891088924261025</v>
      </c>
      <c r="AU35">
        <f t="shared" si="30"/>
        <v>15.600000000000001</v>
      </c>
      <c r="AV35" s="526">
        <f t="shared" si="47"/>
        <v>0.94954559709826114</v>
      </c>
      <c r="AW35" s="534">
        <f t="shared" si="31"/>
        <v>12.444422898792636</v>
      </c>
      <c r="AX35" s="534">
        <f t="shared" si="32"/>
        <v>6.3364320426559457</v>
      </c>
      <c r="AY35" s="9"/>
      <c r="AZ35" s="4">
        <f t="shared" si="48"/>
        <v>94.954559709826114</v>
      </c>
      <c r="BA35" s="348">
        <f t="shared" si="33"/>
        <v>0.262977941119237</v>
      </c>
      <c r="BB35" s="348">
        <f t="shared" si="34"/>
        <v>0.45428307427893411</v>
      </c>
      <c r="BC35" s="348">
        <f t="shared" si="35"/>
        <v>0.29629578330458656</v>
      </c>
      <c r="BD35" s="348">
        <f t="shared" si="36"/>
        <v>0.15568629097434755</v>
      </c>
      <c r="BE35" s="348">
        <f t="shared" si="37"/>
        <v>3.5245883730371019E-2</v>
      </c>
    </row>
    <row r="36" spans="1:57" x14ac:dyDescent="0.25">
      <c r="A36" s="24" t="s">
        <v>508</v>
      </c>
      <c r="B36" s="15" t="s">
        <v>111</v>
      </c>
      <c r="C36" s="24" t="s">
        <v>76</v>
      </c>
      <c r="D36" s="17" t="s">
        <v>107</v>
      </c>
      <c r="G36">
        <v>27</v>
      </c>
      <c r="H36" s="531">
        <f t="shared" si="0"/>
        <v>50</v>
      </c>
      <c r="I36" s="4">
        <f t="shared" si="1"/>
        <v>1</v>
      </c>
      <c r="J36" s="348">
        <f t="shared" si="38"/>
        <v>1.35</v>
      </c>
      <c r="K36" s="348">
        <f t="shared" si="2"/>
        <v>1.35</v>
      </c>
      <c r="L36" s="4">
        <f t="shared" si="3"/>
        <v>0.36000000000000004</v>
      </c>
      <c r="M36" s="348">
        <f t="shared" si="4"/>
        <v>0.24029747938846657</v>
      </c>
      <c r="N36" s="4">
        <f t="shared" si="5"/>
        <v>13.827690896978069</v>
      </c>
      <c r="O36" s="4">
        <f t="shared" si="39"/>
        <v>8.2638454484890342</v>
      </c>
      <c r="P36" s="4">
        <f t="shared" si="40"/>
        <v>-5.563845448489035</v>
      </c>
      <c r="Q36" s="4">
        <f t="shared" si="6"/>
        <v>50</v>
      </c>
      <c r="R36" s="4">
        <f t="shared" si="41"/>
        <v>4.213816911288883</v>
      </c>
      <c r="S36" s="348">
        <f t="shared" si="7"/>
        <v>6.2146885366524636E-2</v>
      </c>
      <c r="T36" s="348">
        <f t="shared" si="8"/>
        <v>0.2</v>
      </c>
      <c r="U36" s="348">
        <f t="shared" si="9"/>
        <v>0.26345672656531621</v>
      </c>
      <c r="V36" s="4">
        <f t="shared" si="42"/>
        <v>3.9917105308206131</v>
      </c>
      <c r="W36" s="348">
        <f t="shared" si="10"/>
        <v>1.5933752961864181E-2</v>
      </c>
      <c r="X36" s="348">
        <f t="shared" si="43"/>
        <v>1.5933752961864181E-2</v>
      </c>
      <c r="Y36" s="4">
        <f t="shared" si="44"/>
        <v>1.8004126390758712</v>
      </c>
      <c r="Z36" s="348">
        <f t="shared" si="11"/>
        <v>3.2414856709441432E-3</v>
      </c>
      <c r="AA36" s="525">
        <f t="shared" si="45"/>
        <v>3.2414856709441432E-3</v>
      </c>
      <c r="AB36" s="348">
        <f t="shared" si="46"/>
        <v>2.065619236480905</v>
      </c>
      <c r="AC36" s="348">
        <f t="shared" si="12"/>
        <v>5.1201393961439481E-2</v>
      </c>
      <c r="AD36" s="348">
        <f t="shared" si="13"/>
        <v>7.8796349536142257E-2</v>
      </c>
      <c r="AE36" s="348">
        <f t="shared" si="14"/>
        <v>0</v>
      </c>
      <c r="AF36" s="348">
        <f t="shared" si="15"/>
        <v>1.6357705618557761E-2</v>
      </c>
      <c r="AG36" s="348">
        <f t="shared" si="16"/>
        <v>0.14762529744636146</v>
      </c>
      <c r="AH36" s="348">
        <f t="shared" si="17"/>
        <v>3.6728014010757817</v>
      </c>
      <c r="AI36" s="348">
        <f t="shared" si="18"/>
        <v>5.5306827540151315E-2</v>
      </c>
      <c r="AJ36" s="348">
        <f t="shared" si="19"/>
        <v>2.4295705618557758E-2</v>
      </c>
      <c r="AK36" s="348">
        <f t="shared" si="20"/>
        <v>8.0325782611432556E-2</v>
      </c>
      <c r="AL36" s="348">
        <f t="shared" si="21"/>
        <v>7.9379999999999989E-3</v>
      </c>
      <c r="AM36" s="348">
        <f t="shared" si="22"/>
        <v>0.23895000000000002</v>
      </c>
      <c r="AN36" s="348">
        <f t="shared" si="23"/>
        <v>3.5512505923728364E-2</v>
      </c>
      <c r="AO36" s="348">
        <f t="shared" si="24"/>
        <v>1.1E-4</v>
      </c>
      <c r="AP36" s="348">
        <f t="shared" si="25"/>
        <v>4.9499999999999995E-2</v>
      </c>
      <c r="AQ36" s="348">
        <f t="shared" si="26"/>
        <v>0.46453846153846151</v>
      </c>
      <c r="AR36" s="348">
        <f t="shared" si="27"/>
        <v>0.44549999999999995</v>
      </c>
      <c r="AS36" s="348">
        <f t="shared" si="28"/>
        <v>4.9609999999999994E-2</v>
      </c>
      <c r="AT36" s="348">
        <f t="shared" si="29"/>
        <v>0.84259355117964685</v>
      </c>
      <c r="AU36">
        <f t="shared" si="30"/>
        <v>16.200000000000003</v>
      </c>
      <c r="AV36" s="526">
        <f t="shared" si="47"/>
        <v>0.95055954666469622</v>
      </c>
      <c r="AW36" s="534">
        <f t="shared" si="31"/>
        <v>12.823956492747183</v>
      </c>
      <c r="AX36" s="534">
        <f t="shared" si="32"/>
        <v>6.4785968022853053</v>
      </c>
      <c r="AY36" s="9"/>
      <c r="AZ36" s="4">
        <f t="shared" si="48"/>
        <v>95.055954666469617</v>
      </c>
      <c r="BA36" s="348">
        <f t="shared" si="33"/>
        <v>0.26345672656531621</v>
      </c>
      <c r="BB36" s="348">
        <f t="shared" si="34"/>
        <v>0.46690108005779407</v>
      </c>
      <c r="BC36" s="348">
        <f t="shared" si="35"/>
        <v>0.30533229744636148</v>
      </c>
      <c r="BD36" s="348">
        <f t="shared" si="36"/>
        <v>0.15917928261143255</v>
      </c>
      <c r="BE36" s="348">
        <f t="shared" si="37"/>
        <v>3.5512505923728364E-2</v>
      </c>
    </row>
    <row r="37" spans="1:57" x14ac:dyDescent="0.25">
      <c r="A37" s="23" t="s">
        <v>71</v>
      </c>
      <c r="B37" s="5">
        <f>Rdson1*1000</f>
        <v>12</v>
      </c>
      <c r="C37" s="429" t="s">
        <v>450</v>
      </c>
      <c r="D37" s="427" t="s">
        <v>511</v>
      </c>
      <c r="G37">
        <v>28</v>
      </c>
      <c r="H37" s="531">
        <f t="shared" si="0"/>
        <v>50</v>
      </c>
      <c r="I37" s="4">
        <f t="shared" si="1"/>
        <v>1</v>
      </c>
      <c r="J37" s="348">
        <f t="shared" si="38"/>
        <v>1.4</v>
      </c>
      <c r="K37" s="348">
        <f t="shared" si="2"/>
        <v>1.4</v>
      </c>
      <c r="L37" s="4">
        <f t="shared" si="3"/>
        <v>0.37333333333333329</v>
      </c>
      <c r="M37" s="348">
        <f t="shared" si="4"/>
        <v>0.24030849896402884</v>
      </c>
      <c r="N37" s="4">
        <f t="shared" si="5"/>
        <v>13.828042827584206</v>
      </c>
      <c r="O37" s="4">
        <f t="shared" si="39"/>
        <v>8.3140214137921031</v>
      </c>
      <c r="P37" s="4">
        <f t="shared" si="40"/>
        <v>-5.5140214137921024</v>
      </c>
      <c r="Q37" s="4">
        <f t="shared" si="6"/>
        <v>50</v>
      </c>
      <c r="R37" s="4">
        <f t="shared" si="41"/>
        <v>4.230196690083325</v>
      </c>
      <c r="S37" s="348">
        <f t="shared" si="7"/>
        <v>6.2630974128771721E-2</v>
      </c>
      <c r="T37" s="348">
        <f t="shared" si="8"/>
        <v>0.2</v>
      </c>
      <c r="U37" s="348">
        <f t="shared" si="9"/>
        <v>0.26395350735198458</v>
      </c>
      <c r="V37" s="4">
        <f t="shared" si="42"/>
        <v>3.9918121244357079</v>
      </c>
      <c r="W37" s="348">
        <f t="shared" si="10"/>
        <v>1.5934564036791918E-2</v>
      </c>
      <c r="X37" s="348">
        <f t="shared" si="43"/>
        <v>1.5934564036791918E-2</v>
      </c>
      <c r="Y37" s="4">
        <f t="shared" si="44"/>
        <v>1.8074394633235309</v>
      </c>
      <c r="Z37" s="348">
        <f t="shared" si="11"/>
        <v>3.2668374135792532E-3</v>
      </c>
      <c r="AA37" s="525">
        <f t="shared" si="45"/>
        <v>3.2668374135792532E-3</v>
      </c>
      <c r="AB37" s="348">
        <f t="shared" si="46"/>
        <v>2.073696174297758</v>
      </c>
      <c r="AC37" s="348">
        <f t="shared" si="12"/>
        <v>5.160258987956589E-2</v>
      </c>
      <c r="AD37" s="348">
        <f t="shared" si="13"/>
        <v>8.1714732852295663E-2</v>
      </c>
      <c r="AE37" s="348">
        <f t="shared" si="14"/>
        <v>0</v>
      </c>
      <c r="AF37" s="348">
        <f t="shared" si="15"/>
        <v>1.6211222956548779E-2</v>
      </c>
      <c r="AG37" s="348">
        <f t="shared" si="16"/>
        <v>0.15083617999433199</v>
      </c>
      <c r="AH37" s="348">
        <f t="shared" si="17"/>
        <v>3.6870514253932991</v>
      </c>
      <c r="AI37" s="348">
        <f t="shared" si="18"/>
        <v>5.5736827675328497E-2</v>
      </c>
      <c r="AJ37" s="348">
        <f t="shared" si="19"/>
        <v>2.4443222956548778E-2</v>
      </c>
      <c r="AK37" s="348">
        <f t="shared" si="20"/>
        <v>8.0914263057864755E-2</v>
      </c>
      <c r="AL37" s="348">
        <f t="shared" si="21"/>
        <v>8.231999999999998E-3</v>
      </c>
      <c r="AM37" s="348">
        <f t="shared" si="22"/>
        <v>0.24779999999999996</v>
      </c>
      <c r="AN37" s="348">
        <f t="shared" si="23"/>
        <v>3.5789128073583837E-2</v>
      </c>
      <c r="AO37" s="348">
        <f t="shared" si="24"/>
        <v>1.1E-4</v>
      </c>
      <c r="AP37" s="348">
        <f t="shared" si="25"/>
        <v>4.9499999999999995E-2</v>
      </c>
      <c r="AQ37" s="348">
        <f t="shared" si="26"/>
        <v>0.46453846153846151</v>
      </c>
      <c r="AR37" s="348">
        <f t="shared" si="27"/>
        <v>0.44549999999999995</v>
      </c>
      <c r="AS37" s="348">
        <f t="shared" si="28"/>
        <v>4.9609999999999994E-2</v>
      </c>
      <c r="AT37" s="348">
        <f t="shared" si="29"/>
        <v>0.85633647992813644</v>
      </c>
      <c r="AU37">
        <f t="shared" si="30"/>
        <v>16.799999999999997</v>
      </c>
      <c r="AV37" s="526">
        <f t="shared" si="47"/>
        <v>0.95149976435362882</v>
      </c>
      <c r="AW37" s="534">
        <f t="shared" si="31"/>
        <v>13.204135559761944</v>
      </c>
      <c r="AX37" s="534">
        <f t="shared" si="32"/>
        <v>6.6214123064550954</v>
      </c>
      <c r="AY37" s="9"/>
      <c r="AZ37" s="4">
        <f t="shared" si="48"/>
        <v>95.149976435362888</v>
      </c>
      <c r="BA37" s="348">
        <f t="shared" si="33"/>
        <v>0.26395350735198458</v>
      </c>
      <c r="BB37" s="348">
        <f t="shared" si="34"/>
        <v>0.47955044305219674</v>
      </c>
      <c r="BC37" s="348">
        <f t="shared" si="35"/>
        <v>0.31438417999433199</v>
      </c>
      <c r="BD37" s="348">
        <f t="shared" si="36"/>
        <v>0.16268826305786474</v>
      </c>
      <c r="BE37" s="348">
        <f t="shared" si="37"/>
        <v>3.5789128073583837E-2</v>
      </c>
    </row>
    <row r="38" spans="1:57" x14ac:dyDescent="0.25">
      <c r="A38" s="22" t="s">
        <v>79</v>
      </c>
      <c r="B38" s="5">
        <f>RdsonTopTc*1000000</f>
        <v>4000</v>
      </c>
      <c r="C38" s="427" t="s">
        <v>81</v>
      </c>
      <c r="D38" s="21" t="s">
        <v>109</v>
      </c>
      <c r="G38">
        <v>29</v>
      </c>
      <c r="H38" s="531">
        <f t="shared" si="0"/>
        <v>50</v>
      </c>
      <c r="I38" s="4">
        <f t="shared" si="1"/>
        <v>1</v>
      </c>
      <c r="J38" s="348">
        <f t="shared" si="38"/>
        <v>1.45</v>
      </c>
      <c r="K38" s="348">
        <f t="shared" si="2"/>
        <v>1.45</v>
      </c>
      <c r="L38" s="4">
        <f t="shared" si="3"/>
        <v>0.38666666666666666</v>
      </c>
      <c r="M38" s="348">
        <f t="shared" si="4"/>
        <v>0.24031951866964441</v>
      </c>
      <c r="N38" s="4">
        <f t="shared" si="5"/>
        <v>13.828394739794525</v>
      </c>
      <c r="O38" s="4">
        <f t="shared" si="39"/>
        <v>8.364197369897262</v>
      </c>
      <c r="P38" s="4">
        <f t="shared" si="40"/>
        <v>-5.4641973698972626</v>
      </c>
      <c r="Q38" s="4">
        <f t="shared" si="6"/>
        <v>50</v>
      </c>
      <c r="R38" s="4">
        <f t="shared" si="41"/>
        <v>4.2471019636882676</v>
      </c>
      <c r="S38" s="348">
        <f t="shared" si="7"/>
        <v>6.3132562814876586E-2</v>
      </c>
      <c r="T38" s="348">
        <f t="shared" si="8"/>
        <v>0.2</v>
      </c>
      <c r="U38" s="348">
        <f t="shared" si="9"/>
        <v>0.2644682876776247</v>
      </c>
      <c r="V38" s="4">
        <f t="shared" si="42"/>
        <v>3.9919137127403874</v>
      </c>
      <c r="W38" s="348">
        <f t="shared" si="10"/>
        <v>1.5935375089964746E-2</v>
      </c>
      <c r="X38" s="348">
        <f t="shared" si="43"/>
        <v>1.5935375089964746E-2</v>
      </c>
      <c r="Y38" s="4">
        <f t="shared" si="44"/>
        <v>1.8146910377710557</v>
      </c>
      <c r="Z38" s="348">
        <f t="shared" si="11"/>
        <v>3.2931035625665909E-3</v>
      </c>
      <c r="AA38" s="525">
        <f t="shared" si="45"/>
        <v>3.2931035625665909E-3</v>
      </c>
      <c r="AB38" s="348">
        <f t="shared" si="46"/>
        <v>2.0820310899320149</v>
      </c>
      <c r="AC38" s="348">
        <f t="shared" si="12"/>
        <v>5.2018241513321926E-2</v>
      </c>
      <c r="AD38" s="348">
        <f t="shared" si="13"/>
        <v>8.4633116168449082E-2</v>
      </c>
      <c r="AE38" s="348">
        <f t="shared" si="14"/>
        <v>0</v>
      </c>
      <c r="AF38" s="348">
        <f t="shared" si="15"/>
        <v>1.6064740267497952E-2</v>
      </c>
      <c r="AG38" s="348">
        <f t="shared" si="16"/>
        <v>0.15406245973334462</v>
      </c>
      <c r="AH38" s="348">
        <f t="shared" si="17"/>
        <v>3.7017592615567594</v>
      </c>
      <c r="AI38" s="348">
        <f t="shared" si="18"/>
        <v>5.6182388685137093E-2</v>
      </c>
      <c r="AJ38" s="348">
        <f t="shared" si="19"/>
        <v>2.4590740267497947E-2</v>
      </c>
      <c r="AK38" s="348">
        <f t="shared" si="20"/>
        <v>8.1518739523101763E-2</v>
      </c>
      <c r="AL38" s="348">
        <f t="shared" si="21"/>
        <v>8.5259999999999989E-3</v>
      </c>
      <c r="AM38" s="348">
        <f t="shared" si="22"/>
        <v>0.25664999999999999</v>
      </c>
      <c r="AN38" s="348">
        <f t="shared" si="23"/>
        <v>3.6075750179929478E-2</v>
      </c>
      <c r="AO38" s="348">
        <f t="shared" si="24"/>
        <v>1.1E-4</v>
      </c>
      <c r="AP38" s="348">
        <f t="shared" si="25"/>
        <v>4.9499999999999995E-2</v>
      </c>
      <c r="AQ38" s="348">
        <f t="shared" si="26"/>
        <v>0.46453846153846151</v>
      </c>
      <c r="AR38" s="348">
        <f t="shared" si="27"/>
        <v>0.44549999999999995</v>
      </c>
      <c r="AS38" s="348">
        <f t="shared" si="28"/>
        <v>4.9609999999999994E-2</v>
      </c>
      <c r="AT38" s="348">
        <f t="shared" si="29"/>
        <v>0.87013971576653182</v>
      </c>
      <c r="AU38">
        <f t="shared" si="30"/>
        <v>17.399999999999999</v>
      </c>
      <c r="AV38" s="526">
        <f t="shared" si="47"/>
        <v>0.9523736693148751</v>
      </c>
      <c r="AW38" s="534">
        <f t="shared" si="31"/>
        <v>13.584961308800477</v>
      </c>
      <c r="AX38" s="534">
        <f t="shared" si="32"/>
        <v>6.7648788485902429</v>
      </c>
      <c r="AY38" s="9"/>
      <c r="AZ38" s="4">
        <f t="shared" si="48"/>
        <v>95.237366931487514</v>
      </c>
      <c r="BA38" s="348">
        <f t="shared" si="33"/>
        <v>0.2644682876776247</v>
      </c>
      <c r="BB38" s="348">
        <f t="shared" si="34"/>
        <v>0.49223119925644637</v>
      </c>
      <c r="BC38" s="348">
        <f t="shared" si="35"/>
        <v>0.32345145973334466</v>
      </c>
      <c r="BD38" s="348">
        <f t="shared" si="36"/>
        <v>0.16621323952310177</v>
      </c>
      <c r="BE38" s="348">
        <f t="shared" si="37"/>
        <v>3.6075750179929478E-2</v>
      </c>
    </row>
    <row r="39" spans="1:57" x14ac:dyDescent="0.25">
      <c r="A39" s="23" t="s">
        <v>70</v>
      </c>
      <c r="B39" s="5">
        <f>Qg_Q1*1000000000</f>
        <v>8</v>
      </c>
      <c r="C39" s="427" t="s">
        <v>65</v>
      </c>
      <c r="D39" s="21" t="s">
        <v>99</v>
      </c>
      <c r="G39">
        <v>30</v>
      </c>
      <c r="H39" s="531">
        <f t="shared" si="0"/>
        <v>50</v>
      </c>
      <c r="I39" s="4">
        <f t="shared" si="1"/>
        <v>1</v>
      </c>
      <c r="J39" s="348">
        <f t="shared" si="38"/>
        <v>1.5</v>
      </c>
      <c r="K39" s="348">
        <f t="shared" si="2"/>
        <v>1.5</v>
      </c>
      <c r="L39" s="4">
        <f t="shared" si="3"/>
        <v>0.4</v>
      </c>
      <c r="M39" s="348">
        <f t="shared" si="4"/>
        <v>0.24033053850531547</v>
      </c>
      <c r="N39" s="4">
        <f t="shared" si="5"/>
        <v>13.828746633608697</v>
      </c>
      <c r="O39" s="4">
        <f t="shared" si="39"/>
        <v>8.4143733168043475</v>
      </c>
      <c r="P39" s="4">
        <f t="shared" si="40"/>
        <v>-5.4143733168043484</v>
      </c>
      <c r="Q39" s="4">
        <f t="shared" si="6"/>
        <v>50</v>
      </c>
      <c r="R39" s="4">
        <f t="shared" si="41"/>
        <v>4.264526482668229</v>
      </c>
      <c r="S39" s="348">
        <f t="shared" si="7"/>
        <v>6.3651651424825303E-2</v>
      </c>
      <c r="T39" s="348">
        <f t="shared" si="8"/>
        <v>0.2</v>
      </c>
      <c r="U39" s="348">
        <f t="shared" si="9"/>
        <v>0.26500107189325367</v>
      </c>
      <c r="V39" s="4">
        <f t="shared" si="42"/>
        <v>3.9920152957345563</v>
      </c>
      <c r="W39" s="348">
        <f t="shared" si="10"/>
        <v>1.5936186121378659E-2</v>
      </c>
      <c r="X39" s="348">
        <f t="shared" si="43"/>
        <v>1.5936186121378659E-2</v>
      </c>
      <c r="Y39" s="4">
        <f t="shared" si="44"/>
        <v>1.8221647026763093</v>
      </c>
      <c r="Z39" s="348">
        <f t="shared" si="11"/>
        <v>3.3202842036794428E-3</v>
      </c>
      <c r="AA39" s="525">
        <f t="shared" si="45"/>
        <v>3.3202842036794428E-3</v>
      </c>
      <c r="AB39" s="348">
        <f t="shared" si="46"/>
        <v>2.0906209374032461</v>
      </c>
      <c r="AC39" s="348">
        <f t="shared" si="12"/>
        <v>5.2448350846905932E-2</v>
      </c>
      <c r="AD39" s="348">
        <f t="shared" si="13"/>
        <v>8.7551499484602502E-2</v>
      </c>
      <c r="AE39" s="348">
        <f t="shared" si="14"/>
        <v>0</v>
      </c>
      <c r="AF39" s="348">
        <f t="shared" si="15"/>
        <v>1.5918257551404781E-2</v>
      </c>
      <c r="AG39" s="348">
        <f t="shared" si="16"/>
        <v>0.15730416568694686</v>
      </c>
      <c r="AH39" s="348">
        <f t="shared" si="17"/>
        <v>3.7169194526475593</v>
      </c>
      <c r="AI39" s="348">
        <f t="shared" si="18"/>
        <v>5.6643509891626302E-2</v>
      </c>
      <c r="AJ39" s="348">
        <f t="shared" si="19"/>
        <v>2.4738257551404776E-2</v>
      </c>
      <c r="AK39" s="348">
        <f t="shared" si="20"/>
        <v>8.2139219463793656E-2</v>
      </c>
      <c r="AL39" s="348">
        <f t="shared" si="21"/>
        <v>8.819999999999998E-3</v>
      </c>
      <c r="AM39" s="348">
        <f t="shared" si="22"/>
        <v>0.26549999999999996</v>
      </c>
      <c r="AN39" s="348">
        <f t="shared" si="23"/>
        <v>3.6372372242757314E-2</v>
      </c>
      <c r="AO39" s="348">
        <f t="shared" si="24"/>
        <v>1.1E-4</v>
      </c>
      <c r="AP39" s="348">
        <f t="shared" si="25"/>
        <v>4.9499999999999995E-2</v>
      </c>
      <c r="AQ39" s="348">
        <f t="shared" si="26"/>
        <v>0.46453846153846151</v>
      </c>
      <c r="AR39" s="348">
        <f t="shared" si="27"/>
        <v>0.44549999999999995</v>
      </c>
      <c r="AS39" s="348">
        <f t="shared" si="28"/>
        <v>4.9609999999999994E-2</v>
      </c>
      <c r="AT39" s="348">
        <f t="shared" si="29"/>
        <v>0.88400329961180968</v>
      </c>
      <c r="AU39">
        <f t="shared" si="30"/>
        <v>18</v>
      </c>
      <c r="AV39" s="526">
        <f t="shared" si="47"/>
        <v>0.95318771737187835</v>
      </c>
      <c r="AW39" s="534">
        <f t="shared" si="31"/>
        <v>13.966434958851767</v>
      </c>
      <c r="AX39" s="534">
        <f t="shared" si="32"/>
        <v>6.9089967321764023</v>
      </c>
      <c r="AY39" s="9"/>
      <c r="AZ39" s="4">
        <f t="shared" si="48"/>
        <v>95.318771737187831</v>
      </c>
      <c r="BA39" s="348">
        <f t="shared" si="33"/>
        <v>0.26500107189325367</v>
      </c>
      <c r="BB39" s="348">
        <f t="shared" si="34"/>
        <v>0.50494338515074044</v>
      </c>
      <c r="BC39" s="348">
        <f t="shared" si="35"/>
        <v>0.33253416568694683</v>
      </c>
      <c r="BD39" s="348">
        <f t="shared" si="36"/>
        <v>0.16975421946379365</v>
      </c>
      <c r="BE39" s="348">
        <f t="shared" si="37"/>
        <v>3.6372372242757314E-2</v>
      </c>
    </row>
    <row r="40" spans="1:57" x14ac:dyDescent="0.25">
      <c r="A40" s="23" t="s">
        <v>120</v>
      </c>
      <c r="B40" s="5">
        <f>Qgd_Q1*1000000000</f>
        <v>2.9</v>
      </c>
      <c r="C40" s="427" t="s">
        <v>65</v>
      </c>
      <c r="D40" s="21" t="s">
        <v>121</v>
      </c>
      <c r="G40">
        <v>31</v>
      </c>
      <c r="H40" s="531">
        <f t="shared" si="0"/>
        <v>50</v>
      </c>
      <c r="I40" s="4">
        <f t="shared" si="1"/>
        <v>1</v>
      </c>
      <c r="J40" s="348">
        <f t="shared" si="38"/>
        <v>1.55</v>
      </c>
      <c r="K40" s="348">
        <f t="shared" si="2"/>
        <v>1.55</v>
      </c>
      <c r="L40" s="4">
        <f t="shared" si="3"/>
        <v>0.41333333333333339</v>
      </c>
      <c r="M40" s="348">
        <f t="shared" si="4"/>
        <v>0.24034155847104433</v>
      </c>
      <c r="N40" s="4">
        <f t="shared" si="5"/>
        <v>13.829098509026389</v>
      </c>
      <c r="O40" s="4">
        <f t="shared" si="39"/>
        <v>8.4645492545131944</v>
      </c>
      <c r="P40" s="4">
        <f t="shared" si="40"/>
        <v>-5.3645492545131948</v>
      </c>
      <c r="Q40" s="4">
        <f t="shared" si="6"/>
        <v>50</v>
      </c>
      <c r="R40" s="4">
        <f t="shared" si="41"/>
        <v>4.2824639088998353</v>
      </c>
      <c r="S40" s="348">
        <f t="shared" si="7"/>
        <v>6.4188239958603802E-2</v>
      </c>
      <c r="T40" s="348">
        <f t="shared" si="8"/>
        <v>0.2</v>
      </c>
      <c r="U40" s="348">
        <f t="shared" si="9"/>
        <v>0.2655518645026157</v>
      </c>
      <c r="V40" s="4">
        <f t="shared" si="42"/>
        <v>3.9921168734181194</v>
      </c>
      <c r="W40" s="348">
        <f t="shared" si="10"/>
        <v>1.5936997131029661E-2</v>
      </c>
      <c r="X40" s="348">
        <f t="shared" si="43"/>
        <v>1.5936997131029661E-2</v>
      </c>
      <c r="Y40" s="4">
        <f t="shared" si="44"/>
        <v>1.8298577602332429</v>
      </c>
      <c r="Z40" s="348">
        <f t="shared" si="11"/>
        <v>3.3483794226858202E-3</v>
      </c>
      <c r="AA40" s="525">
        <f t="shared" si="45"/>
        <v>3.3483794226858202E-3</v>
      </c>
      <c r="AB40" s="348">
        <f t="shared" si="46"/>
        <v>2.0994626269707481</v>
      </c>
      <c r="AC40" s="348">
        <f t="shared" si="12"/>
        <v>5.2892919864562973E-2</v>
      </c>
      <c r="AD40" s="348">
        <f t="shared" si="13"/>
        <v>9.0469882800755921E-2</v>
      </c>
      <c r="AE40" s="348">
        <f t="shared" si="14"/>
        <v>0</v>
      </c>
      <c r="AF40" s="348">
        <f t="shared" si="15"/>
        <v>1.5771774808268791E-2</v>
      </c>
      <c r="AG40" s="348">
        <f t="shared" si="16"/>
        <v>0.16056132711823459</v>
      </c>
      <c r="AH40" s="348">
        <f t="shared" si="17"/>
        <v>3.7325264646058098</v>
      </c>
      <c r="AI40" s="348">
        <f t="shared" si="18"/>
        <v>5.7120190616829249E-2</v>
      </c>
      <c r="AJ40" s="348">
        <f t="shared" si="19"/>
        <v>2.4885774808268788E-2</v>
      </c>
      <c r="AK40" s="348">
        <f t="shared" si="20"/>
        <v>8.2775710584046328E-2</v>
      </c>
      <c r="AL40" s="348">
        <f t="shared" si="21"/>
        <v>9.1139999999999988E-3</v>
      </c>
      <c r="AM40" s="348">
        <f t="shared" si="22"/>
        <v>0.27434999999999998</v>
      </c>
      <c r="AN40" s="348">
        <f t="shared" si="23"/>
        <v>3.6678994262059311E-2</v>
      </c>
      <c r="AO40" s="348">
        <f t="shared" si="24"/>
        <v>1.1E-4</v>
      </c>
      <c r="AP40" s="348">
        <f t="shared" si="25"/>
        <v>4.9499999999999995E-2</v>
      </c>
      <c r="AQ40" s="348">
        <f t="shared" si="26"/>
        <v>0.46453846153846151</v>
      </c>
      <c r="AR40" s="348">
        <f t="shared" si="27"/>
        <v>0.44549999999999995</v>
      </c>
      <c r="AS40" s="348">
        <f t="shared" si="28"/>
        <v>4.9609999999999994E-2</v>
      </c>
      <c r="AT40" s="348">
        <f t="shared" si="29"/>
        <v>0.89792727302067143</v>
      </c>
      <c r="AU40">
        <f t="shared" si="30"/>
        <v>18.600000000000001</v>
      </c>
      <c r="AV40" s="526">
        <f t="shared" si="47"/>
        <v>0.95394755245276075</v>
      </c>
      <c r="AW40" s="534">
        <f t="shared" si="31"/>
        <v>14.348557738965853</v>
      </c>
      <c r="AX40" s="534">
        <f t="shared" si="32"/>
        <v>7.0537662707706863</v>
      </c>
      <c r="AY40" s="9"/>
      <c r="AZ40" s="4">
        <f t="shared" si="48"/>
        <v>95.394755245276073</v>
      </c>
      <c r="BA40" s="348">
        <f t="shared" si="33"/>
        <v>0.2655518645026157</v>
      </c>
      <c r="BB40" s="348">
        <f t="shared" si="34"/>
        <v>0.51768703770228086</v>
      </c>
      <c r="BC40" s="348">
        <f t="shared" si="35"/>
        <v>0.3416323271182346</v>
      </c>
      <c r="BD40" s="348">
        <f t="shared" si="36"/>
        <v>0.17331121058404633</v>
      </c>
      <c r="BE40" s="348">
        <f t="shared" si="37"/>
        <v>3.6678994262059311E-2</v>
      </c>
    </row>
    <row r="41" spans="1:57" x14ac:dyDescent="0.25">
      <c r="A41" s="23" t="s">
        <v>124</v>
      </c>
      <c r="B41" s="5">
        <f>Qgs_Q1*1000000000</f>
        <v>3.1</v>
      </c>
      <c r="C41" s="427" t="s">
        <v>65</v>
      </c>
      <c r="D41" s="21"/>
      <c r="G41">
        <v>32</v>
      </c>
      <c r="H41" s="531">
        <f t="shared" ref="H41:H72" si="49">Vin</f>
        <v>50</v>
      </c>
      <c r="I41" s="4">
        <f t="shared" ref="I41:I72" si="50">MODE</f>
        <v>1</v>
      </c>
      <c r="J41" s="348">
        <f t="shared" si="38"/>
        <v>1.6</v>
      </c>
      <c r="K41" s="348">
        <f t="shared" ref="K41:K72" si="51">Iout*G41/100/Number_of_Phases</f>
        <v>1.6</v>
      </c>
      <c r="L41" s="4">
        <f t="shared" ref="L41:L72" si="52">Vout*K41/(Vin*Efficiency)</f>
        <v>0.42666666666666675</v>
      </c>
      <c r="M41" s="348">
        <f t="shared" ref="M41:M72" si="53">(Vout+(Rdson2+Rs+Rdcr)*K41)/(Vin+(Rs+Rdson2-Rdson1)*K41)</f>
        <v>0.2403525785668334</v>
      </c>
      <c r="N41" s="4">
        <f t="shared" ref="N41:N72" si="54">(Vin-(Rdson1+Rdcr)*K41-Vout)*M41/(Fsw*Lf)</f>
        <v>13.82945036604729</v>
      </c>
      <c r="O41" s="4">
        <f t="shared" si="39"/>
        <v>8.5147251830236446</v>
      </c>
      <c r="P41" s="4">
        <f t="shared" si="40"/>
        <v>-5.3147251830236453</v>
      </c>
      <c r="Q41" s="4">
        <f t="shared" ref="Q41:Q72" si="55">IF(MIN(Vin, -P41/(Coss_Q1+Coss_Q2)*0.00000002)&lt;0, 0, MIN(Vin, -P41/(Coss_Q1+Coss_Q2)*0.00000002))</f>
        <v>50</v>
      </c>
      <c r="R41" s="4">
        <f t="shared" si="41"/>
        <v>4.3009078249729784</v>
      </c>
      <c r="S41" s="348">
        <f t="shared" ref="S41:S72" si="56">R41^2*Rdcr</f>
        <v>6.4742328416198286E-2</v>
      </c>
      <c r="T41" s="348">
        <f t="shared" ref="T41:T72" si="57">Core_Loss_Ch1</f>
        <v>0.2</v>
      </c>
      <c r="U41" s="348">
        <f t="shared" ref="U41:U72" si="58">(T41+S41*(1+Ltc*(Ta-25)))/(1-S41*Ltc*ThetaCa)</f>
        <v>0.26612067016227703</v>
      </c>
      <c r="V41" s="4">
        <f t="shared" si="42"/>
        <v>3.9922184457909857</v>
      </c>
      <c r="W41" s="348">
        <f t="shared" si="10"/>
        <v>1.5937808118913793E-2</v>
      </c>
      <c r="X41" s="348">
        <f t="shared" si="43"/>
        <v>1.5937808118913793E-2</v>
      </c>
      <c r="Y41" s="4">
        <f t="shared" si="44"/>
        <v>1.8377674785860398</v>
      </c>
      <c r="Z41" s="348">
        <f t="shared" si="11"/>
        <v>3.3773893053484906E-3</v>
      </c>
      <c r="AA41" s="525">
        <f t="shared" si="45"/>
        <v>3.3773893053484906E-3</v>
      </c>
      <c r="AB41" s="348">
        <f t="shared" si="46"/>
        <v>2.1085530297375583</v>
      </c>
      <c r="AC41" s="348">
        <f t="shared" ref="AC41:AC72" si="59">Rdson1*AB41^2</f>
        <v>5.3351950550585239E-2</v>
      </c>
      <c r="AD41" s="348">
        <f t="shared" ref="AD41:AD72" si="60">(Vin*K41/2)*Fsw*(Tr_buck+Tf_buck)</f>
        <v>9.3388266116909341E-2</v>
      </c>
      <c r="AE41" s="348">
        <f t="shared" ref="AE41:AE72" si="61">(0.5*Coss_Q1*(Vin-Q41)^2-0.5*Coss_Q2*(Vin-Q41)^2+(Qoss_Q2*(Vin-Q41)/Vin)*Vin)*Fsw</f>
        <v>0</v>
      </c>
      <c r="AF41" s="348">
        <f t="shared" ref="AF41:AF72" si="62">IF(K41&gt;N41/2,0,ABS(K41-N41/2)*Vsd_Q1*Deadtime*Fsw)</f>
        <v>1.5625292038089517E-2</v>
      </c>
      <c r="AG41" s="348">
        <f t="shared" ref="AG41:AG72" si="63">(AF41+AE41+AD41+AC41*(1+RdsonTopTc*Ta-RdsonTopTc*25))/(1-AC41*RdsonTopTc*ThetaJA_Q1)</f>
        <v>0.16383397353070922</v>
      </c>
      <c r="AH41" s="348">
        <f t="shared" ref="AH41:AH72" si="64">SQRT((1-M41))*SQRT(K41^2+(N41^2)/12)</f>
        <v>3.748574694426984</v>
      </c>
      <c r="AI41" s="348">
        <f t="shared" ref="AI41:AI72" si="65">Rdson2*AH41^2</f>
        <v>5.7612430182763255E-2</v>
      </c>
      <c r="AJ41" s="348">
        <f t="shared" ref="AJ41:AJ72" si="66">IF(K41&lt;N41/2,Deadtime*Fsw*IF(VfdSky_Q2&gt;0,0,Vsd_Q2)*(K41+N41/2),2*Deadtime*Fsw*IF(VfdSky_Q2&gt;0,0,Vsd_Q2)*K41)</f>
        <v>2.5033292038089509E-2</v>
      </c>
      <c r="AK41" s="348">
        <f t="shared" ref="AK41:AK72" si="67">(AJ41+AI41*(1+RdsonBotTc*Ta-RdsonBotTc*25))/(1-AI41*RdsonBotTc*ThetaJA_Q2)</f>
        <v>8.3428220835694608E-2</v>
      </c>
      <c r="AL41" s="348">
        <f t="shared" ref="AL41:AL72" si="68">2*Deadtime*Fsw*IF(VfdSky_Q2&gt;0,VfdSky_Q2,Vsd_Q2)*K41</f>
        <v>9.4079999999999997E-3</v>
      </c>
      <c r="AM41" s="348">
        <f t="shared" ref="AM41:AM72" si="69">IF(QrrSky_Q2&gt;0,QrrSky_Q2,Qrr_Q2*K41/(Iout/Number_of_Phases))*Fsw*Vin</f>
        <v>0.28320000000000001</v>
      </c>
      <c r="AN41" s="348">
        <f t="shared" ref="AN41:AN72" si="70">Rs*R41^2</f>
        <v>3.6995616237827593E-2</v>
      </c>
      <c r="AO41" s="348">
        <f t="shared" ref="AO41:AO72" si="71">Iq*Vin</f>
        <v>1.1E-4</v>
      </c>
      <c r="AP41" s="348">
        <f t="shared" ref="AP41:AP72" si="72">IF(Ext_VCC=1,  (Qg_Q1+Qg_Q2)*Fsw*VCC, (Qg_Q1+Qg_Q2)*Fsw*Vin)</f>
        <v>4.9499999999999995E-2</v>
      </c>
      <c r="AQ41" s="348">
        <f t="shared" si="26"/>
        <v>0.46453846153846151</v>
      </c>
      <c r="AR41" s="348">
        <f t="shared" ref="AR41:AR72" si="73">(Qg_Q1+Qg_Q2)*Fsw*(Vin-VCC)</f>
        <v>0.44549999999999995</v>
      </c>
      <c r="AS41" s="348">
        <f t="shared" ref="AS41:AS74" si="74">SUM(AO41:AP41)</f>
        <v>4.9609999999999994E-2</v>
      </c>
      <c r="AT41" s="348">
        <f t="shared" ref="AT41:AT72" si="75" xml:space="preserve"> SUM(U41,X41,AA41,AG41,AK41,AL41,AM41,AS41,AN41)</f>
        <v>0.91191167819077068</v>
      </c>
      <c r="AU41">
        <f t="shared" ref="AU41:AU72" si="76">Vout*K41</f>
        <v>19.200000000000003</v>
      </c>
      <c r="AV41" s="526">
        <f t="shared" si="47"/>
        <v>0.95465813032683311</v>
      </c>
      <c r="AW41" s="534">
        <f t="shared" ref="AW41:AW72" si="77">ThetaJA_Q1*BC41</f>
        <v>14.731330888289788</v>
      </c>
      <c r="AX41" s="534">
        <f t="shared" ref="AX41:AX72" si="78">ThetaJA_Q2*BD41</f>
        <v>7.1991877880127708</v>
      </c>
      <c r="AY41" s="9"/>
      <c r="AZ41" s="4">
        <f t="shared" si="48"/>
        <v>95.465813032683315</v>
      </c>
      <c r="BA41" s="348">
        <f t="shared" ref="BA41:BA72" si="79">U41</f>
        <v>0.26612067016227703</v>
      </c>
      <c r="BB41" s="348">
        <f t="shared" ref="BB41:BB73" si="80">AG41+AK41+AM41</f>
        <v>0.53046219436640385</v>
      </c>
      <c r="BC41" s="348">
        <f t="shared" ref="BC41:BC73" si="81">AG41+AM41*0.66</f>
        <v>0.35074597353070924</v>
      </c>
      <c r="BD41" s="348">
        <f t="shared" ref="BD41:BD73" si="82">AK41+AM41*0.33</f>
        <v>0.17688422083569461</v>
      </c>
      <c r="BE41" s="348">
        <f t="shared" ref="BE41:BE73" si="83">AN41</f>
        <v>3.6995616237827593E-2</v>
      </c>
    </row>
    <row r="42" spans="1:57" x14ac:dyDescent="0.25">
      <c r="A42" s="23" t="s">
        <v>90</v>
      </c>
      <c r="B42" s="5">
        <f>Rgate1</f>
        <v>1.2</v>
      </c>
      <c r="C42" s="431" t="s">
        <v>116</v>
      </c>
      <c r="D42" s="21" t="s">
        <v>100</v>
      </c>
      <c r="G42">
        <v>33</v>
      </c>
      <c r="H42" s="531">
        <f t="shared" si="49"/>
        <v>50</v>
      </c>
      <c r="I42" s="4">
        <f t="shared" si="50"/>
        <v>1</v>
      </c>
      <c r="J42" s="348">
        <f t="shared" ref="J42:J73" si="84">Iout*G42/100</f>
        <v>1.65</v>
      </c>
      <c r="K42" s="348">
        <f t="shared" si="51"/>
        <v>1.65</v>
      </c>
      <c r="L42" s="4">
        <f t="shared" si="52"/>
        <v>0.43999999999999995</v>
      </c>
      <c r="M42" s="348">
        <f t="shared" si="53"/>
        <v>0.24036359879268496</v>
      </c>
      <c r="N42" s="4">
        <f t="shared" si="54"/>
        <v>13.829802204671065</v>
      </c>
      <c r="O42" s="4">
        <f t="shared" si="39"/>
        <v>8.5649011023355328</v>
      </c>
      <c r="P42" s="4">
        <f t="shared" si="40"/>
        <v>-5.2649011023355321</v>
      </c>
      <c r="Q42" s="4">
        <f t="shared" si="55"/>
        <v>50</v>
      </c>
      <c r="R42" s="4">
        <f t="shared" si="41"/>
        <v>4.319851743408222</v>
      </c>
      <c r="S42" s="348">
        <f t="shared" si="56"/>
        <v>6.5313916797594684E-2</v>
      </c>
      <c r="T42" s="348">
        <f t="shared" si="57"/>
        <v>0.2</v>
      </c>
      <c r="U42" s="348">
        <f t="shared" si="58"/>
        <v>0.26670749368172453</v>
      </c>
      <c r="V42" s="4">
        <f t="shared" si="42"/>
        <v>3.9923200128530598</v>
      </c>
      <c r="W42" s="348">
        <f t="shared" si="10"/>
        <v>1.5938619085027056E-2</v>
      </c>
      <c r="X42" s="348">
        <f t="shared" si="43"/>
        <v>1.5938619085027056E-2</v>
      </c>
      <c r="Y42" s="4">
        <f t="shared" si="44"/>
        <v>1.8458910957651156</v>
      </c>
      <c r="Z42" s="348">
        <f t="shared" si="11"/>
        <v>3.4073139374249388E-3</v>
      </c>
      <c r="AA42" s="525">
        <f t="shared" si="45"/>
        <v>3.4073139374249388E-3</v>
      </c>
      <c r="AB42" s="348">
        <f t="shared" si="46"/>
        <v>2.117888982165014</v>
      </c>
      <c r="AC42" s="348">
        <f t="shared" si="59"/>
        <v>5.38254448893115E-2</v>
      </c>
      <c r="AD42" s="348">
        <f t="shared" si="60"/>
        <v>9.6306649433062747E-2</v>
      </c>
      <c r="AE42" s="348">
        <f t="shared" si="61"/>
        <v>0</v>
      </c>
      <c r="AF42" s="348">
        <f t="shared" si="62"/>
        <v>1.5478809240866462E-2</v>
      </c>
      <c r="AG42" s="348">
        <f t="shared" si="63"/>
        <v>0.16712213466914294</v>
      </c>
      <c r="AH42" s="348">
        <f t="shared" si="64"/>
        <v>3.7650584781980605</v>
      </c>
      <c r="AI42" s="348">
        <f t="shared" si="65"/>
        <v>5.8120227911429484E-2</v>
      </c>
      <c r="AJ42" s="348">
        <f t="shared" si="66"/>
        <v>2.5180809240866461E-2</v>
      </c>
      <c r="AK42" s="348">
        <f t="shared" si="67"/>
        <v>8.409675841858455E-2</v>
      </c>
      <c r="AL42" s="348">
        <f t="shared" si="68"/>
        <v>9.7019999999999971E-3</v>
      </c>
      <c r="AM42" s="348">
        <f>IF(QrrSky_Q2&gt;0,QrrSky_Q2,Qrr_Q2*K42/(Iout/Number_of_Phases))*Fsw*Vin</f>
        <v>0.29204999999999998</v>
      </c>
      <c r="AN42" s="348">
        <f t="shared" si="70"/>
        <v>3.732223817005411E-2</v>
      </c>
      <c r="AO42" s="348">
        <f t="shared" si="71"/>
        <v>1.1E-4</v>
      </c>
      <c r="AP42" s="348">
        <f t="shared" si="72"/>
        <v>4.9499999999999995E-2</v>
      </c>
      <c r="AQ42" s="348">
        <f t="shared" si="26"/>
        <v>0.46453846153846151</v>
      </c>
      <c r="AR42" s="348">
        <f t="shared" si="73"/>
        <v>0.44549999999999995</v>
      </c>
      <c r="AS42" s="348">
        <f t="shared" si="74"/>
        <v>4.9609999999999994E-2</v>
      </c>
      <c r="AT42" s="348">
        <f t="shared" si="75"/>
        <v>0.92595655796195819</v>
      </c>
      <c r="AU42">
        <f t="shared" si="76"/>
        <v>19.799999999999997</v>
      </c>
      <c r="AV42" s="526">
        <f t="shared" si="47"/>
        <v>0.95532382038086217</v>
      </c>
      <c r="AW42" s="534">
        <f t="shared" si="77"/>
        <v>15.114755656104002</v>
      </c>
      <c r="AX42" s="534">
        <f t="shared" si="78"/>
        <v>7.3452616176363907</v>
      </c>
      <c r="AY42" s="9"/>
      <c r="AZ42" s="4">
        <f t="shared" si="48"/>
        <v>95.532382038086212</v>
      </c>
      <c r="BA42" s="348">
        <f t="shared" si="79"/>
        <v>0.26670749368172453</v>
      </c>
      <c r="BB42" s="348">
        <f t="shared" si="80"/>
        <v>0.54326889308772741</v>
      </c>
      <c r="BC42" s="348">
        <f t="shared" si="81"/>
        <v>0.35987513466914289</v>
      </c>
      <c r="BD42" s="348">
        <f t="shared" si="82"/>
        <v>0.18047325841858453</v>
      </c>
      <c r="BE42" s="348">
        <f t="shared" si="83"/>
        <v>3.732223817005411E-2</v>
      </c>
    </row>
    <row r="43" spans="1:57" x14ac:dyDescent="0.25">
      <c r="A43" s="23" t="s">
        <v>69</v>
      </c>
      <c r="B43" s="5">
        <f>Gfs_Q1</f>
        <v>55</v>
      </c>
      <c r="C43" s="427" t="s">
        <v>66</v>
      </c>
      <c r="D43" s="21" t="s">
        <v>101</v>
      </c>
      <c r="G43">
        <v>34</v>
      </c>
      <c r="H43" s="531">
        <f t="shared" si="49"/>
        <v>50</v>
      </c>
      <c r="I43" s="4">
        <f t="shared" si="50"/>
        <v>1</v>
      </c>
      <c r="J43" s="348">
        <f t="shared" si="84"/>
        <v>1.7</v>
      </c>
      <c r="K43" s="348">
        <f t="shared" si="51"/>
        <v>1.7</v>
      </c>
      <c r="L43" s="4">
        <f t="shared" si="52"/>
        <v>0.45333333333333331</v>
      </c>
      <c r="M43" s="348">
        <f t="shared" si="53"/>
        <v>0.24037461914860123</v>
      </c>
      <c r="N43" s="4">
        <f t="shared" si="54"/>
        <v>13.830154024897395</v>
      </c>
      <c r="O43" s="4">
        <f t="shared" si="39"/>
        <v>8.6150770124486975</v>
      </c>
      <c r="P43" s="4">
        <f t="shared" si="40"/>
        <v>-5.2150770124486971</v>
      </c>
      <c r="Q43" s="4">
        <f t="shared" si="55"/>
        <v>50</v>
      </c>
      <c r="R43" s="4">
        <f t="shared" si="41"/>
        <v>4.3392891156692324</v>
      </c>
      <c r="S43" s="348">
        <f t="shared" si="56"/>
        <v>6.5903005102779147E-2</v>
      </c>
      <c r="T43" s="348">
        <f t="shared" si="57"/>
        <v>0.2</v>
      </c>
      <c r="U43" s="348">
        <f t="shared" si="58"/>
        <v>0.26731234002346738</v>
      </c>
      <c r="V43" s="4">
        <f t="shared" si="42"/>
        <v>3.9924215746042488</v>
      </c>
      <c r="W43" s="348">
        <f t="shared" si="10"/>
        <v>1.5939430029365469E-2</v>
      </c>
      <c r="X43" s="348">
        <f t="shared" si="43"/>
        <v>1.5939430029365469E-2</v>
      </c>
      <c r="Y43" s="4">
        <f t="shared" si="44"/>
        <v>1.8542258235359015</v>
      </c>
      <c r="Z43" s="348">
        <f t="shared" si="11"/>
        <v>3.4381534046673923E-3</v>
      </c>
      <c r="AA43" s="525">
        <f t="shared" si="45"/>
        <v>3.4381534046673923E-3</v>
      </c>
      <c r="AB43" s="348">
        <f t="shared" si="46"/>
        <v>2.1274672904874379</v>
      </c>
      <c r="AC43" s="348">
        <f t="shared" si="59"/>
        <v>5.4313404865127528E-2</v>
      </c>
      <c r="AD43" s="348">
        <f t="shared" si="60"/>
        <v>9.9225032749216166E-2</v>
      </c>
      <c r="AE43" s="348">
        <f t="shared" si="61"/>
        <v>0</v>
      </c>
      <c r="AF43" s="348">
        <f t="shared" si="62"/>
        <v>1.5332326416599169E-2</v>
      </c>
      <c r="AG43" s="348">
        <f t="shared" si="63"/>
        <v>0.17042584052045495</v>
      </c>
      <c r="AH43" s="348">
        <f t="shared" si="64"/>
        <v>3.7819720989546588</v>
      </c>
      <c r="AI43" s="348">
        <f t="shared" si="65"/>
        <v>5.864358312481318E-2</v>
      </c>
      <c r="AJ43" s="348">
        <f t="shared" si="66"/>
        <v>2.5328326416599167E-2</v>
      </c>
      <c r="AK43" s="348">
        <f t="shared" si="67"/>
        <v>8.4781331780865735E-2</v>
      </c>
      <c r="AL43" s="348">
        <f t="shared" si="68"/>
        <v>9.9959999999999979E-3</v>
      </c>
      <c r="AM43" s="348">
        <f t="shared" si="69"/>
        <v>0.3009</v>
      </c>
      <c r="AN43" s="348">
        <f t="shared" si="70"/>
        <v>3.7658860058730939E-2</v>
      </c>
      <c r="AO43" s="348">
        <f t="shared" si="71"/>
        <v>1.1E-4</v>
      </c>
      <c r="AP43" s="348">
        <f t="shared" si="72"/>
        <v>4.9499999999999995E-2</v>
      </c>
      <c r="AQ43" s="348">
        <f t="shared" si="26"/>
        <v>0.46453846153846151</v>
      </c>
      <c r="AR43" s="348">
        <f t="shared" si="73"/>
        <v>0.44549999999999995</v>
      </c>
      <c r="AS43" s="348">
        <f t="shared" si="74"/>
        <v>4.9609999999999994E-2</v>
      </c>
      <c r="AT43" s="348">
        <f t="shared" si="75"/>
        <v>0.94006195581755203</v>
      </c>
      <c r="AU43">
        <f t="shared" si="76"/>
        <v>20.399999999999999</v>
      </c>
      <c r="AV43" s="526">
        <f t="shared" si="47"/>
        <v>0.9559484898514421</v>
      </c>
      <c r="AW43" s="534">
        <f t="shared" si="77"/>
        <v>15.49883330185911</v>
      </c>
      <c r="AX43" s="534">
        <f t="shared" si="78"/>
        <v>7.4919881034812361</v>
      </c>
      <c r="AY43" s="9"/>
      <c r="AZ43" s="4">
        <f t="shared" si="48"/>
        <v>95.59484898514421</v>
      </c>
      <c r="BA43" s="348">
        <f t="shared" si="79"/>
        <v>0.26731234002346738</v>
      </c>
      <c r="BB43" s="348">
        <f t="shared" si="80"/>
        <v>0.55610717230132067</v>
      </c>
      <c r="BC43" s="348">
        <f t="shared" si="81"/>
        <v>0.369019840520455</v>
      </c>
      <c r="BD43" s="348">
        <f t="shared" si="82"/>
        <v>0.18407833178086574</v>
      </c>
      <c r="BE43" s="348">
        <f t="shared" si="83"/>
        <v>3.7658860058730939E-2</v>
      </c>
    </row>
    <row r="44" spans="1:57" x14ac:dyDescent="0.25">
      <c r="A44" s="23" t="s">
        <v>92</v>
      </c>
      <c r="B44" s="5">
        <f>Vth_Q1</f>
        <v>3.1</v>
      </c>
      <c r="C44" s="427" t="s">
        <v>0</v>
      </c>
      <c r="D44" s="21" t="s">
        <v>102</v>
      </c>
      <c r="G44">
        <v>35</v>
      </c>
      <c r="H44" s="531">
        <f t="shared" si="49"/>
        <v>50</v>
      </c>
      <c r="I44" s="4">
        <f t="shared" si="50"/>
        <v>1</v>
      </c>
      <c r="J44" s="348">
        <f t="shared" si="84"/>
        <v>1.75</v>
      </c>
      <c r="K44" s="348">
        <f t="shared" si="51"/>
        <v>1.75</v>
      </c>
      <c r="L44" s="4">
        <f t="shared" si="52"/>
        <v>0.46666666666666667</v>
      </c>
      <c r="M44" s="348">
        <f t="shared" si="53"/>
        <v>0.24038563963458454</v>
      </c>
      <c r="N44" s="4">
        <f t="shared" si="54"/>
        <v>13.830505826725947</v>
      </c>
      <c r="O44" s="4">
        <f t="shared" si="39"/>
        <v>8.6652529133629734</v>
      </c>
      <c r="P44" s="4">
        <f t="shared" si="40"/>
        <v>-5.1652529133629734</v>
      </c>
      <c r="Q44" s="4">
        <f t="shared" si="55"/>
        <v>50</v>
      </c>
      <c r="R44" s="4">
        <f t="shared" si="41"/>
        <v>4.3592133409509835</v>
      </c>
      <c r="S44" s="348">
        <f t="shared" si="56"/>
        <v>6.6509593331737615E-2</v>
      </c>
      <c r="T44" s="348">
        <f t="shared" si="57"/>
        <v>0.2</v>
      </c>
      <c r="U44" s="348">
        <f t="shared" si="58"/>
        <v>0.26793521430314193</v>
      </c>
      <c r="V44" s="4">
        <f t="shared" si="42"/>
        <v>3.9925231310444569</v>
      </c>
      <c r="W44" s="348">
        <f t="shared" si="10"/>
        <v>1.5940240951925033E-2</v>
      </c>
      <c r="X44" s="348">
        <f t="shared" si="43"/>
        <v>1.5940240951925033E-2</v>
      </c>
      <c r="Y44" s="4">
        <f t="shared" si="44"/>
        <v>1.8627688511521792</v>
      </c>
      <c r="Z44" s="348">
        <f t="shared" si="11"/>
        <v>3.4699077928228095E-3</v>
      </c>
      <c r="AA44" s="525">
        <f t="shared" si="45"/>
        <v>3.4699077928228095E-3</v>
      </c>
      <c r="AB44" s="348">
        <f t="shared" si="46"/>
        <v>2.1372847350174973</v>
      </c>
      <c r="AC44" s="348">
        <f t="shared" si="59"/>
        <v>5.4815832462465762E-2</v>
      </c>
      <c r="AD44" s="348">
        <f t="shared" si="60"/>
        <v>0.10214341606536959</v>
      </c>
      <c r="AE44" s="348">
        <f t="shared" si="61"/>
        <v>0</v>
      </c>
      <c r="AF44" s="348">
        <f t="shared" si="62"/>
        <v>1.5185843565287139E-2</v>
      </c>
      <c r="AG44" s="348">
        <f t="shared" si="63"/>
        <v>0.17374512131459596</v>
      </c>
      <c r="AH44" s="348">
        <f t="shared" si="64"/>
        <v>3.7993097943424177</v>
      </c>
      <c r="AI44" s="348">
        <f t="shared" si="65"/>
        <v>5.918249514488351E-2</v>
      </c>
      <c r="AJ44" s="348">
        <f t="shared" si="66"/>
        <v>2.5475843565287138E-2</v>
      </c>
      <c r="AK44" s="348">
        <f t="shared" si="67"/>
        <v>8.548194961929298E-2</v>
      </c>
      <c r="AL44" s="348">
        <f t="shared" si="68"/>
        <v>1.0289999999999999E-2</v>
      </c>
      <c r="AM44" s="348">
        <f t="shared" si="69"/>
        <v>0.30975000000000003</v>
      </c>
      <c r="AN44" s="348">
        <f t="shared" si="70"/>
        <v>3.8005481903850072E-2</v>
      </c>
      <c r="AO44" s="348">
        <f t="shared" si="71"/>
        <v>1.1E-4</v>
      </c>
      <c r="AP44" s="348">
        <f t="shared" si="72"/>
        <v>4.9499999999999995E-2</v>
      </c>
      <c r="AQ44" s="348">
        <f t="shared" si="26"/>
        <v>0.46453846153846151</v>
      </c>
      <c r="AR44" s="348">
        <f t="shared" si="73"/>
        <v>0.44549999999999995</v>
      </c>
      <c r="AS44" s="348">
        <f t="shared" si="74"/>
        <v>4.9609999999999994E-2</v>
      </c>
      <c r="AT44" s="348">
        <f t="shared" si="75"/>
        <v>0.95422791588562883</v>
      </c>
      <c r="AU44">
        <f t="shared" si="76"/>
        <v>21</v>
      </c>
      <c r="AV44" s="526">
        <f t="shared" si="47"/>
        <v>0.95653557394313249</v>
      </c>
      <c r="AW44" s="534">
        <f t="shared" si="77"/>
        <v>15.883565095213031</v>
      </c>
      <c r="AX44" s="534">
        <f t="shared" si="78"/>
        <v>7.639367599505225</v>
      </c>
      <c r="AY44" s="9"/>
      <c r="AZ44" s="4">
        <f t="shared" si="48"/>
        <v>95.653557394313253</v>
      </c>
      <c r="BA44" s="348">
        <f t="shared" si="79"/>
        <v>0.26793521430314193</v>
      </c>
      <c r="BB44" s="348">
        <f t="shared" si="80"/>
        <v>0.56897707093388905</v>
      </c>
      <c r="BC44" s="348">
        <f t="shared" si="81"/>
        <v>0.378180121314596</v>
      </c>
      <c r="BD44" s="348">
        <f t="shared" si="82"/>
        <v>0.187699449619293</v>
      </c>
      <c r="BE44" s="348">
        <f t="shared" si="83"/>
        <v>3.8005481903850072E-2</v>
      </c>
    </row>
    <row r="45" spans="1:57" x14ac:dyDescent="0.25">
      <c r="A45" s="28" t="s">
        <v>123</v>
      </c>
      <c r="B45" s="434">
        <f>Vsp_Q1</f>
        <v>3.1909090909090909</v>
      </c>
      <c r="C45" s="432" t="s">
        <v>0</v>
      </c>
      <c r="G45">
        <v>36</v>
      </c>
      <c r="H45" s="531">
        <f t="shared" si="49"/>
        <v>50</v>
      </c>
      <c r="I45" s="4">
        <f t="shared" si="50"/>
        <v>1</v>
      </c>
      <c r="J45" s="348">
        <f t="shared" si="84"/>
        <v>1.8</v>
      </c>
      <c r="K45" s="348">
        <f t="shared" si="51"/>
        <v>1.8</v>
      </c>
      <c r="L45" s="4">
        <f t="shared" si="52"/>
        <v>0.48000000000000004</v>
      </c>
      <c r="M45" s="348">
        <f t="shared" si="53"/>
        <v>0.24039666025063725</v>
      </c>
      <c r="N45" s="4">
        <f t="shared" si="54"/>
        <v>13.830857610156396</v>
      </c>
      <c r="O45" s="4">
        <f t="shared" si="39"/>
        <v>8.7154288050781989</v>
      </c>
      <c r="P45" s="4">
        <f t="shared" si="40"/>
        <v>-5.1154288050781984</v>
      </c>
      <c r="Q45" s="4">
        <f t="shared" si="55"/>
        <v>50</v>
      </c>
      <c r="R45" s="4">
        <f t="shared" si="41"/>
        <v>4.3796177747266665</v>
      </c>
      <c r="S45" s="348">
        <f t="shared" si="56"/>
        <v>6.7133681484456142E-2</v>
      </c>
      <c r="T45" s="348">
        <f t="shared" si="57"/>
        <v>0.2</v>
      </c>
      <c r="U45" s="348">
        <f t="shared" si="58"/>
        <v>0.26857612178962054</v>
      </c>
      <c r="V45" s="4">
        <f t="shared" si="42"/>
        <v>3.9926246821735902</v>
      </c>
      <c r="W45" s="348">
        <f t="shared" si="10"/>
        <v>1.5941051852701765E-2</v>
      </c>
      <c r="X45" s="348">
        <f t="shared" si="43"/>
        <v>1.5941051852701765E-2</v>
      </c>
      <c r="Y45" s="4">
        <f t="shared" si="44"/>
        <v>1.8715173490066508</v>
      </c>
      <c r="Z45" s="348">
        <f t="shared" si="11"/>
        <v>3.5025771876328817E-3</v>
      </c>
      <c r="AA45" s="525">
        <f t="shared" si="45"/>
        <v>3.5025771876328817E-3</v>
      </c>
      <c r="AB45" s="348">
        <f t="shared" si="46"/>
        <v>2.1473380743338484</v>
      </c>
      <c r="AC45" s="348">
        <f t="shared" si="59"/>
        <v>5.5332729665805602E-2</v>
      </c>
      <c r="AD45" s="348">
        <f t="shared" si="60"/>
        <v>0.10506179938152301</v>
      </c>
      <c r="AE45" s="348">
        <f t="shared" si="61"/>
        <v>0</v>
      </c>
      <c r="AF45" s="348">
        <f t="shared" si="62"/>
        <v>1.5039360686929902E-2</v>
      </c>
      <c r="AG45" s="348">
        <f t="shared" si="63"/>
        <v>0.17708000752544337</v>
      </c>
      <c r="AH45" s="348">
        <f t="shared" si="64"/>
        <v>3.8170657640677295</v>
      </c>
      <c r="AI45" s="348">
        <f t="shared" si="65"/>
        <v>5.9736963293593626E-2</v>
      </c>
      <c r="AJ45" s="348">
        <f t="shared" si="66"/>
        <v>2.56233606869299E-2</v>
      </c>
      <c r="AK45" s="348">
        <f t="shared" si="67"/>
        <v>8.6198620879537849E-2</v>
      </c>
      <c r="AL45" s="348">
        <f t="shared" si="68"/>
        <v>1.0583999999999998E-2</v>
      </c>
      <c r="AM45" s="348">
        <f t="shared" si="69"/>
        <v>0.31859999999999999</v>
      </c>
      <c r="AN45" s="348">
        <f t="shared" si="70"/>
        <v>3.8362103705403515E-2</v>
      </c>
      <c r="AO45" s="348">
        <f t="shared" si="71"/>
        <v>1.1E-4</v>
      </c>
      <c r="AP45" s="348">
        <f t="shared" si="72"/>
        <v>4.9499999999999995E-2</v>
      </c>
      <c r="AQ45" s="348">
        <f t="shared" si="26"/>
        <v>0.46453846153846151</v>
      </c>
      <c r="AR45" s="348">
        <f t="shared" si="73"/>
        <v>0.44549999999999995</v>
      </c>
      <c r="AS45" s="348">
        <f t="shared" si="74"/>
        <v>4.9609999999999994E-2</v>
      </c>
      <c r="AT45" s="348">
        <f t="shared" si="75"/>
        <v>0.96845448294033998</v>
      </c>
      <c r="AU45">
        <f t="shared" si="76"/>
        <v>21.6</v>
      </c>
      <c r="AV45" s="526">
        <f t="shared" si="47"/>
        <v>0.95708813451659247</v>
      </c>
      <c r="AW45" s="534">
        <f t="shared" si="77"/>
        <v>16.268952316068624</v>
      </c>
      <c r="AX45" s="534">
        <f t="shared" si="78"/>
        <v>7.7874004697971912</v>
      </c>
      <c r="AY45" s="9"/>
      <c r="AZ45" s="4">
        <f t="shared" si="48"/>
        <v>95.708813451659253</v>
      </c>
      <c r="BA45" s="348">
        <f t="shared" si="79"/>
        <v>0.26857612178962054</v>
      </c>
      <c r="BB45" s="348">
        <f t="shared" si="80"/>
        <v>0.58187862840498128</v>
      </c>
      <c r="BC45" s="348">
        <f t="shared" si="81"/>
        <v>0.38735600752544341</v>
      </c>
      <c r="BD45" s="348">
        <f t="shared" si="82"/>
        <v>0.19133662087953784</v>
      </c>
      <c r="BE45" s="348">
        <f t="shared" si="83"/>
        <v>3.8362103705403515E-2</v>
      </c>
    </row>
    <row r="46" spans="1:57" x14ac:dyDescent="0.25">
      <c r="A46" s="77" t="s">
        <v>200</v>
      </c>
      <c r="B46" s="5">
        <f>Vsd_Q1</f>
        <v>0.7</v>
      </c>
      <c r="C46" s="432" t="s">
        <v>0</v>
      </c>
      <c r="G46">
        <v>37</v>
      </c>
      <c r="H46" s="531">
        <f t="shared" si="49"/>
        <v>50</v>
      </c>
      <c r="I46" s="4">
        <f t="shared" si="50"/>
        <v>1</v>
      </c>
      <c r="J46" s="348">
        <f t="shared" si="84"/>
        <v>1.85</v>
      </c>
      <c r="K46" s="348">
        <f t="shared" si="51"/>
        <v>1.85</v>
      </c>
      <c r="L46" s="4">
        <f t="shared" si="52"/>
        <v>0.4933333333333334</v>
      </c>
      <c r="M46" s="348">
        <f t="shared" si="53"/>
        <v>0.24040768099676157</v>
      </c>
      <c r="N46" s="4">
        <f t="shared" si="54"/>
        <v>13.831209375188418</v>
      </c>
      <c r="O46" s="4">
        <f t="shared" si="39"/>
        <v>8.7656046875942089</v>
      </c>
      <c r="P46" s="4">
        <f t="shared" si="40"/>
        <v>-5.0656046875942096</v>
      </c>
      <c r="Q46" s="4">
        <f t="shared" si="55"/>
        <v>50</v>
      </c>
      <c r="R46" s="4">
        <f t="shared" si="41"/>
        <v>4.4004957370382334</v>
      </c>
      <c r="S46" s="348">
        <f t="shared" si="56"/>
        <v>6.7775269560920823E-2</v>
      </c>
      <c r="T46" s="348">
        <f t="shared" si="57"/>
        <v>0.2</v>
      </c>
      <c r="U46" s="348">
        <f t="shared" si="58"/>
        <v>0.26923506790512264</v>
      </c>
      <c r="V46" s="4">
        <f t="shared" si="42"/>
        <v>3.9927262279915547</v>
      </c>
      <c r="W46" s="348">
        <f t="shared" si="10"/>
        <v>1.594186273169167E-2</v>
      </c>
      <c r="X46" s="348">
        <f t="shared" si="43"/>
        <v>1.594186273169167E-2</v>
      </c>
      <c r="Y46" s="4">
        <f t="shared" si="44"/>
        <v>1.8804684721723042</v>
      </c>
      <c r="Z46" s="348">
        <f t="shared" si="11"/>
        <v>3.5361616748340401E-3</v>
      </c>
      <c r="AA46" s="525">
        <f t="shared" si="45"/>
        <v>3.5361616748340401E-3</v>
      </c>
      <c r="AB46" s="348">
        <f t="shared" si="46"/>
        <v>2.1576240493436543</v>
      </c>
      <c r="AC46" s="348">
        <f t="shared" si="59"/>
        <v>5.58640984596733E-2</v>
      </c>
      <c r="AD46" s="348">
        <f t="shared" si="60"/>
        <v>0.10798018269767642</v>
      </c>
      <c r="AE46" s="348">
        <f t="shared" si="61"/>
        <v>0</v>
      </c>
      <c r="AF46" s="348">
        <f t="shared" si="62"/>
        <v>1.4892877781526974E-2</v>
      </c>
      <c r="AG46" s="348">
        <f t="shared" si="63"/>
        <v>0.18043052987170521</v>
      </c>
      <c r="AH46" s="348">
        <f t="shared" si="64"/>
        <v>3.835234177124724</v>
      </c>
      <c r="AI46" s="348">
        <f t="shared" si="65"/>
        <v>6.030698689288079E-2</v>
      </c>
      <c r="AJ46" s="348">
        <f t="shared" si="66"/>
        <v>2.5770877781526969E-2</v>
      </c>
      <c r="AK46" s="348">
        <f t="shared" si="67"/>
        <v>8.6931354756510024E-2</v>
      </c>
      <c r="AL46" s="348">
        <f t="shared" si="68"/>
        <v>1.0877999999999999E-2</v>
      </c>
      <c r="AM46" s="348">
        <f t="shared" si="69"/>
        <v>0.32745000000000002</v>
      </c>
      <c r="AN46" s="348">
        <f t="shared" si="70"/>
        <v>3.872872546338333E-2</v>
      </c>
      <c r="AO46" s="348">
        <f t="shared" si="71"/>
        <v>1.1E-4</v>
      </c>
      <c r="AP46" s="348">
        <f t="shared" si="72"/>
        <v>4.9499999999999995E-2</v>
      </c>
      <c r="AQ46" s="348">
        <f t="shared" si="26"/>
        <v>0.46453846153846151</v>
      </c>
      <c r="AR46" s="348">
        <f t="shared" si="73"/>
        <v>0.44549999999999995</v>
      </c>
      <c r="AS46" s="348">
        <f t="shared" si="74"/>
        <v>4.9609999999999994E-2</v>
      </c>
      <c r="AT46" s="348">
        <f t="shared" si="75"/>
        <v>0.98274170240324699</v>
      </c>
      <c r="AU46">
        <f t="shared" si="76"/>
        <v>22.200000000000003</v>
      </c>
      <c r="AV46" s="526">
        <f t="shared" si="47"/>
        <v>0.95760890946296617</v>
      </c>
      <c r="AW46" s="534">
        <f t="shared" si="77"/>
        <v>16.654996254611621</v>
      </c>
      <c r="AX46" s="534">
        <f t="shared" si="78"/>
        <v>7.936087088589959</v>
      </c>
      <c r="AY46" s="9"/>
      <c r="AZ46" s="4">
        <f t="shared" si="48"/>
        <v>95.760890946296612</v>
      </c>
      <c r="BA46" s="348">
        <f t="shared" si="79"/>
        <v>0.26923506790512264</v>
      </c>
      <c r="BB46" s="348">
        <f t="shared" si="80"/>
        <v>0.59481188462821533</v>
      </c>
      <c r="BC46" s="348">
        <f t="shared" si="81"/>
        <v>0.39654752987170527</v>
      </c>
      <c r="BD46" s="348">
        <f t="shared" si="82"/>
        <v>0.19498985475651004</v>
      </c>
      <c r="BE46" s="348">
        <f t="shared" si="83"/>
        <v>3.872872546338333E-2</v>
      </c>
    </row>
    <row r="47" spans="1:57" ht="15.6" x14ac:dyDescent="0.35">
      <c r="A47" s="433" t="s">
        <v>456</v>
      </c>
      <c r="B47" s="5">
        <f>ThetaJA_Q1</f>
        <v>42</v>
      </c>
      <c r="C47" s="428" t="s">
        <v>202</v>
      </c>
      <c r="D47" s="21" t="s">
        <v>103</v>
      </c>
      <c r="G47">
        <v>38</v>
      </c>
      <c r="H47" s="531">
        <f t="shared" si="49"/>
        <v>50</v>
      </c>
      <c r="I47" s="4">
        <f t="shared" si="50"/>
        <v>1</v>
      </c>
      <c r="J47" s="348">
        <f t="shared" si="84"/>
        <v>1.9</v>
      </c>
      <c r="K47" s="348">
        <f t="shared" si="51"/>
        <v>1.9</v>
      </c>
      <c r="L47" s="4">
        <f t="shared" si="52"/>
        <v>0.5066666666666666</v>
      </c>
      <c r="M47" s="348">
        <f t="shared" si="53"/>
        <v>0.24041870187295991</v>
      </c>
      <c r="N47" s="4">
        <f t="shared" si="54"/>
        <v>13.831561121821695</v>
      </c>
      <c r="O47" s="4">
        <f t="shared" si="39"/>
        <v>8.8157805609108468</v>
      </c>
      <c r="P47" s="4">
        <f t="shared" si="40"/>
        <v>-5.0157805609108479</v>
      </c>
      <c r="Q47" s="4">
        <f t="shared" si="55"/>
        <v>50</v>
      </c>
      <c r="R47" s="4">
        <f t="shared" si="41"/>
        <v>4.4218405205175353</v>
      </c>
      <c r="S47" s="348">
        <f t="shared" si="56"/>
        <v>6.8434357561117751E-2</v>
      </c>
      <c r="T47" s="348">
        <f t="shared" si="57"/>
        <v>0.2</v>
      </c>
      <c r="U47" s="348">
        <f t="shared" si="58"/>
        <v>0.26991205822532971</v>
      </c>
      <c r="V47" s="4">
        <f t="shared" si="42"/>
        <v>3.9928277684982589</v>
      </c>
      <c r="W47" s="348">
        <f t="shared" si="10"/>
        <v>1.5942673588890788E-2</v>
      </c>
      <c r="X47" s="348">
        <f t="shared" si="43"/>
        <v>1.5942673588890788E-2</v>
      </c>
      <c r="Y47" s="4">
        <f t="shared" si="44"/>
        <v>1.8896193638289829</v>
      </c>
      <c r="Z47" s="348">
        <f t="shared" si="11"/>
        <v>3.5706613401574501E-3</v>
      </c>
      <c r="AA47" s="525">
        <f t="shared" si="45"/>
        <v>3.5706613401574501E-3</v>
      </c>
      <c r="AB47" s="348">
        <f t="shared" si="46"/>
        <v>2.1681393872135692</v>
      </c>
      <c r="AC47" s="348">
        <f t="shared" si="59"/>
        <v>5.640994082864198E-2</v>
      </c>
      <c r="AD47" s="348">
        <f t="shared" si="60"/>
        <v>0.11089856601382983</v>
      </c>
      <c r="AE47" s="348">
        <f t="shared" si="61"/>
        <v>0</v>
      </c>
      <c r="AF47" s="348">
        <f t="shared" si="62"/>
        <v>1.4746394849077893E-2</v>
      </c>
      <c r="AG47" s="348">
        <f t="shared" si="63"/>
        <v>0.18379671931783423</v>
      </c>
      <c r="AH47" s="348">
        <f t="shared" si="64"/>
        <v>3.8538091787871327</v>
      </c>
      <c r="AI47" s="348">
        <f t="shared" si="65"/>
        <v>6.0892565264666208E-2</v>
      </c>
      <c r="AJ47" s="348">
        <f t="shared" si="66"/>
        <v>2.5918394849077885E-2</v>
      </c>
      <c r="AK47" s="348">
        <f t="shared" si="67"/>
        <v>8.7680160694687967E-2</v>
      </c>
      <c r="AL47" s="348">
        <f t="shared" si="68"/>
        <v>1.1171999999999998E-2</v>
      </c>
      <c r="AM47" s="348">
        <f t="shared" si="69"/>
        <v>0.33629999999999999</v>
      </c>
      <c r="AN47" s="348">
        <f t="shared" si="70"/>
        <v>3.9105347177781573E-2</v>
      </c>
      <c r="AO47" s="348">
        <f t="shared" si="71"/>
        <v>1.1E-4</v>
      </c>
      <c r="AP47" s="348">
        <f t="shared" si="72"/>
        <v>4.9499999999999995E-2</v>
      </c>
      <c r="AQ47" s="348">
        <f t="shared" si="26"/>
        <v>0.46453846153846151</v>
      </c>
      <c r="AR47" s="348">
        <f t="shared" si="73"/>
        <v>0.44549999999999995</v>
      </c>
      <c r="AS47" s="348">
        <f t="shared" si="74"/>
        <v>4.9609999999999994E-2</v>
      </c>
      <c r="AT47" s="348">
        <f t="shared" si="75"/>
        <v>0.99708962034468163</v>
      </c>
      <c r="AU47">
        <f t="shared" si="76"/>
        <v>22.799999999999997</v>
      </c>
      <c r="AV47" s="526">
        <f t="shared" si="47"/>
        <v>0.95810035444450958</v>
      </c>
      <c r="AW47" s="534">
        <f t="shared" si="77"/>
        <v>17.04169821134904</v>
      </c>
      <c r="AX47" s="534">
        <f t="shared" si="78"/>
        <v>8.0854278402738018</v>
      </c>
      <c r="AY47" s="9"/>
      <c r="AZ47" s="4">
        <f t="shared" si="48"/>
        <v>95.810035444450961</v>
      </c>
      <c r="BA47" s="348">
        <f t="shared" si="79"/>
        <v>0.26991205822532971</v>
      </c>
      <c r="BB47" s="348">
        <f t="shared" si="80"/>
        <v>0.60777688001252217</v>
      </c>
      <c r="BC47" s="348">
        <f t="shared" si="81"/>
        <v>0.40575471931783424</v>
      </c>
      <c r="BD47" s="348">
        <f t="shared" si="82"/>
        <v>0.19865916069468798</v>
      </c>
      <c r="BE47" s="348">
        <f t="shared" si="83"/>
        <v>3.9105347177781573E-2</v>
      </c>
    </row>
    <row r="48" spans="1:57" x14ac:dyDescent="0.25">
      <c r="A48" s="24" t="s">
        <v>509</v>
      </c>
      <c r="B48" s="15" t="s">
        <v>111</v>
      </c>
      <c r="C48" s="24" t="s">
        <v>76</v>
      </c>
      <c r="D48" s="17" t="s">
        <v>107</v>
      </c>
      <c r="G48">
        <v>39</v>
      </c>
      <c r="H48" s="531">
        <f t="shared" si="49"/>
        <v>50</v>
      </c>
      <c r="I48" s="4">
        <f t="shared" si="50"/>
        <v>1</v>
      </c>
      <c r="J48" s="348">
        <f t="shared" si="84"/>
        <v>1.95</v>
      </c>
      <c r="K48" s="348">
        <f t="shared" si="51"/>
        <v>1.95</v>
      </c>
      <c r="L48" s="4">
        <f t="shared" si="52"/>
        <v>0.52</v>
      </c>
      <c r="M48" s="348">
        <f t="shared" si="53"/>
        <v>0.2404297228792345</v>
      </c>
      <c r="N48" s="4">
        <f t="shared" si="54"/>
        <v>13.831912850055888</v>
      </c>
      <c r="O48" s="4">
        <f t="shared" si="39"/>
        <v>8.8659564250279441</v>
      </c>
      <c r="P48" s="4">
        <f t="shared" si="40"/>
        <v>-4.9659564250279438</v>
      </c>
      <c r="Q48" s="4">
        <f t="shared" si="55"/>
        <v>50</v>
      </c>
      <c r="R48" s="4">
        <f t="shared" si="41"/>
        <v>4.4436453981269812</v>
      </c>
      <c r="S48" s="348">
        <f t="shared" si="56"/>
        <v>6.911094548503284E-2</v>
      </c>
      <c r="T48" s="348">
        <f t="shared" si="57"/>
        <v>0.2</v>
      </c>
      <c r="U48" s="348">
        <f t="shared" si="58"/>
        <v>0.27060709847950326</v>
      </c>
      <c r="V48" s="4">
        <f t="shared" si="42"/>
        <v>3.9929293036936055</v>
      </c>
      <c r="W48" s="348">
        <f t="shared" si="10"/>
        <v>1.5943484424295103E-2</v>
      </c>
      <c r="X48" s="348">
        <f t="shared" si="43"/>
        <v>1.5943484424295103E-2</v>
      </c>
      <c r="Y48" s="4">
        <f t="shared" si="44"/>
        <v>1.8989671585704146</v>
      </c>
      <c r="Z48" s="348">
        <f t="shared" si="11"/>
        <v>3.6060762693289946E-3</v>
      </c>
      <c r="AA48" s="525">
        <f t="shared" si="45"/>
        <v>3.6060762693289946E-3</v>
      </c>
      <c r="AB48" s="348">
        <f t="shared" si="46"/>
        <v>2.1788808051637316</v>
      </c>
      <c r="AC48" s="348">
        <f t="shared" si="59"/>
        <v>5.6970258757331423E-2</v>
      </c>
      <c r="AD48" s="348">
        <f t="shared" si="60"/>
        <v>0.11381694932998325</v>
      </c>
      <c r="AE48" s="348">
        <f t="shared" si="61"/>
        <v>0</v>
      </c>
      <c r="AF48" s="348">
        <f t="shared" si="62"/>
        <v>1.4599911889582153E-2</v>
      </c>
      <c r="AG48" s="348">
        <f t="shared" si="63"/>
        <v>0.18717860707495149</v>
      </c>
      <c r="AH48" s="348">
        <f t="shared" si="64"/>
        <v>3.8727848973554093</v>
      </c>
      <c r="AI48" s="348">
        <f t="shared" si="65"/>
        <v>6.1493697730855001E-2</v>
      </c>
      <c r="AJ48" s="348">
        <f t="shared" si="66"/>
        <v>2.6065911889582152E-2</v>
      </c>
      <c r="AK48" s="348">
        <f t="shared" si="67"/>
        <v>8.8445048388459568E-2</v>
      </c>
      <c r="AL48" s="348">
        <f t="shared" si="68"/>
        <v>1.1465999999999997E-2</v>
      </c>
      <c r="AM48" s="348">
        <f t="shared" si="69"/>
        <v>0.34514999999999996</v>
      </c>
      <c r="AN48" s="348">
        <f t="shared" si="70"/>
        <v>3.94919688485902E-2</v>
      </c>
      <c r="AO48" s="348">
        <f t="shared" si="71"/>
        <v>1.1E-4</v>
      </c>
      <c r="AP48" s="348">
        <f t="shared" si="72"/>
        <v>4.9499999999999995E-2</v>
      </c>
      <c r="AQ48" s="348">
        <f t="shared" si="26"/>
        <v>0.46453846153846151</v>
      </c>
      <c r="AR48" s="348">
        <f t="shared" si="73"/>
        <v>0.44549999999999995</v>
      </c>
      <c r="AS48" s="348">
        <f t="shared" si="74"/>
        <v>4.9609999999999994E-2</v>
      </c>
      <c r="AT48" s="348">
        <f t="shared" si="75"/>
        <v>1.0114982834851287</v>
      </c>
      <c r="AU48">
        <f t="shared" si="76"/>
        <v>23.4</v>
      </c>
      <c r="AV48" s="526">
        <f t="shared" si="47"/>
        <v>0.95856467834383485</v>
      </c>
      <c r="AW48" s="534">
        <f t="shared" si="77"/>
        <v>17.429059497147961</v>
      </c>
      <c r="AX48" s="534">
        <f t="shared" si="78"/>
        <v>8.2354231194103047</v>
      </c>
      <c r="AY48" s="9"/>
      <c r="AZ48" s="4">
        <f t="shared" si="48"/>
        <v>95.85646783438348</v>
      </c>
      <c r="BA48" s="348">
        <f t="shared" si="79"/>
        <v>0.27060709847950326</v>
      </c>
      <c r="BB48" s="348">
        <f t="shared" si="80"/>
        <v>0.62077365546341101</v>
      </c>
      <c r="BC48" s="348">
        <f t="shared" si="81"/>
        <v>0.41497760707495146</v>
      </c>
      <c r="BD48" s="348">
        <f t="shared" si="82"/>
        <v>0.20234454838845956</v>
      </c>
      <c r="BE48" s="348">
        <f t="shared" si="83"/>
        <v>3.94919688485902E-2</v>
      </c>
    </row>
    <row r="49" spans="1:64" x14ac:dyDescent="0.25">
      <c r="A49" s="23" t="s">
        <v>68</v>
      </c>
      <c r="B49" s="5">
        <f>Rdson2*1000</f>
        <v>4.0999999999999996</v>
      </c>
      <c r="C49" s="429" t="s">
        <v>450</v>
      </c>
      <c r="D49" s="427" t="s">
        <v>510</v>
      </c>
      <c r="G49">
        <v>40</v>
      </c>
      <c r="H49" s="531">
        <f t="shared" si="49"/>
        <v>50</v>
      </c>
      <c r="I49" s="4">
        <f t="shared" si="50"/>
        <v>1</v>
      </c>
      <c r="J49" s="348">
        <f t="shared" si="84"/>
        <v>2</v>
      </c>
      <c r="K49" s="348">
        <f t="shared" si="51"/>
        <v>2</v>
      </c>
      <c r="L49" s="4">
        <f t="shared" si="52"/>
        <v>0.53333333333333333</v>
      </c>
      <c r="M49" s="348">
        <f t="shared" si="53"/>
        <v>0.24044074401558768</v>
      </c>
      <c r="N49" s="4">
        <f t="shared" si="54"/>
        <v>13.832264559890678</v>
      </c>
      <c r="O49" s="4">
        <f t="shared" si="39"/>
        <v>8.9161322799453391</v>
      </c>
      <c r="P49" s="4">
        <f t="shared" si="40"/>
        <v>-4.9161322799453391</v>
      </c>
      <c r="Q49" s="4">
        <f t="shared" si="55"/>
        <v>50</v>
      </c>
      <c r="R49" s="4">
        <f t="shared" si="41"/>
        <v>4.4659036306105664</v>
      </c>
      <c r="S49" s="348">
        <f t="shared" si="56"/>
        <v>6.9805033332652242E-2</v>
      </c>
      <c r="T49" s="348">
        <f t="shared" si="57"/>
        <v>0.2</v>
      </c>
      <c r="U49" s="348">
        <f t="shared" si="58"/>
        <v>0.27132019455060641</v>
      </c>
      <c r="V49" s="4">
        <f t="shared" si="42"/>
        <v>3.9930308335775018</v>
      </c>
      <c r="W49" s="348">
        <f t="shared" si="10"/>
        <v>1.5944295237900637E-2</v>
      </c>
      <c r="X49" s="348">
        <f t="shared" si="43"/>
        <v>1.5944295237900637E-2</v>
      </c>
      <c r="Y49" s="4">
        <f t="shared" si="44"/>
        <v>1.908508985587783</v>
      </c>
      <c r="Z49" s="348">
        <f t="shared" si="11"/>
        <v>3.6424065480693086E-3</v>
      </c>
      <c r="AA49" s="525">
        <f t="shared" si="45"/>
        <v>3.6424065480693086E-3</v>
      </c>
      <c r="AB49" s="348">
        <f t="shared" si="46"/>
        <v>2.1898450141202623</v>
      </c>
      <c r="AC49" s="348">
        <f t="shared" si="59"/>
        <v>5.7545054230408468E-2</v>
      </c>
      <c r="AD49" s="348">
        <f t="shared" si="60"/>
        <v>0.11673533264613667</v>
      </c>
      <c r="AE49" s="348">
        <f t="shared" si="61"/>
        <v>0</v>
      </c>
      <c r="AF49" s="348">
        <f t="shared" si="62"/>
        <v>1.4453428903039295E-2</v>
      </c>
      <c r="AG49" s="348">
        <f t="shared" si="63"/>
        <v>0.19057622460178006</v>
      </c>
      <c r="AH49" s="348">
        <f t="shared" si="64"/>
        <v>3.8921554506511256</v>
      </c>
      <c r="AI49" s="348">
        <f t="shared" si="65"/>
        <v>6.211038361333638E-2</v>
      </c>
      <c r="AJ49" s="348">
        <f t="shared" si="66"/>
        <v>2.6213428903039293E-2</v>
      </c>
      <c r="AK49" s="348">
        <f t="shared" si="67"/>
        <v>8.9226027782472656E-2</v>
      </c>
      <c r="AL49" s="348">
        <f t="shared" si="68"/>
        <v>1.1759999999999998E-2</v>
      </c>
      <c r="AM49" s="348">
        <f t="shared" si="69"/>
        <v>0.35399999999999998</v>
      </c>
      <c r="AN49" s="348">
        <f t="shared" si="70"/>
        <v>3.9888590475801282E-2</v>
      </c>
      <c r="AO49" s="348">
        <f t="shared" si="71"/>
        <v>1.1E-4</v>
      </c>
      <c r="AP49" s="348">
        <f t="shared" si="72"/>
        <v>4.9499999999999995E-2</v>
      </c>
      <c r="AQ49" s="348">
        <f t="shared" si="26"/>
        <v>0.46453846153846151</v>
      </c>
      <c r="AR49" s="348">
        <f t="shared" si="73"/>
        <v>0.44549999999999995</v>
      </c>
      <c r="AS49" s="348">
        <f t="shared" si="74"/>
        <v>4.9609999999999994E-2</v>
      </c>
      <c r="AT49" s="348">
        <f t="shared" si="75"/>
        <v>1.0259677391966304</v>
      </c>
      <c r="AU49">
        <f t="shared" si="76"/>
        <v>24</v>
      </c>
      <c r="AV49" s="526">
        <f t="shared" si="47"/>
        <v>0.95900387350097471</v>
      </c>
      <c r="AW49" s="534">
        <f t="shared" si="77"/>
        <v>17.817081433274762</v>
      </c>
      <c r="AX49" s="534">
        <f t="shared" si="78"/>
        <v>8.3860733307466386</v>
      </c>
      <c r="AY49" s="9"/>
      <c r="AZ49" s="4">
        <f t="shared" si="48"/>
        <v>95.900387350097475</v>
      </c>
      <c r="BA49" s="348">
        <f t="shared" si="79"/>
        <v>0.27132019455060641</v>
      </c>
      <c r="BB49" s="348">
        <f t="shared" si="80"/>
        <v>0.6338022523842527</v>
      </c>
      <c r="BC49" s="348">
        <f t="shared" si="81"/>
        <v>0.42421622460178005</v>
      </c>
      <c r="BD49" s="348">
        <f t="shared" si="82"/>
        <v>0.20604602778247266</v>
      </c>
      <c r="BE49" s="348">
        <f t="shared" si="83"/>
        <v>3.9888590475801282E-2</v>
      </c>
    </row>
    <row r="50" spans="1:64" x14ac:dyDescent="0.25">
      <c r="A50" s="23" t="s">
        <v>80</v>
      </c>
      <c r="B50" s="5">
        <f>RdsonBotTc*1000000</f>
        <v>4000</v>
      </c>
      <c r="C50" s="427" t="s">
        <v>81</v>
      </c>
      <c r="D50" s="21" t="s">
        <v>104</v>
      </c>
      <c r="G50">
        <v>41</v>
      </c>
      <c r="H50" s="531">
        <f t="shared" si="49"/>
        <v>50</v>
      </c>
      <c r="I50" s="4">
        <f t="shared" si="50"/>
        <v>1</v>
      </c>
      <c r="J50" s="348">
        <f t="shared" si="84"/>
        <v>2.0499999999999998</v>
      </c>
      <c r="K50" s="348">
        <f t="shared" si="51"/>
        <v>2.0499999999999998</v>
      </c>
      <c r="L50" s="4">
        <f t="shared" si="52"/>
        <v>0.54666666666666663</v>
      </c>
      <c r="M50" s="348">
        <f t="shared" si="53"/>
        <v>0.24045176528202172</v>
      </c>
      <c r="N50" s="4">
        <f t="shared" si="54"/>
        <v>13.83261625132574</v>
      </c>
      <c r="O50" s="4">
        <f t="shared" si="39"/>
        <v>8.9663081256628701</v>
      </c>
      <c r="P50" s="4">
        <f t="shared" si="40"/>
        <v>-4.8663081256628704</v>
      </c>
      <c r="Q50" s="4">
        <f t="shared" si="55"/>
        <v>50</v>
      </c>
      <c r="R50" s="4">
        <f t="shared" si="41"/>
        <v>4.4886084736478651</v>
      </c>
      <c r="S50" s="348">
        <f t="shared" si="56"/>
        <v>7.0516621103961966E-2</v>
      </c>
      <c r="T50" s="348">
        <f t="shared" si="57"/>
        <v>0.2</v>
      </c>
      <c r="U50" s="348">
        <f t="shared" si="58"/>
        <v>0.27205135247542839</v>
      </c>
      <c r="V50" s="4">
        <f t="shared" si="42"/>
        <v>3.9931323581498543</v>
      </c>
      <c r="W50" s="348">
        <f t="shared" si="10"/>
        <v>1.5945106029703417E-2</v>
      </c>
      <c r="X50" s="348">
        <f t="shared" si="43"/>
        <v>1.5945106029703417E-2</v>
      </c>
      <c r="Y50" s="4">
        <f t="shared" si="44"/>
        <v>1.918241971726651</v>
      </c>
      <c r="Z50" s="348">
        <f t="shared" si="11"/>
        <v>3.6796522620937498E-3</v>
      </c>
      <c r="AA50" s="525">
        <f t="shared" si="45"/>
        <v>3.6796522620937498E-3</v>
      </c>
      <c r="AB50" s="348">
        <f t="shared" si="46"/>
        <v>2.2010287222226093</v>
      </c>
      <c r="AC50" s="348">
        <f t="shared" si="59"/>
        <v>5.8134329232586712E-2</v>
      </c>
      <c r="AD50" s="348">
        <f t="shared" si="60"/>
        <v>0.11965371596229007</v>
      </c>
      <c r="AE50" s="348">
        <f t="shared" si="61"/>
        <v>0</v>
      </c>
      <c r="AF50" s="348">
        <f t="shared" si="62"/>
        <v>1.4306945889448837E-2</v>
      </c>
      <c r="AG50" s="348">
        <f t="shared" si="63"/>
        <v>0.19398960360558828</v>
      </c>
      <c r="AH50" s="348">
        <f t="shared" si="64"/>
        <v>3.911914952252225</v>
      </c>
      <c r="AI50" s="348">
        <f t="shared" si="65"/>
        <v>6.2742622233983553E-2</v>
      </c>
      <c r="AJ50" s="348">
        <f t="shared" si="66"/>
        <v>2.6360945889448834E-2</v>
      </c>
      <c r="AK50" s="348">
        <f t="shared" si="67"/>
        <v>9.0023109071995178E-2</v>
      </c>
      <c r="AL50" s="348">
        <f t="shared" si="68"/>
        <v>1.2053999999999997E-2</v>
      </c>
      <c r="AM50" s="348">
        <f t="shared" si="69"/>
        <v>0.36284999999999995</v>
      </c>
      <c r="AN50" s="348">
        <f t="shared" si="70"/>
        <v>4.0295212059406837E-2</v>
      </c>
      <c r="AO50" s="348">
        <f t="shared" si="71"/>
        <v>1.1E-4</v>
      </c>
      <c r="AP50" s="348">
        <f t="shared" si="72"/>
        <v>4.9499999999999995E-2</v>
      </c>
      <c r="AQ50" s="348">
        <f t="shared" si="26"/>
        <v>0.46453846153846151</v>
      </c>
      <c r="AR50" s="348">
        <f t="shared" si="73"/>
        <v>0.44549999999999995</v>
      </c>
      <c r="AS50" s="348">
        <f t="shared" si="74"/>
        <v>4.9609999999999994E-2</v>
      </c>
      <c r="AT50" s="348">
        <f t="shared" si="75"/>
        <v>1.0404980355042157</v>
      </c>
      <c r="AU50">
        <f t="shared" si="76"/>
        <v>24.599999999999998</v>
      </c>
      <c r="AV50" s="526">
        <f t="shared" si="47"/>
        <v>0.95941974161096855</v>
      </c>
      <c r="AW50" s="534">
        <f t="shared" si="77"/>
        <v>18.205765351434707</v>
      </c>
      <c r="AX50" s="534">
        <f t="shared" si="78"/>
        <v>8.5373788892302027</v>
      </c>
      <c r="AY50" s="9"/>
      <c r="AZ50" s="4">
        <f t="shared" si="48"/>
        <v>95.941974161096852</v>
      </c>
      <c r="BA50" s="348">
        <f t="shared" si="79"/>
        <v>0.27205135247542839</v>
      </c>
      <c r="BB50" s="348">
        <f t="shared" si="80"/>
        <v>0.64686271267758344</v>
      </c>
      <c r="BC50" s="348">
        <f t="shared" si="81"/>
        <v>0.43347060360558826</v>
      </c>
      <c r="BD50" s="348">
        <f t="shared" si="82"/>
        <v>0.20976360907199515</v>
      </c>
      <c r="BE50" s="348">
        <f t="shared" si="83"/>
        <v>4.0295212059406837E-2</v>
      </c>
    </row>
    <row r="51" spans="1:64" x14ac:dyDescent="0.25">
      <c r="A51" s="23" t="s">
        <v>67</v>
      </c>
      <c r="B51" s="5">
        <f>Qg_Q2*1000000000</f>
        <v>25</v>
      </c>
      <c r="C51" s="427" t="s">
        <v>65</v>
      </c>
      <c r="D51" s="21" t="s">
        <v>99</v>
      </c>
      <c r="G51">
        <v>42</v>
      </c>
      <c r="H51" s="531">
        <f t="shared" si="49"/>
        <v>50</v>
      </c>
      <c r="I51" s="4">
        <f t="shared" si="50"/>
        <v>1</v>
      </c>
      <c r="J51" s="348">
        <f t="shared" si="84"/>
        <v>2.1</v>
      </c>
      <c r="K51" s="348">
        <f t="shared" si="51"/>
        <v>2.1</v>
      </c>
      <c r="L51" s="4">
        <f t="shared" si="52"/>
        <v>0.56000000000000005</v>
      </c>
      <c r="M51" s="348">
        <f t="shared" si="53"/>
        <v>0.24046278667853896</v>
      </c>
      <c r="N51" s="4">
        <f t="shared" si="54"/>
        <v>13.832967924360748</v>
      </c>
      <c r="O51" s="4">
        <f t="shared" si="39"/>
        <v>9.0164839621803736</v>
      </c>
      <c r="P51" s="4">
        <f t="shared" si="40"/>
        <v>-4.8164839621803743</v>
      </c>
      <c r="Q51" s="4">
        <f t="shared" si="55"/>
        <v>50</v>
      </c>
      <c r="R51" s="4">
        <f t="shared" si="41"/>
        <v>4.5117531847054133</v>
      </c>
      <c r="S51" s="348">
        <f t="shared" si="56"/>
        <v>7.1245708798948038E-2</v>
      </c>
      <c r="T51" s="348">
        <f t="shared" si="57"/>
        <v>0.2</v>
      </c>
      <c r="U51" s="348">
        <f t="shared" si="58"/>
        <v>0.27280057844471256</v>
      </c>
      <c r="V51" s="4">
        <f t="shared" si="42"/>
        <v>3.9932338774105687</v>
      </c>
      <c r="W51" s="348">
        <f t="shared" si="10"/>
        <v>1.5945916799699447E-2</v>
      </c>
      <c r="X51" s="348">
        <f t="shared" si="43"/>
        <v>1.5945916799699447E-2</v>
      </c>
      <c r="Y51" s="4">
        <f t="shared" si="44"/>
        <v>1.9281632444148511</v>
      </c>
      <c r="Z51" s="348">
        <f t="shared" si="11"/>
        <v>3.7178134971124046E-3</v>
      </c>
      <c r="AA51" s="525">
        <f t="shared" si="45"/>
        <v>3.7178134971124046E-3</v>
      </c>
      <c r="AB51" s="348">
        <f t="shared" si="46"/>
        <v>2.2124286381829843</v>
      </c>
      <c r="AC51" s="348">
        <f t="shared" si="59"/>
        <v>5.8738085748626573E-2</v>
      </c>
      <c r="AD51" s="348">
        <f t="shared" si="60"/>
        <v>0.12257209927844351</v>
      </c>
      <c r="AE51" s="348">
        <f t="shared" si="61"/>
        <v>0</v>
      </c>
      <c r="AF51" s="348">
        <f t="shared" si="62"/>
        <v>1.41604628488103E-2</v>
      </c>
      <c r="AG51" s="348">
        <f t="shared" si="63"/>
        <v>0.19741877604314303</v>
      </c>
      <c r="AH51" s="348">
        <f t="shared" si="64"/>
        <v>3.9320575174642634</v>
      </c>
      <c r="AI51" s="348">
        <f t="shared" si="65"/>
        <v>6.3390412914653624E-2</v>
      </c>
      <c r="AJ51" s="348">
        <f t="shared" si="66"/>
        <v>2.6508462848810293E-2</v>
      </c>
      <c r="AK51" s="348">
        <f t="shared" si="67"/>
        <v>9.0836302703284993E-2</v>
      </c>
      <c r="AL51" s="348">
        <f t="shared" si="68"/>
        <v>1.2347999999999998E-2</v>
      </c>
      <c r="AM51" s="348">
        <f t="shared" si="69"/>
        <v>0.37169999999999997</v>
      </c>
      <c r="AN51" s="348">
        <f t="shared" si="70"/>
        <v>4.0711833599398881E-2</v>
      </c>
      <c r="AO51" s="348">
        <f t="shared" si="71"/>
        <v>1.1E-4</v>
      </c>
      <c r="AP51" s="348">
        <f t="shared" si="72"/>
        <v>4.9499999999999995E-2</v>
      </c>
      <c r="AQ51" s="348">
        <f t="shared" si="26"/>
        <v>0.46453846153846151</v>
      </c>
      <c r="AR51" s="348">
        <f t="shared" si="73"/>
        <v>0.44549999999999995</v>
      </c>
      <c r="AS51" s="348">
        <f t="shared" si="74"/>
        <v>4.9609999999999994E-2</v>
      </c>
      <c r="AT51" s="348">
        <f t="shared" si="75"/>
        <v>1.0550892210873513</v>
      </c>
      <c r="AU51">
        <f t="shared" si="76"/>
        <v>25.200000000000003</v>
      </c>
      <c r="AV51" s="526">
        <f t="shared" si="47"/>
        <v>0.95981391599157351</v>
      </c>
      <c r="AW51" s="534">
        <f t="shared" si="77"/>
        <v>18.595112593812004</v>
      </c>
      <c r="AX51" s="534">
        <f t="shared" si="78"/>
        <v>8.6893402200237002</v>
      </c>
      <c r="AY51" s="9"/>
      <c r="AZ51" s="4">
        <f t="shared" si="48"/>
        <v>95.981391599157348</v>
      </c>
      <c r="BA51" s="348">
        <f t="shared" si="79"/>
        <v>0.27280057844471256</v>
      </c>
      <c r="BB51" s="348">
        <f t="shared" si="80"/>
        <v>0.659955078746428</v>
      </c>
      <c r="BC51" s="348">
        <f t="shared" si="81"/>
        <v>0.44274077604314299</v>
      </c>
      <c r="BD51" s="348">
        <f t="shared" si="82"/>
        <v>0.21349730270328499</v>
      </c>
      <c r="BE51" s="348">
        <f t="shared" si="83"/>
        <v>4.0711833599398881E-2</v>
      </c>
    </row>
    <row r="52" spans="1:64" x14ac:dyDescent="0.25">
      <c r="A52" s="23" t="s">
        <v>91</v>
      </c>
      <c r="B52" s="5">
        <f>Rgate2</f>
        <v>1.2</v>
      </c>
      <c r="C52" s="431" t="s">
        <v>116</v>
      </c>
      <c r="D52" s="21" t="s">
        <v>100</v>
      </c>
      <c r="G52">
        <v>43</v>
      </c>
      <c r="H52" s="531">
        <f t="shared" si="49"/>
        <v>50</v>
      </c>
      <c r="I52" s="4">
        <f t="shared" si="50"/>
        <v>1</v>
      </c>
      <c r="J52" s="348">
        <f t="shared" si="84"/>
        <v>2.15</v>
      </c>
      <c r="K52" s="348">
        <f t="shared" si="51"/>
        <v>2.15</v>
      </c>
      <c r="L52" s="4">
        <f t="shared" si="52"/>
        <v>0.57333333333333325</v>
      </c>
      <c r="M52" s="348">
        <f t="shared" si="53"/>
        <v>0.24047380820514164</v>
      </c>
      <c r="N52" s="4">
        <f t="shared" si="54"/>
        <v>13.833319578995372</v>
      </c>
      <c r="O52" s="4">
        <f t="shared" si="39"/>
        <v>9.0666597894976864</v>
      </c>
      <c r="P52" s="4">
        <f t="shared" si="40"/>
        <v>-4.7666597894976857</v>
      </c>
      <c r="Q52" s="4">
        <f t="shared" si="55"/>
        <v>50</v>
      </c>
      <c r="R52" s="4">
        <f t="shared" si="41"/>
        <v>4.535331029581493</v>
      </c>
      <c r="S52" s="348">
        <f t="shared" si="56"/>
        <v>7.1992296417596538E-2</v>
      </c>
      <c r="T52" s="348">
        <f t="shared" si="57"/>
        <v>0.2</v>
      </c>
      <c r="U52" s="348">
        <f t="shared" si="58"/>
        <v>0.2735678788032877</v>
      </c>
      <c r="V52" s="4">
        <f t="shared" si="42"/>
        <v>3.9933353913595497</v>
      </c>
      <c r="W52" s="348">
        <f t="shared" si="10"/>
        <v>1.5946727547884728E-2</v>
      </c>
      <c r="X52" s="348">
        <f t="shared" si="43"/>
        <v>1.5946727547884728E-2</v>
      </c>
      <c r="Y52" s="4">
        <f t="shared" si="44"/>
        <v>1.938269934459619</v>
      </c>
      <c r="Z52" s="348">
        <f t="shared" si="11"/>
        <v>3.7568903388300961E-3</v>
      </c>
      <c r="AA52" s="525">
        <f t="shared" si="45"/>
        <v>3.7568903388300961E-3</v>
      </c>
      <c r="AB52" s="348">
        <f t="shared" si="46"/>
        <v>2.2240414744959116</v>
      </c>
      <c r="AC52" s="348">
        <f t="shared" si="59"/>
        <v>5.9356325763335382E-2</v>
      </c>
      <c r="AD52" s="348">
        <f t="shared" si="60"/>
        <v>0.12549048259459691</v>
      </c>
      <c r="AE52" s="348">
        <f t="shared" si="61"/>
        <v>0</v>
      </c>
      <c r="AF52" s="348">
        <f t="shared" si="62"/>
        <v>1.4013979781123195E-2</v>
      </c>
      <c r="AG52" s="348">
        <f t="shared" si="63"/>
        <v>0.20086377412167311</v>
      </c>
      <c r="AH52" s="348">
        <f t="shared" si="64"/>
        <v>3.9525772690241965</v>
      </c>
      <c r="AI52" s="348">
        <f t="shared" si="65"/>
        <v>6.4053754977187766E-2</v>
      </c>
      <c r="AJ52" s="348">
        <f t="shared" si="66"/>
        <v>2.6655979781123194E-2</v>
      </c>
      <c r="AK52" s="348">
        <f t="shared" si="67"/>
        <v>9.1665619373969942E-2</v>
      </c>
      <c r="AL52" s="348">
        <f t="shared" si="68"/>
        <v>1.2641999999999997E-2</v>
      </c>
      <c r="AM52" s="348">
        <f t="shared" si="69"/>
        <v>0.38055000000000005</v>
      </c>
      <c r="AN52" s="348">
        <f t="shared" si="70"/>
        <v>4.1138455095769452E-2</v>
      </c>
      <c r="AO52" s="348">
        <f t="shared" si="71"/>
        <v>1.1E-4</v>
      </c>
      <c r="AP52" s="348">
        <f t="shared" si="72"/>
        <v>4.9499999999999995E-2</v>
      </c>
      <c r="AQ52" s="348">
        <f t="shared" si="26"/>
        <v>0.46453846153846151</v>
      </c>
      <c r="AR52" s="348">
        <f t="shared" si="73"/>
        <v>0.44549999999999995</v>
      </c>
      <c r="AS52" s="348">
        <f t="shared" si="74"/>
        <v>4.9609999999999994E-2</v>
      </c>
      <c r="AT52" s="348">
        <f t="shared" si="75"/>
        <v>1.0697413452814151</v>
      </c>
      <c r="AU52">
        <f t="shared" si="76"/>
        <v>25.799999999999997</v>
      </c>
      <c r="AV52" s="526">
        <f t="shared" si="47"/>
        <v>0.96018788080112016</v>
      </c>
      <c r="AW52" s="534">
        <f t="shared" si="77"/>
        <v>18.985124513110271</v>
      </c>
      <c r="AX52" s="534">
        <f t="shared" si="78"/>
        <v>8.8419577585205786</v>
      </c>
      <c r="AY52" s="9"/>
      <c r="AZ52" s="4">
        <f t="shared" si="48"/>
        <v>96.018788080112017</v>
      </c>
      <c r="BA52" s="348">
        <f t="shared" si="79"/>
        <v>0.2735678788032877</v>
      </c>
      <c r="BB52" s="348">
        <f t="shared" si="80"/>
        <v>0.67307939349564316</v>
      </c>
      <c r="BC52" s="348">
        <f t="shared" si="81"/>
        <v>0.45202677412167314</v>
      </c>
      <c r="BD52" s="348">
        <f t="shared" si="82"/>
        <v>0.21724711937396995</v>
      </c>
      <c r="BE52" s="348">
        <f t="shared" si="83"/>
        <v>4.1138455095769452E-2</v>
      </c>
    </row>
    <row r="53" spans="1:64" x14ac:dyDescent="0.25">
      <c r="A53" s="23" t="s">
        <v>72</v>
      </c>
      <c r="B53" s="5">
        <f>Vsd_Q2</f>
        <v>0.7</v>
      </c>
      <c r="C53" s="427" t="s">
        <v>0</v>
      </c>
      <c r="D53" s="21" t="s">
        <v>105</v>
      </c>
      <c r="G53">
        <v>44</v>
      </c>
      <c r="H53" s="531">
        <f t="shared" si="49"/>
        <v>50</v>
      </c>
      <c r="I53" s="4">
        <f t="shared" si="50"/>
        <v>1</v>
      </c>
      <c r="J53" s="348">
        <f t="shared" si="84"/>
        <v>2.2000000000000002</v>
      </c>
      <c r="K53" s="348">
        <f t="shared" si="51"/>
        <v>2.2000000000000002</v>
      </c>
      <c r="L53" s="4">
        <f t="shared" si="52"/>
        <v>0.58666666666666667</v>
      </c>
      <c r="M53" s="348">
        <f t="shared" si="53"/>
        <v>0.24048482986183212</v>
      </c>
      <c r="N53" s="4">
        <f t="shared" si="54"/>
        <v>13.833671215229288</v>
      </c>
      <c r="O53" s="4">
        <f t="shared" si="39"/>
        <v>9.1168356076146431</v>
      </c>
      <c r="P53" s="4">
        <f t="shared" si="40"/>
        <v>-4.7168356076146436</v>
      </c>
      <c r="Q53" s="4">
        <f t="shared" si="55"/>
        <v>50</v>
      </c>
      <c r="R53" s="4">
        <f t="shared" si="41"/>
        <v>4.5593352886418961</v>
      </c>
      <c r="S53" s="348">
        <f t="shared" si="56"/>
        <v>7.2756383959893492E-2</v>
      </c>
      <c r="T53" s="348">
        <f t="shared" si="57"/>
        <v>0.2</v>
      </c>
      <c r="U53" s="348">
        <f t="shared" si="58"/>
        <v>0.27435326005020239</v>
      </c>
      <c r="V53" s="4">
        <f t="shared" si="42"/>
        <v>3.9934368999967034</v>
      </c>
      <c r="W53" s="348">
        <f t="shared" si="10"/>
        <v>1.5947538274255279E-2</v>
      </c>
      <c r="X53" s="348">
        <f t="shared" si="43"/>
        <v>1.5947538274255279E-2</v>
      </c>
      <c r="Y53" s="4">
        <f t="shared" si="44"/>
        <v>1.9485591787129222</v>
      </c>
      <c r="Z53" s="348">
        <f t="shared" si="11"/>
        <v>3.7968828729463781E-3</v>
      </c>
      <c r="AA53" s="525">
        <f t="shared" si="45"/>
        <v>3.7968828729463781E-3</v>
      </c>
      <c r="AB53" s="348">
        <f t="shared" si="46"/>
        <v>2.2358639504966766</v>
      </c>
      <c r="AC53" s="348">
        <f t="shared" si="59"/>
        <v>5.9989051261567269E-2</v>
      </c>
      <c r="AD53" s="348">
        <f t="shared" si="60"/>
        <v>0.12840886591075035</v>
      </c>
      <c r="AE53" s="348">
        <f t="shared" si="61"/>
        <v>0</v>
      </c>
      <c r="AF53" s="348">
        <f t="shared" si="62"/>
        <v>1.3867496686387051E-2</v>
      </c>
      <c r="AG53" s="348">
        <f t="shared" si="63"/>
        <v>0.20432463029984244</v>
      </c>
      <c r="AH53" s="348">
        <f t="shared" si="64"/>
        <v>3.973468342534602</v>
      </c>
      <c r="AI53" s="348">
        <f t="shared" si="65"/>
        <v>6.473264774341117E-2</v>
      </c>
      <c r="AJ53" s="348">
        <f t="shared" si="66"/>
        <v>2.6803496686387047E-2</v>
      </c>
      <c r="AK53" s="348">
        <f t="shared" si="67"/>
        <v>9.2511070033437462E-2</v>
      </c>
      <c r="AL53" s="348">
        <f t="shared" si="68"/>
        <v>1.2936E-2</v>
      </c>
      <c r="AM53" s="348">
        <f t="shared" si="69"/>
        <v>0.38940000000000002</v>
      </c>
      <c r="AN53" s="348">
        <f t="shared" si="70"/>
        <v>4.1575076548510566E-2</v>
      </c>
      <c r="AO53" s="348">
        <f t="shared" si="71"/>
        <v>1.1E-4</v>
      </c>
      <c r="AP53" s="348">
        <f t="shared" si="72"/>
        <v>4.9499999999999995E-2</v>
      </c>
      <c r="AQ53" s="348">
        <f t="shared" si="26"/>
        <v>0.46453846153846151</v>
      </c>
      <c r="AR53" s="348">
        <f t="shared" si="73"/>
        <v>0.44549999999999995</v>
      </c>
      <c r="AS53" s="348">
        <f t="shared" si="74"/>
        <v>4.9609999999999994E-2</v>
      </c>
      <c r="AT53" s="348">
        <f t="shared" si="75"/>
        <v>1.0844544580791944</v>
      </c>
      <c r="AU53">
        <f t="shared" si="76"/>
        <v>26.400000000000002</v>
      </c>
      <c r="AV53" s="526">
        <f t="shared" si="47"/>
        <v>0.96054298768297319</v>
      </c>
      <c r="AW53" s="534">
        <f t="shared" si="77"/>
        <v>19.375802472593382</v>
      </c>
      <c r="AX53" s="534">
        <f t="shared" si="78"/>
        <v>8.9952319503609051</v>
      </c>
      <c r="AY53" s="9"/>
      <c r="AZ53" s="4">
        <f t="shared" si="48"/>
        <v>96.054298768297315</v>
      </c>
      <c r="BA53" s="348">
        <f t="shared" si="79"/>
        <v>0.27435326005020239</v>
      </c>
      <c r="BB53" s="348">
        <f t="shared" si="80"/>
        <v>0.68623570033327996</v>
      </c>
      <c r="BC53" s="348">
        <f t="shared" si="81"/>
        <v>0.46132863029984245</v>
      </c>
      <c r="BD53" s="348">
        <f t="shared" si="82"/>
        <v>0.22101307003343745</v>
      </c>
      <c r="BE53" s="348">
        <f t="shared" si="83"/>
        <v>4.1575076548510566E-2</v>
      </c>
    </row>
    <row r="54" spans="1:64" x14ac:dyDescent="0.25">
      <c r="A54" s="23" t="s">
        <v>73</v>
      </c>
      <c r="B54" s="5">
        <f>Qrr_Q2*1000000000</f>
        <v>59</v>
      </c>
      <c r="C54" s="427" t="s">
        <v>65</v>
      </c>
      <c r="D54" s="21" t="s">
        <v>110</v>
      </c>
      <c r="G54">
        <v>45</v>
      </c>
      <c r="H54" s="531">
        <f t="shared" si="49"/>
        <v>50</v>
      </c>
      <c r="I54" s="4">
        <f t="shared" si="50"/>
        <v>1</v>
      </c>
      <c r="J54" s="348">
        <f t="shared" si="84"/>
        <v>2.25</v>
      </c>
      <c r="K54" s="348">
        <f t="shared" si="51"/>
        <v>2.25</v>
      </c>
      <c r="L54" s="4">
        <f t="shared" si="52"/>
        <v>0.6</v>
      </c>
      <c r="M54" s="348">
        <f t="shared" si="53"/>
        <v>0.2404958516486127</v>
      </c>
      <c r="N54" s="4">
        <f t="shared" si="54"/>
        <v>13.834022833062177</v>
      </c>
      <c r="O54" s="4">
        <f t="shared" si="39"/>
        <v>9.1670114165310892</v>
      </c>
      <c r="P54" s="4">
        <f t="shared" si="40"/>
        <v>-4.6670114165310883</v>
      </c>
      <c r="Q54" s="4">
        <f t="shared" si="55"/>
        <v>50</v>
      </c>
      <c r="R54" s="4">
        <f t="shared" si="41"/>
        <v>4.5837592627457147</v>
      </c>
      <c r="S54" s="348">
        <f t="shared" si="56"/>
        <v>7.353797142582498E-2</v>
      </c>
      <c r="T54" s="348">
        <f t="shared" si="57"/>
        <v>0.2</v>
      </c>
      <c r="U54" s="348">
        <f t="shared" si="58"/>
        <v>0.27515672883886305</v>
      </c>
      <c r="V54" s="4">
        <f t="shared" si="42"/>
        <v>3.9935384033219385</v>
      </c>
      <c r="W54" s="348">
        <f t="shared" si="10"/>
        <v>1.5948348978807137E-2</v>
      </c>
      <c r="X54" s="348">
        <f t="shared" si="43"/>
        <v>1.5948348978807137E-2</v>
      </c>
      <c r="Y54" s="4">
        <f t="shared" si="44"/>
        <v>1.9590281226045567</v>
      </c>
      <c r="Z54" s="348">
        <f t="shared" si="11"/>
        <v>3.8377911851555343E-3</v>
      </c>
      <c r="AA54" s="525">
        <f t="shared" si="45"/>
        <v>3.8377911851555343E-3</v>
      </c>
      <c r="AB54" s="348">
        <f t="shared" si="46"/>
        <v>2.2478927952681835</v>
      </c>
      <c r="AC54" s="348">
        <f t="shared" si="59"/>
        <v>6.063626422822329E-2</v>
      </c>
      <c r="AD54" s="348">
        <f t="shared" si="60"/>
        <v>0.13132724922690375</v>
      </c>
      <c r="AE54" s="348">
        <f t="shared" si="61"/>
        <v>0</v>
      </c>
      <c r="AF54" s="348">
        <f t="shared" si="62"/>
        <v>1.3721013564601399E-2</v>
      </c>
      <c r="AG54" s="348">
        <f t="shared" si="63"/>
        <v>0.20780137728873355</v>
      </c>
      <c r="AH54" s="348">
        <f t="shared" si="64"/>
        <v>3.994724891627524</v>
      </c>
      <c r="AI54" s="348">
        <f t="shared" si="65"/>
        <v>6.5427090535132987E-2</v>
      </c>
      <c r="AJ54" s="348">
        <f t="shared" si="66"/>
        <v>2.6951013564601396E-2</v>
      </c>
      <c r="AK54" s="348">
        <f t="shared" si="67"/>
        <v>9.3372665883234132E-2</v>
      </c>
      <c r="AL54" s="348">
        <f t="shared" si="68"/>
        <v>1.3229999999999997E-2</v>
      </c>
      <c r="AM54" s="348">
        <f t="shared" si="69"/>
        <v>0.39824999999999999</v>
      </c>
      <c r="AN54" s="348">
        <f t="shared" si="70"/>
        <v>4.2021697957614276E-2</v>
      </c>
      <c r="AO54" s="348">
        <f t="shared" si="71"/>
        <v>1.1E-4</v>
      </c>
      <c r="AP54" s="348">
        <f t="shared" si="72"/>
        <v>4.9499999999999995E-2</v>
      </c>
      <c r="AQ54" s="348">
        <f t="shared" si="26"/>
        <v>0.46453846153846151</v>
      </c>
      <c r="AR54" s="348">
        <f t="shared" si="73"/>
        <v>0.44549999999999995</v>
      </c>
      <c r="AS54" s="348">
        <f t="shared" si="74"/>
        <v>4.9609999999999994E-2</v>
      </c>
      <c r="AT54" s="348">
        <f t="shared" si="75"/>
        <v>1.0992286101324076</v>
      </c>
      <c r="AU54">
        <f t="shared" si="76"/>
        <v>27</v>
      </c>
      <c r="AV54" s="526">
        <f t="shared" si="47"/>
        <v>0.96088047022984713</v>
      </c>
      <c r="AW54" s="534">
        <f t="shared" si="77"/>
        <v>19.767147846126807</v>
      </c>
      <c r="AX54" s="534">
        <f t="shared" si="78"/>
        <v>9.1491632514476287</v>
      </c>
      <c r="AY54" s="9"/>
      <c r="AZ54" s="4">
        <f t="shared" si="48"/>
        <v>96.088047022984711</v>
      </c>
      <c r="BA54" s="348">
        <f t="shared" si="79"/>
        <v>0.27515672883886305</v>
      </c>
      <c r="BB54" s="348">
        <f t="shared" si="80"/>
        <v>0.6994240431719676</v>
      </c>
      <c r="BC54" s="348">
        <f t="shared" si="81"/>
        <v>0.47064637728873354</v>
      </c>
      <c r="BD54" s="348">
        <f t="shared" si="82"/>
        <v>0.22479516588323412</v>
      </c>
      <c r="BE54" s="348">
        <f t="shared" si="83"/>
        <v>4.2021697957614276E-2</v>
      </c>
    </row>
    <row r="55" spans="1:64" x14ac:dyDescent="0.25">
      <c r="A55" s="23" t="s">
        <v>74</v>
      </c>
      <c r="B55" s="5">
        <f>Trr_Q2*1000000000</f>
        <v>40</v>
      </c>
      <c r="C55" s="427" t="s">
        <v>75</v>
      </c>
      <c r="D55" s="76" t="s">
        <v>106</v>
      </c>
      <c r="G55">
        <v>46</v>
      </c>
      <c r="H55" s="531">
        <f t="shared" si="49"/>
        <v>50</v>
      </c>
      <c r="I55" s="4">
        <f t="shared" si="50"/>
        <v>1</v>
      </c>
      <c r="J55" s="348">
        <f t="shared" si="84"/>
        <v>2.2999999999999998</v>
      </c>
      <c r="K55" s="348">
        <f t="shared" si="51"/>
        <v>2.2999999999999998</v>
      </c>
      <c r="L55" s="4">
        <f t="shared" si="52"/>
        <v>0.61333333333333329</v>
      </c>
      <c r="M55" s="348">
        <f t="shared" si="53"/>
        <v>0.2405068735654857</v>
      </c>
      <c r="N55" s="4">
        <f t="shared" si="54"/>
        <v>13.834374432493707</v>
      </c>
      <c r="O55" s="4">
        <f t="shared" si="39"/>
        <v>9.2171872162468524</v>
      </c>
      <c r="P55" s="4">
        <f t="shared" si="40"/>
        <v>-4.6171872162468537</v>
      </c>
      <c r="Q55" s="4">
        <f t="shared" si="55"/>
        <v>50</v>
      </c>
      <c r="R55" s="4">
        <f t="shared" si="41"/>
        <v>4.6085962788615253</v>
      </c>
      <c r="S55" s="348">
        <f t="shared" si="56"/>
        <v>7.4337058815377041E-2</v>
      </c>
      <c r="T55" s="348">
        <f t="shared" si="57"/>
        <v>0.2</v>
      </c>
      <c r="U55" s="348">
        <f t="shared" si="58"/>
        <v>0.27597829197717505</v>
      </c>
      <c r="V55" s="4">
        <f t="shared" si="42"/>
        <v>3.9936399013351593</v>
      </c>
      <c r="W55" s="348">
        <f t="shared" si="10"/>
        <v>1.5949159661536302E-2</v>
      </c>
      <c r="X55" s="348">
        <f t="shared" si="43"/>
        <v>1.5949159661536302E-2</v>
      </c>
      <c r="Y55" s="4">
        <f t="shared" si="44"/>
        <v>1.9696739225431656</v>
      </c>
      <c r="Z55" s="348">
        <f t="shared" si="11"/>
        <v>3.8796153611465804E-3</v>
      </c>
      <c r="AA55" s="525">
        <f t="shared" si="45"/>
        <v>3.8796153611465804E-3</v>
      </c>
      <c r="AB55" s="348">
        <f t="shared" si="46"/>
        <v>2.2601247503963746</v>
      </c>
      <c r="AC55" s="348">
        <f t="shared" si="59"/>
        <v>6.1297966648251295E-2</v>
      </c>
      <c r="AD55" s="348">
        <f t="shared" si="60"/>
        <v>0.13424563254305713</v>
      </c>
      <c r="AE55" s="348">
        <f t="shared" si="61"/>
        <v>0</v>
      </c>
      <c r="AF55" s="348">
        <f t="shared" si="62"/>
        <v>1.3574530415765748E-2</v>
      </c>
      <c r="AG55" s="348">
        <f t="shared" si="63"/>
        <v>0.21129404805284105</v>
      </c>
      <c r="AH55" s="348">
        <f t="shared" si="64"/>
        <v>4.0163410928582772</v>
      </c>
      <c r="AI55" s="348">
        <f t="shared" si="65"/>
        <v>6.613708267414628E-2</v>
      </c>
      <c r="AJ55" s="348">
        <f t="shared" si="66"/>
        <v>2.709853041576574E-2</v>
      </c>
      <c r="AK55" s="348">
        <f t="shared" si="67"/>
        <v>9.4250418377475095E-2</v>
      </c>
      <c r="AL55" s="348">
        <f t="shared" si="68"/>
        <v>1.3523999999999996E-2</v>
      </c>
      <c r="AM55" s="348">
        <f t="shared" si="69"/>
        <v>0.40709999999999991</v>
      </c>
      <c r="AN55" s="348">
        <f t="shared" si="70"/>
        <v>4.2478319323072597E-2</v>
      </c>
      <c r="AO55" s="348">
        <f t="shared" si="71"/>
        <v>1.1E-4</v>
      </c>
      <c r="AP55" s="348">
        <f t="shared" si="72"/>
        <v>4.9499999999999995E-2</v>
      </c>
      <c r="AQ55" s="348">
        <f t="shared" si="26"/>
        <v>0.46453846153846151</v>
      </c>
      <c r="AR55" s="348">
        <f t="shared" si="73"/>
        <v>0.44549999999999995</v>
      </c>
      <c r="AS55" s="348">
        <f t="shared" si="74"/>
        <v>4.9609999999999994E-2</v>
      </c>
      <c r="AT55" s="348">
        <f t="shared" si="75"/>
        <v>1.1140638527532465</v>
      </c>
      <c r="AU55">
        <f t="shared" si="76"/>
        <v>27.599999999999998</v>
      </c>
      <c r="AV55" s="526">
        <f t="shared" si="47"/>
        <v>0.96120145659401579</v>
      </c>
      <c r="AW55" s="534">
        <f t="shared" si="77"/>
        <v>20.159162018219323</v>
      </c>
      <c r="AX55" s="534">
        <f t="shared" si="78"/>
        <v>9.3037521279632358</v>
      </c>
      <c r="AY55" s="9"/>
      <c r="AZ55" s="4">
        <f t="shared" si="48"/>
        <v>96.120145659401572</v>
      </c>
      <c r="BA55" s="348">
        <f t="shared" si="79"/>
        <v>0.27597829197717505</v>
      </c>
      <c r="BB55" s="348">
        <f t="shared" si="80"/>
        <v>0.71264446643031598</v>
      </c>
      <c r="BC55" s="348">
        <f t="shared" si="81"/>
        <v>0.479980048052841</v>
      </c>
      <c r="BD55" s="348">
        <f t="shared" si="82"/>
        <v>0.22859341837747504</v>
      </c>
      <c r="BE55" s="348">
        <f t="shared" si="83"/>
        <v>4.2478319323072597E-2</v>
      </c>
    </row>
    <row r="56" spans="1:64" ht="15.6" x14ac:dyDescent="0.35">
      <c r="A56" s="433" t="s">
        <v>455</v>
      </c>
      <c r="B56" s="5">
        <f>ThetaJA_Q2</f>
        <v>40.700000000000003</v>
      </c>
      <c r="C56" s="428" t="s">
        <v>202</v>
      </c>
      <c r="D56" s="76" t="s">
        <v>103</v>
      </c>
      <c r="E56" s="2"/>
      <c r="G56">
        <v>47</v>
      </c>
      <c r="H56" s="531">
        <f t="shared" si="49"/>
        <v>50</v>
      </c>
      <c r="I56" s="4">
        <f t="shared" si="50"/>
        <v>1</v>
      </c>
      <c r="J56" s="348">
        <f t="shared" si="84"/>
        <v>2.35</v>
      </c>
      <c r="K56" s="348">
        <f t="shared" si="51"/>
        <v>2.35</v>
      </c>
      <c r="L56" s="4">
        <f t="shared" si="52"/>
        <v>0.62666666666666671</v>
      </c>
      <c r="M56" s="348">
        <f t="shared" si="53"/>
        <v>0.24051789561245335</v>
      </c>
      <c r="N56" s="4">
        <f t="shared" si="54"/>
        <v>13.834726013523548</v>
      </c>
      <c r="O56" s="4">
        <f t="shared" si="39"/>
        <v>9.2673630067617747</v>
      </c>
      <c r="P56" s="4">
        <f t="shared" si="40"/>
        <v>-4.5673630067617736</v>
      </c>
      <c r="Q56" s="4">
        <f t="shared" si="55"/>
        <v>50</v>
      </c>
      <c r="R56" s="4">
        <f t="shared" si="41"/>
        <v>4.633839695375614</v>
      </c>
      <c r="S56" s="348">
        <f t="shared" si="56"/>
        <v>7.5153646128535673E-2</v>
      </c>
      <c r="T56" s="348">
        <f t="shared" si="57"/>
        <v>0.2</v>
      </c>
      <c r="U56" s="348">
        <f t="shared" si="58"/>
        <v>0.27681795642768692</v>
      </c>
      <c r="V56" s="4">
        <f t="shared" si="42"/>
        <v>3.9937413940362698</v>
      </c>
      <c r="W56" s="348">
        <f t="shared" si="10"/>
        <v>1.5949970322438767E-2</v>
      </c>
      <c r="X56" s="348">
        <f t="shared" si="43"/>
        <v>1.5949970322438767E-2</v>
      </c>
      <c r="Y56" s="4">
        <f t="shared" si="44"/>
        <v>1.9804937481858542</v>
      </c>
      <c r="Z56" s="348">
        <f t="shared" si="11"/>
        <v>3.922355486603254E-3</v>
      </c>
      <c r="AA56" s="525">
        <f t="shared" si="45"/>
        <v>3.922355486603254E-3</v>
      </c>
      <c r="AB56" s="348">
        <f t="shared" si="46"/>
        <v>2.2725565725749992</v>
      </c>
      <c r="AC56" s="348">
        <f t="shared" si="59"/>
        <v>6.1974160506645934E-2</v>
      </c>
      <c r="AD56" s="348">
        <f t="shared" si="60"/>
        <v>0.13716401585921059</v>
      </c>
      <c r="AE56" s="348">
        <f t="shared" si="61"/>
        <v>0</v>
      </c>
      <c r="AF56" s="348">
        <f t="shared" si="62"/>
        <v>1.3428047239879613E-2</v>
      </c>
      <c r="AG56" s="348">
        <f t="shared" si="63"/>
        <v>0.21480267581107554</v>
      </c>
      <c r="AH56" s="348">
        <f t="shared" si="64"/>
        <v>4.0383111503306592</v>
      </c>
      <c r="AI56" s="348">
        <f t="shared" si="65"/>
        <v>6.6862623482228212E-2</v>
      </c>
      <c r="AJ56" s="348">
        <f t="shared" si="66"/>
        <v>2.7246047239879612E-2</v>
      </c>
      <c r="AK56" s="348">
        <f t="shared" si="67"/>
        <v>9.5144339223263763E-2</v>
      </c>
      <c r="AL56" s="348">
        <f t="shared" si="68"/>
        <v>1.3817999999999999E-2</v>
      </c>
      <c r="AM56" s="348">
        <f t="shared" si="69"/>
        <v>0.4159500000000001</v>
      </c>
      <c r="AN56" s="348">
        <f t="shared" si="70"/>
        <v>4.2944940644877527E-2</v>
      </c>
      <c r="AO56" s="348">
        <f t="shared" si="71"/>
        <v>1.1E-4</v>
      </c>
      <c r="AP56" s="348">
        <f t="shared" si="72"/>
        <v>4.9499999999999995E-2</v>
      </c>
      <c r="AQ56" s="348">
        <f t="shared" si="26"/>
        <v>0.46453846153846151</v>
      </c>
      <c r="AR56" s="348">
        <f t="shared" si="73"/>
        <v>0.44549999999999995</v>
      </c>
      <c r="AS56" s="348">
        <f t="shared" si="74"/>
        <v>4.9609999999999994E-2</v>
      </c>
      <c r="AT56" s="348">
        <f t="shared" si="75"/>
        <v>1.1289602379159458</v>
      </c>
      <c r="AU56">
        <f t="shared" si="76"/>
        <v>28.200000000000003</v>
      </c>
      <c r="AV56" s="526">
        <f t="shared" si="47"/>
        <v>0.96150698051489569</v>
      </c>
      <c r="AW56" s="534">
        <f t="shared" si="77"/>
        <v>20.551846384065175</v>
      </c>
      <c r="AX56" s="534">
        <f t="shared" si="78"/>
        <v>9.4589990563868369</v>
      </c>
      <c r="AY56" s="9"/>
      <c r="AZ56" s="4">
        <f t="shared" si="48"/>
        <v>96.15069805148957</v>
      </c>
      <c r="BA56" s="348">
        <f t="shared" si="79"/>
        <v>0.27681795642768692</v>
      </c>
      <c r="BB56" s="348">
        <f t="shared" si="80"/>
        <v>0.72589701503433934</v>
      </c>
      <c r="BC56" s="348">
        <f t="shared" si="81"/>
        <v>0.48932967581107562</v>
      </c>
      <c r="BD56" s="348">
        <f t="shared" si="82"/>
        <v>0.2324078392232638</v>
      </c>
      <c r="BE56" s="348">
        <f t="shared" si="83"/>
        <v>4.2944940644877527E-2</v>
      </c>
      <c r="BK56" s="18"/>
      <c r="BL56" s="19"/>
    </row>
    <row r="57" spans="1:64" x14ac:dyDescent="0.25">
      <c r="A57" s="24" t="s">
        <v>221</v>
      </c>
      <c r="B57" s="15" t="s">
        <v>111</v>
      </c>
      <c r="C57" s="24" t="s">
        <v>76</v>
      </c>
      <c r="D57" s="24" t="s">
        <v>210</v>
      </c>
      <c r="G57">
        <v>48</v>
      </c>
      <c r="H57" s="531">
        <f t="shared" si="49"/>
        <v>50</v>
      </c>
      <c r="I57" s="4">
        <f t="shared" si="50"/>
        <v>1</v>
      </c>
      <c r="J57" s="348">
        <f t="shared" si="84"/>
        <v>2.4</v>
      </c>
      <c r="K57" s="348">
        <f t="shared" si="51"/>
        <v>2.4</v>
      </c>
      <c r="L57" s="4">
        <f t="shared" si="52"/>
        <v>0.6399999999999999</v>
      </c>
      <c r="M57" s="348">
        <f t="shared" si="53"/>
        <v>0.24052891778951799</v>
      </c>
      <c r="N57" s="4">
        <f t="shared" si="54"/>
        <v>13.835077576151384</v>
      </c>
      <c r="O57" s="4">
        <f t="shared" si="39"/>
        <v>9.3175387880756926</v>
      </c>
      <c r="P57" s="4">
        <f t="shared" si="40"/>
        <v>-4.5175387880756919</v>
      </c>
      <c r="Q57" s="4">
        <f t="shared" si="55"/>
        <v>50</v>
      </c>
      <c r="R57" s="4">
        <f t="shared" si="41"/>
        <v>4.6594829070950103</v>
      </c>
      <c r="S57" s="348">
        <f t="shared" si="56"/>
        <v>7.5987733365286997E-2</v>
      </c>
      <c r="T57" s="348">
        <f t="shared" si="57"/>
        <v>0.2</v>
      </c>
      <c r="U57" s="348">
        <f t="shared" si="58"/>
        <v>0.27767572930773887</v>
      </c>
      <c r="V57" s="4">
        <f t="shared" si="42"/>
        <v>3.9938428814251785</v>
      </c>
      <c r="W57" s="348">
        <f t="shared" si="10"/>
        <v>1.5950780961510574E-2</v>
      </c>
      <c r="X57" s="348">
        <f t="shared" si="43"/>
        <v>1.5950780961510574E-2</v>
      </c>
      <c r="Y57" s="4">
        <f t="shared" si="44"/>
        <v>1.991484784577586</v>
      </c>
      <c r="Z57" s="348">
        <f t="shared" si="11"/>
        <v>3.9660116472040345E-3</v>
      </c>
      <c r="AA57" s="525">
        <f t="shared" si="45"/>
        <v>3.9660116472040345E-3</v>
      </c>
      <c r="AB57" s="348">
        <f t="shared" si="46"/>
        <v>2.2851850360610646</v>
      </c>
      <c r="AC57" s="348">
        <f t="shared" si="59"/>
        <v>6.2664847788448913E-2</v>
      </c>
      <c r="AD57" s="348">
        <f t="shared" si="60"/>
        <v>0.140082399175364</v>
      </c>
      <c r="AE57" s="348">
        <f t="shared" si="61"/>
        <v>0</v>
      </c>
      <c r="AF57" s="348">
        <f t="shared" si="62"/>
        <v>1.3281564036942532E-2</v>
      </c>
      <c r="AG57" s="348">
        <f t="shared" si="63"/>
        <v>0.21832729403777759</v>
      </c>
      <c r="AH57" s="348">
        <f t="shared" si="64"/>
        <v>4.060629300055985</v>
      </c>
      <c r="AI57" s="348">
        <f t="shared" si="65"/>
        <v>6.7603712281139941E-2</v>
      </c>
      <c r="AJ57" s="348">
        <f t="shared" si="66"/>
        <v>2.7393564036942531E-2</v>
      </c>
      <c r="AK57" s="348">
        <f t="shared" si="67"/>
        <v>9.6054440381121042E-2</v>
      </c>
      <c r="AL57" s="348">
        <f t="shared" si="68"/>
        <v>1.4111999999999996E-2</v>
      </c>
      <c r="AM57" s="348">
        <f t="shared" si="69"/>
        <v>0.42480000000000001</v>
      </c>
      <c r="AN57" s="348">
        <f t="shared" si="70"/>
        <v>4.3421561923021136E-2</v>
      </c>
      <c r="AO57" s="348">
        <f t="shared" si="71"/>
        <v>1.1E-4</v>
      </c>
      <c r="AP57" s="348">
        <f t="shared" si="72"/>
        <v>4.9499999999999995E-2</v>
      </c>
      <c r="AQ57" s="348">
        <f t="shared" si="26"/>
        <v>0.46453846153846151</v>
      </c>
      <c r="AR57" s="348">
        <f t="shared" si="73"/>
        <v>0.44549999999999995</v>
      </c>
      <c r="AS57" s="348">
        <f t="shared" si="74"/>
        <v>4.9609999999999994E-2</v>
      </c>
      <c r="AT57" s="348">
        <f t="shared" si="75"/>
        <v>1.1439178182583731</v>
      </c>
      <c r="AU57">
        <f t="shared" si="76"/>
        <v>28.799999999999997</v>
      </c>
      <c r="AV57" s="526">
        <f t="shared" si="47"/>
        <v>0.96179799099098295</v>
      </c>
      <c r="AW57" s="534">
        <f t="shared" si="77"/>
        <v>20.945202349586658</v>
      </c>
      <c r="AX57" s="534">
        <f t="shared" si="78"/>
        <v>9.6149045235116279</v>
      </c>
      <c r="AY57" s="9"/>
      <c r="AZ57" s="4">
        <f t="shared" si="48"/>
        <v>96.17979909909829</v>
      </c>
      <c r="BA57" s="348">
        <f t="shared" si="79"/>
        <v>0.27767572930773887</v>
      </c>
      <c r="BB57" s="348">
        <f t="shared" si="80"/>
        <v>0.73918173441889867</v>
      </c>
      <c r="BC57" s="348">
        <f t="shared" si="81"/>
        <v>0.49869529403777757</v>
      </c>
      <c r="BD57" s="348">
        <f t="shared" si="82"/>
        <v>0.23623844038112105</v>
      </c>
      <c r="BE57" s="348">
        <f t="shared" si="83"/>
        <v>4.3421561923021136E-2</v>
      </c>
      <c r="BK57" s="18"/>
      <c r="BL57" s="19"/>
    </row>
    <row r="58" spans="1:64" x14ac:dyDescent="0.25">
      <c r="A58" s="23" t="s">
        <v>192</v>
      </c>
      <c r="B58" s="73">
        <f>VfdSky_Q2</f>
        <v>0</v>
      </c>
      <c r="C58" s="427" t="s">
        <v>0</v>
      </c>
      <c r="D58" s="76" t="s">
        <v>195</v>
      </c>
      <c r="G58">
        <v>49</v>
      </c>
      <c r="H58" s="531">
        <f t="shared" si="49"/>
        <v>50</v>
      </c>
      <c r="I58" s="4">
        <f t="shared" si="50"/>
        <v>1</v>
      </c>
      <c r="J58" s="348">
        <f t="shared" si="84"/>
        <v>2.4500000000000002</v>
      </c>
      <c r="K58" s="348">
        <f t="shared" si="51"/>
        <v>2.4500000000000002</v>
      </c>
      <c r="L58" s="4">
        <f t="shared" si="52"/>
        <v>0.65333333333333343</v>
      </c>
      <c r="M58" s="348">
        <f t="shared" si="53"/>
        <v>0.24053994009668192</v>
      </c>
      <c r="N58" s="4">
        <f t="shared" si="54"/>
        <v>13.83542912037688</v>
      </c>
      <c r="O58" s="4">
        <f t="shared" si="39"/>
        <v>9.3677145601884391</v>
      </c>
      <c r="P58" s="4">
        <f t="shared" si="40"/>
        <v>-4.4677145601884396</v>
      </c>
      <c r="Q58" s="4">
        <f t="shared" si="55"/>
        <v>50</v>
      </c>
      <c r="R58" s="4">
        <f t="shared" si="41"/>
        <v>4.6855193499491294</v>
      </c>
      <c r="S58" s="348">
        <f t="shared" si="56"/>
        <v>7.6839320525616997E-2</v>
      </c>
      <c r="T58" s="348">
        <f t="shared" si="57"/>
        <v>0.2</v>
      </c>
      <c r="U58" s="348">
        <f t="shared" si="58"/>
        <v>0.27855161788961291</v>
      </c>
      <c r="V58" s="4">
        <f t="shared" si="42"/>
        <v>3.9939443635017895</v>
      </c>
      <c r="W58" s="348">
        <f t="shared" si="10"/>
        <v>1.5951591578747714E-2</v>
      </c>
      <c r="X58" s="348">
        <f t="shared" si="43"/>
        <v>1.5951591578747714E-2</v>
      </c>
      <c r="Y58" s="4">
        <f t="shared" si="44"/>
        <v>2.0026442341619544</v>
      </c>
      <c r="Z58" s="348">
        <f t="shared" si="11"/>
        <v>4.0105839286221209E-3</v>
      </c>
      <c r="AA58" s="525">
        <f t="shared" si="45"/>
        <v>4.0105839286221209E-3</v>
      </c>
      <c r="AB58" s="348">
        <f t="shared" si="46"/>
        <v>2.2980069349828001</v>
      </c>
      <c r="AC58" s="348">
        <f t="shared" si="59"/>
        <v>6.3370030478748521E-2</v>
      </c>
      <c r="AD58" s="348">
        <f t="shared" si="60"/>
        <v>0.14300078249151746</v>
      </c>
      <c r="AE58" s="348">
        <f t="shared" si="61"/>
        <v>0</v>
      </c>
      <c r="AF58" s="348">
        <f t="shared" si="62"/>
        <v>1.3135080806954011E-2</v>
      </c>
      <c r="AG58" s="348">
        <f t="shared" si="63"/>
        <v>0.22186793646374198</v>
      </c>
      <c r="AH58" s="348">
        <f t="shared" si="64"/>
        <v>4.0832898140492881</v>
      </c>
      <c r="AI58" s="348">
        <f t="shared" si="65"/>
        <v>6.8360348392626544E-2</v>
      </c>
      <c r="AJ58" s="348">
        <f t="shared" si="66"/>
        <v>2.7541080806954006E-2</v>
      </c>
      <c r="AK58" s="348">
        <f t="shared" si="67"/>
        <v>9.6980734065424817E-2</v>
      </c>
      <c r="AL58" s="348">
        <f t="shared" si="68"/>
        <v>1.4405999999999999E-2</v>
      </c>
      <c r="AM58" s="348">
        <f t="shared" si="69"/>
        <v>0.43364999999999998</v>
      </c>
      <c r="AN58" s="348">
        <f t="shared" si="70"/>
        <v>4.3908183157495423E-2</v>
      </c>
      <c r="AO58" s="348">
        <f t="shared" si="71"/>
        <v>1.1E-4</v>
      </c>
      <c r="AP58" s="348">
        <f t="shared" si="72"/>
        <v>4.9499999999999995E-2</v>
      </c>
      <c r="AQ58" s="348">
        <f t="shared" si="26"/>
        <v>0.46453846153846151</v>
      </c>
      <c r="AR58" s="348">
        <f t="shared" si="73"/>
        <v>0.44549999999999995</v>
      </c>
      <c r="AS58" s="348">
        <f t="shared" si="74"/>
        <v>4.9609999999999994E-2</v>
      </c>
      <c r="AT58" s="348">
        <f t="shared" si="75"/>
        <v>1.1589366470836451</v>
      </c>
      <c r="AU58">
        <f t="shared" si="76"/>
        <v>29.400000000000002</v>
      </c>
      <c r="AV58" s="526">
        <f t="shared" si="47"/>
        <v>0.96207536078667033</v>
      </c>
      <c r="AW58" s="534">
        <f t="shared" si="77"/>
        <v>21.339231331477162</v>
      </c>
      <c r="AX58" s="534">
        <f t="shared" si="78"/>
        <v>9.7714690264627908</v>
      </c>
      <c r="AY58" s="9"/>
      <c r="AZ58" s="4">
        <f t="shared" si="48"/>
        <v>96.207536078667033</v>
      </c>
      <c r="BA58" s="348">
        <f t="shared" si="79"/>
        <v>0.27855161788961291</v>
      </c>
      <c r="BB58" s="348">
        <f t="shared" si="80"/>
        <v>0.75249867052916675</v>
      </c>
      <c r="BC58" s="348">
        <f t="shared" si="81"/>
        <v>0.50807693646374197</v>
      </c>
      <c r="BD58" s="348">
        <f t="shared" si="82"/>
        <v>0.24008523406542481</v>
      </c>
      <c r="BE58" s="348">
        <f t="shared" si="83"/>
        <v>4.3908183157495423E-2</v>
      </c>
      <c r="BK58" s="18"/>
      <c r="BL58" s="19"/>
    </row>
    <row r="59" spans="1:64" x14ac:dyDescent="0.25">
      <c r="A59" s="23" t="s">
        <v>193</v>
      </c>
      <c r="B59" s="73">
        <f>QrrSky_Q2*1000000000</f>
        <v>0</v>
      </c>
      <c r="C59" s="427" t="s">
        <v>65</v>
      </c>
      <c r="D59" s="76" t="s">
        <v>196</v>
      </c>
      <c r="G59">
        <v>50</v>
      </c>
      <c r="H59" s="531">
        <f t="shared" si="49"/>
        <v>50</v>
      </c>
      <c r="I59" s="4">
        <f t="shared" si="50"/>
        <v>1</v>
      </c>
      <c r="J59" s="348">
        <f t="shared" si="84"/>
        <v>2.5</v>
      </c>
      <c r="K59" s="348">
        <f t="shared" si="51"/>
        <v>2.5</v>
      </c>
      <c r="L59" s="4">
        <f t="shared" si="52"/>
        <v>0.66666666666666663</v>
      </c>
      <c r="M59" s="348">
        <f t="shared" si="53"/>
        <v>0.2405509625339475</v>
      </c>
      <c r="N59" s="4">
        <f t="shared" si="54"/>
        <v>13.835780646199717</v>
      </c>
      <c r="O59" s="4">
        <f t="shared" si="39"/>
        <v>9.4178903230998579</v>
      </c>
      <c r="P59" s="4">
        <f t="shared" si="40"/>
        <v>-4.4178903230998587</v>
      </c>
      <c r="Q59" s="4">
        <f t="shared" si="55"/>
        <v>50</v>
      </c>
      <c r="R59" s="4">
        <f t="shared" si="41"/>
        <v>4.7119425053947994</v>
      </c>
      <c r="S59" s="348">
        <f t="shared" si="56"/>
        <v>7.7708407609511768E-2</v>
      </c>
      <c r="T59" s="348">
        <f t="shared" si="57"/>
        <v>0.2</v>
      </c>
      <c r="U59" s="348">
        <f t="shared" si="58"/>
        <v>0.27944562960068831</v>
      </c>
      <c r="V59" s="4">
        <f t="shared" si="42"/>
        <v>3.9940458402660108</v>
      </c>
      <c r="W59" s="348">
        <f t="shared" si="10"/>
        <v>1.5952402174146223E-2</v>
      </c>
      <c r="X59" s="348">
        <f t="shared" si="43"/>
        <v>1.5952402174146223E-2</v>
      </c>
      <c r="Y59" s="4">
        <f t="shared" si="44"/>
        <v>2.0139693186653682</v>
      </c>
      <c r="Z59" s="348">
        <f t="shared" si="11"/>
        <v>4.0560724165254478E-3</v>
      </c>
      <c r="AA59" s="525">
        <f t="shared" si="45"/>
        <v>4.0560724165254478E-3</v>
      </c>
      <c r="AB59" s="348">
        <f t="shared" si="46"/>
        <v>2.3110190855024717</v>
      </c>
      <c r="AC59" s="348">
        <f t="shared" si="59"/>
        <v>6.4089710562680174E-2</v>
      </c>
      <c r="AD59" s="348">
        <f t="shared" si="60"/>
        <v>0.14591916580767084</v>
      </c>
      <c r="AE59" s="348">
        <f t="shared" si="61"/>
        <v>0</v>
      </c>
      <c r="AF59" s="348">
        <f t="shared" si="62"/>
        <v>1.2988597549913583E-2</v>
      </c>
      <c r="AG59" s="348">
        <f t="shared" si="63"/>
        <v>0.22542463707725294</v>
      </c>
      <c r="AH59" s="348">
        <f t="shared" si="64"/>
        <v>4.1062870041668464</v>
      </c>
      <c r="AI59" s="348">
        <f t="shared" si="65"/>
        <v>6.913253113841708E-2</v>
      </c>
      <c r="AJ59" s="348">
        <f t="shared" si="66"/>
        <v>2.7688597549913579E-2</v>
      </c>
      <c r="AK59" s="348">
        <f t="shared" si="67"/>
        <v>9.7923232744859368E-2</v>
      </c>
      <c r="AL59" s="348">
        <f t="shared" si="68"/>
        <v>1.4699999999999998E-2</v>
      </c>
      <c r="AM59" s="348">
        <f t="shared" si="69"/>
        <v>0.4425</v>
      </c>
      <c r="AN59" s="348">
        <f t="shared" si="70"/>
        <v>4.4404804348292436E-2</v>
      </c>
      <c r="AO59" s="348">
        <f t="shared" si="71"/>
        <v>1.1E-4</v>
      </c>
      <c r="AP59" s="348">
        <f t="shared" si="72"/>
        <v>4.9499999999999995E-2</v>
      </c>
      <c r="AQ59" s="348">
        <f t="shared" si="26"/>
        <v>0.46453846153846151</v>
      </c>
      <c r="AR59" s="348">
        <f t="shared" si="73"/>
        <v>0.44549999999999995</v>
      </c>
      <c r="AS59" s="348">
        <f t="shared" si="74"/>
        <v>4.9609999999999994E-2</v>
      </c>
      <c r="AT59" s="348">
        <f t="shared" si="75"/>
        <v>1.1740167783617648</v>
      </c>
      <c r="AU59">
        <f t="shared" si="76"/>
        <v>30</v>
      </c>
      <c r="AV59" s="526">
        <f t="shared" si="47"/>
        <v>0.96233989393446839</v>
      </c>
      <c r="AW59" s="534">
        <f t="shared" si="77"/>
        <v>21.733934757244622</v>
      </c>
      <c r="AX59" s="534">
        <f t="shared" si="78"/>
        <v>9.9286930727157774</v>
      </c>
      <c r="AY59" s="9"/>
      <c r="AZ59" s="4">
        <f t="shared" si="48"/>
        <v>96.233989393446834</v>
      </c>
      <c r="BA59" s="348">
        <f t="shared" si="79"/>
        <v>0.27944562960068831</v>
      </c>
      <c r="BB59" s="348">
        <f t="shared" si="80"/>
        <v>0.76584786982211228</v>
      </c>
      <c r="BC59" s="348">
        <f t="shared" si="81"/>
        <v>0.51747463707725294</v>
      </c>
      <c r="BD59" s="348">
        <f t="shared" si="82"/>
        <v>0.24394823274485938</v>
      </c>
      <c r="BE59" s="348">
        <f t="shared" si="83"/>
        <v>4.4404804348292436E-2</v>
      </c>
      <c r="BK59" s="18"/>
      <c r="BL59" s="19"/>
    </row>
    <row r="60" spans="1:64" x14ac:dyDescent="0.25">
      <c r="A60" s="23" t="s">
        <v>194</v>
      </c>
      <c r="B60" s="73">
        <f>Ireverse</f>
        <v>0</v>
      </c>
      <c r="C60" s="427" t="s">
        <v>64</v>
      </c>
      <c r="D60" s="76" t="s">
        <v>197</v>
      </c>
      <c r="E60" s="2"/>
      <c r="G60">
        <v>51</v>
      </c>
      <c r="H60" s="531">
        <f t="shared" si="49"/>
        <v>50</v>
      </c>
      <c r="I60" s="4">
        <f t="shared" si="50"/>
        <v>1</v>
      </c>
      <c r="J60" s="348">
        <f t="shared" si="84"/>
        <v>2.5499999999999998</v>
      </c>
      <c r="K60" s="348">
        <f t="shared" si="51"/>
        <v>2.5499999999999998</v>
      </c>
      <c r="L60" s="4">
        <f t="shared" si="52"/>
        <v>0.67999999999999994</v>
      </c>
      <c r="M60" s="348">
        <f t="shared" si="53"/>
        <v>0.24056198510131699</v>
      </c>
      <c r="N60" s="4">
        <f t="shared" si="54"/>
        <v>13.83613215361957</v>
      </c>
      <c r="O60" s="4">
        <f t="shared" si="39"/>
        <v>9.4680660768097837</v>
      </c>
      <c r="P60" s="4">
        <f t="shared" si="40"/>
        <v>-4.368066076809785</v>
      </c>
      <c r="Q60" s="4">
        <f t="shared" si="55"/>
        <v>50</v>
      </c>
      <c r="R60" s="4">
        <f t="shared" si="41"/>
        <v>4.7387459045302389</v>
      </c>
      <c r="S60" s="348">
        <f t="shared" si="56"/>
        <v>7.8594994616957389E-2</v>
      </c>
      <c r="T60" s="348">
        <f t="shared" si="57"/>
        <v>0.2</v>
      </c>
      <c r="U60" s="348">
        <f t="shared" si="58"/>
        <v>0.28035777202359874</v>
      </c>
      <c r="V60" s="4">
        <f t="shared" si="42"/>
        <v>3.9941473117177475</v>
      </c>
      <c r="W60" s="348">
        <f t="shared" si="10"/>
        <v>1.595321274770211E-2</v>
      </c>
      <c r="X60" s="348">
        <f t="shared" si="43"/>
        <v>1.595321274770211E-2</v>
      </c>
      <c r="Y60" s="4">
        <f t="shared" si="44"/>
        <v>2.0254572808570099</v>
      </c>
      <c r="Z60" s="348">
        <f t="shared" si="11"/>
        <v>4.1024771965766727E-3</v>
      </c>
      <c r="AA60" s="525">
        <f t="shared" si="45"/>
        <v>4.1024771965766727E-3</v>
      </c>
      <c r="AB60" s="348">
        <f t="shared" si="46"/>
        <v>2.3242183278367312</v>
      </c>
      <c r="AC60" s="348">
        <f t="shared" si="59"/>
        <v>6.4823890025426059E-2</v>
      </c>
      <c r="AD60" s="348">
        <f t="shared" si="60"/>
        <v>0.14883754912382421</v>
      </c>
      <c r="AE60" s="348">
        <f t="shared" si="61"/>
        <v>0</v>
      </c>
      <c r="AF60" s="348">
        <f t="shared" si="62"/>
        <v>1.2842114265820766E-2</v>
      </c>
      <c r="AG60" s="348">
        <f t="shared" si="63"/>
        <v>0.22899743012512919</v>
      </c>
      <c r="AH60" s="348">
        <f t="shared" si="64"/>
        <v>4.1296152256899115</v>
      </c>
      <c r="AI60" s="348">
        <f t="shared" si="65"/>
        <v>6.9920259840224736E-2</v>
      </c>
      <c r="AJ60" s="348">
        <f t="shared" si="66"/>
        <v>2.783611426582076E-2</v>
      </c>
      <c r="AK60" s="348">
        <f t="shared" si="67"/>
        <v>9.8881949142875153E-2</v>
      </c>
      <c r="AL60" s="348">
        <f t="shared" si="68"/>
        <v>1.4993999999999997E-2</v>
      </c>
      <c r="AM60" s="348">
        <f t="shared" si="69"/>
        <v>0.45134999999999992</v>
      </c>
      <c r="AN60" s="348">
        <f t="shared" si="70"/>
        <v>4.4911425495404222E-2</v>
      </c>
      <c r="AO60" s="348">
        <f t="shared" si="71"/>
        <v>1.1E-4</v>
      </c>
      <c r="AP60" s="348">
        <f t="shared" si="72"/>
        <v>4.9499999999999995E-2</v>
      </c>
      <c r="AQ60" s="348">
        <f t="shared" si="26"/>
        <v>0.46453846153846151</v>
      </c>
      <c r="AR60" s="348">
        <f t="shared" si="73"/>
        <v>0.44549999999999995</v>
      </c>
      <c r="AS60" s="348">
        <f t="shared" si="74"/>
        <v>4.9609999999999994E-2</v>
      </c>
      <c r="AT60" s="348">
        <f t="shared" si="75"/>
        <v>1.1891582667312859</v>
      </c>
      <c r="AU60">
        <f t="shared" si="76"/>
        <v>30.599999999999998</v>
      </c>
      <c r="AV60" s="526">
        <f t="shared" si="47"/>
        <v>0.96259233236836628</v>
      </c>
      <c r="AW60" s="534">
        <f t="shared" si="77"/>
        <v>22.129314065255421</v>
      </c>
      <c r="AX60" s="534">
        <f t="shared" si="78"/>
        <v>10.086577180115018</v>
      </c>
      <c r="AY60" s="9"/>
      <c r="AZ60" s="4">
        <f t="shared" si="48"/>
        <v>96.259233236836621</v>
      </c>
      <c r="BA60" s="348">
        <f t="shared" si="79"/>
        <v>0.28035777202359874</v>
      </c>
      <c r="BB60" s="348">
        <f t="shared" si="80"/>
        <v>0.77922937926800429</v>
      </c>
      <c r="BC60" s="348">
        <f t="shared" si="81"/>
        <v>0.52688843012512909</v>
      </c>
      <c r="BD60" s="348">
        <f t="shared" si="82"/>
        <v>0.24782744914287513</v>
      </c>
      <c r="BE60" s="348">
        <f t="shared" si="83"/>
        <v>4.4911425495404222E-2</v>
      </c>
      <c r="BK60" s="18"/>
      <c r="BL60" s="19"/>
    </row>
    <row r="61" spans="1:64" x14ac:dyDescent="0.25">
      <c r="A61" s="24" t="s">
        <v>117</v>
      </c>
      <c r="B61" s="15" t="s">
        <v>111</v>
      </c>
      <c r="C61" s="24" t="s">
        <v>76</v>
      </c>
      <c r="D61" s="24" t="s">
        <v>210</v>
      </c>
      <c r="G61">
        <v>52</v>
      </c>
      <c r="H61" s="531">
        <f t="shared" si="49"/>
        <v>50</v>
      </c>
      <c r="I61" s="4">
        <f t="shared" si="50"/>
        <v>1</v>
      </c>
      <c r="J61" s="348">
        <f t="shared" si="84"/>
        <v>2.6</v>
      </c>
      <c r="K61" s="348">
        <f t="shared" si="51"/>
        <v>2.6</v>
      </c>
      <c r="L61" s="4">
        <f t="shared" si="52"/>
        <v>0.69333333333333336</v>
      </c>
      <c r="M61" s="348">
        <f t="shared" si="53"/>
        <v>0.24057300779879268</v>
      </c>
      <c r="N61" s="4">
        <f t="shared" si="54"/>
        <v>13.836483642636106</v>
      </c>
      <c r="O61" s="4">
        <f t="shared" si="39"/>
        <v>9.5182418213180533</v>
      </c>
      <c r="P61" s="4">
        <f t="shared" si="40"/>
        <v>-4.3182418213180522</v>
      </c>
      <c r="Q61" s="4">
        <f t="shared" si="55"/>
        <v>50</v>
      </c>
      <c r="R61" s="4">
        <f t="shared" si="41"/>
        <v>4.7659231319243256</v>
      </c>
      <c r="S61" s="348">
        <f t="shared" si="56"/>
        <v>7.9499081547939804E-2</v>
      </c>
      <c r="T61" s="348">
        <f t="shared" si="57"/>
        <v>0.2</v>
      </c>
      <c r="U61" s="348">
        <f t="shared" si="58"/>
        <v>0.28128805289639353</v>
      </c>
      <c r="V61" s="4">
        <f t="shared" si="42"/>
        <v>3.9942487778569049</v>
      </c>
      <c r="W61" s="348">
        <f t="shared" si="10"/>
        <v>1.5954023299411379E-2</v>
      </c>
      <c r="X61" s="348">
        <f t="shared" si="43"/>
        <v>1.5954023299411379E-2</v>
      </c>
      <c r="Y61" s="4">
        <f t="shared" si="44"/>
        <v>2.0371053861872692</v>
      </c>
      <c r="Z61" s="348">
        <f t="shared" si="11"/>
        <v>4.149798354433183E-3</v>
      </c>
      <c r="AA61" s="525">
        <f t="shared" si="45"/>
        <v>4.149798354433183E-3</v>
      </c>
      <c r="AB61" s="348">
        <f t="shared" si="46"/>
        <v>2.3376015281376015</v>
      </c>
      <c r="AC61" s="348">
        <f t="shared" si="59"/>
        <v>6.557257085221499E-2</v>
      </c>
      <c r="AD61" s="348">
        <f t="shared" si="60"/>
        <v>0.15175593243997768</v>
      </c>
      <c r="AE61" s="348">
        <f t="shared" si="61"/>
        <v>0</v>
      </c>
      <c r="AF61" s="348">
        <f t="shared" si="62"/>
        <v>1.2695630954675073E-2</v>
      </c>
      <c r="AG61" s="348">
        <f t="shared" si="63"/>
        <v>0.23258635011377951</v>
      </c>
      <c r="AH61" s="348">
        <f t="shared" si="64"/>
        <v>4.1532688806601632</v>
      </c>
      <c r="AI61" s="348">
        <f t="shared" si="65"/>
        <v>7.0723533819746498E-2</v>
      </c>
      <c r="AJ61" s="348">
        <f t="shared" si="66"/>
        <v>2.7983630954675071E-2</v>
      </c>
      <c r="AK61" s="348">
        <f t="shared" si="67"/>
        <v>9.9856896238158105E-2</v>
      </c>
      <c r="AL61" s="348">
        <f t="shared" si="68"/>
        <v>1.5287999999999998E-2</v>
      </c>
      <c r="AM61" s="348">
        <f t="shared" si="69"/>
        <v>0.4602</v>
      </c>
      <c r="AN61" s="348">
        <f t="shared" si="70"/>
        <v>4.5428046598822748E-2</v>
      </c>
      <c r="AO61" s="348">
        <f t="shared" si="71"/>
        <v>1.1E-4</v>
      </c>
      <c r="AP61" s="348">
        <f t="shared" si="72"/>
        <v>4.9499999999999995E-2</v>
      </c>
      <c r="AQ61" s="348">
        <f t="shared" si="26"/>
        <v>0.46453846153846151</v>
      </c>
      <c r="AR61" s="348">
        <f t="shared" si="73"/>
        <v>0.44549999999999995</v>
      </c>
      <c r="AS61" s="348">
        <f t="shared" si="74"/>
        <v>4.9609999999999994E-2</v>
      </c>
      <c r="AT61" s="348">
        <f t="shared" si="75"/>
        <v>1.2043611675009984</v>
      </c>
      <c r="AU61">
        <f t="shared" si="76"/>
        <v>31.200000000000003</v>
      </c>
      <c r="AV61" s="526">
        <f t="shared" si="47"/>
        <v>0.96283336180350698</v>
      </c>
      <c r="AW61" s="534">
        <f t="shared" si="77"/>
        <v>22.525370704778737</v>
      </c>
      <c r="AX61" s="534">
        <f t="shared" si="78"/>
        <v>10.245121876893037</v>
      </c>
      <c r="AY61" s="9"/>
      <c r="AZ61" s="4">
        <f t="shared" si="48"/>
        <v>96.283336180350702</v>
      </c>
      <c r="BA61" s="348">
        <f t="shared" si="79"/>
        <v>0.28128805289639353</v>
      </c>
      <c r="BB61" s="348">
        <f t="shared" si="80"/>
        <v>0.79264324635193761</v>
      </c>
      <c r="BC61" s="348">
        <f t="shared" si="81"/>
        <v>0.53631835011377949</v>
      </c>
      <c r="BD61" s="348">
        <f t="shared" si="82"/>
        <v>0.25172289623815813</v>
      </c>
      <c r="BE61" s="348">
        <f t="shared" si="83"/>
        <v>4.5428046598822748E-2</v>
      </c>
      <c r="BK61" s="18"/>
      <c r="BL61" s="19"/>
    </row>
    <row r="62" spans="1:64" ht="15.6" x14ac:dyDescent="0.35">
      <c r="A62" s="433" t="s">
        <v>454</v>
      </c>
      <c r="B62" s="74">
        <v>30</v>
      </c>
      <c r="C62" s="428" t="s">
        <v>202</v>
      </c>
      <c r="D62" s="76" t="s">
        <v>103</v>
      </c>
      <c r="G62">
        <v>53</v>
      </c>
      <c r="H62" s="531">
        <f t="shared" si="49"/>
        <v>50</v>
      </c>
      <c r="I62" s="4">
        <f t="shared" si="50"/>
        <v>1</v>
      </c>
      <c r="J62" s="348">
        <f t="shared" si="84"/>
        <v>2.65</v>
      </c>
      <c r="K62" s="348">
        <f t="shared" si="51"/>
        <v>2.65</v>
      </c>
      <c r="L62" s="4">
        <f t="shared" si="52"/>
        <v>0.70666666666666655</v>
      </c>
      <c r="M62" s="348">
        <f t="shared" si="53"/>
        <v>0.24058403062637687</v>
      </c>
      <c r="N62" s="4">
        <f t="shared" si="54"/>
        <v>13.836835113249004</v>
      </c>
      <c r="O62" s="4">
        <f t="shared" si="39"/>
        <v>9.5684175566245013</v>
      </c>
      <c r="P62" s="4">
        <f t="shared" si="40"/>
        <v>-4.2684175566245024</v>
      </c>
      <c r="Q62" s="4">
        <f t="shared" si="55"/>
        <v>50</v>
      </c>
      <c r="R62" s="4">
        <f t="shared" si="41"/>
        <v>4.7934678291681534</v>
      </c>
      <c r="S62" s="348">
        <f t="shared" si="56"/>
        <v>8.0420668402445175E-2</v>
      </c>
      <c r="T62" s="348">
        <f t="shared" si="57"/>
        <v>0.2</v>
      </c>
      <c r="U62" s="348">
        <f t="shared" si="58"/>
        <v>0.28223648011270253</v>
      </c>
      <c r="V62" s="4">
        <f t="shared" si="42"/>
        <v>3.9943502386833893</v>
      </c>
      <c r="W62" s="348">
        <f t="shared" si="10"/>
        <v>1.595483382927005E-2</v>
      </c>
      <c r="X62" s="348">
        <f t="shared" si="43"/>
        <v>1.595483382927005E-2</v>
      </c>
      <c r="Y62" s="4">
        <f t="shared" si="44"/>
        <v>2.0489109243076182</v>
      </c>
      <c r="Z62" s="348">
        <f t="shared" si="11"/>
        <v>4.1980359757470987E-3</v>
      </c>
      <c r="AA62" s="525">
        <f t="shared" si="45"/>
        <v>4.1980359757470987E-3</v>
      </c>
      <c r="AB62" s="348">
        <f t="shared" si="46"/>
        <v>2.3511655802375109</v>
      </c>
      <c r="AC62" s="348">
        <f t="shared" si="59"/>
        <v>6.6335755028323104E-2</v>
      </c>
      <c r="AD62" s="348">
        <f t="shared" si="60"/>
        <v>0.15467431575613108</v>
      </c>
      <c r="AE62" s="348">
        <f t="shared" si="61"/>
        <v>0</v>
      </c>
      <c r="AF62" s="348">
        <f t="shared" si="62"/>
        <v>1.2549147616476037E-2</v>
      </c>
      <c r="AG62" s="348">
        <f t="shared" si="63"/>
        <v>0.23619143181026986</v>
      </c>
      <c r="AH62" s="348">
        <f t="shared" si="64"/>
        <v>4.1772424209730108</v>
      </c>
      <c r="AI62" s="348">
        <f t="shared" si="65"/>
        <v>7.1542352398663481E-2</v>
      </c>
      <c r="AJ62" s="348">
        <f t="shared" si="66"/>
        <v>2.8131147616476029E-2</v>
      </c>
      <c r="AK62" s="348">
        <f t="shared" si="67"/>
        <v>0.10084808726510976</v>
      </c>
      <c r="AL62" s="348">
        <f t="shared" si="68"/>
        <v>1.5581999999999997E-2</v>
      </c>
      <c r="AM62" s="348">
        <f t="shared" si="69"/>
        <v>0.46905000000000002</v>
      </c>
      <c r="AN62" s="348">
        <f t="shared" si="70"/>
        <v>4.5954667658540095E-2</v>
      </c>
      <c r="AO62" s="348">
        <f t="shared" si="71"/>
        <v>1.1E-4</v>
      </c>
      <c r="AP62" s="348">
        <f t="shared" si="72"/>
        <v>4.9499999999999995E-2</v>
      </c>
      <c r="AQ62" s="348">
        <f t="shared" si="26"/>
        <v>0.46453846153846151</v>
      </c>
      <c r="AR62" s="348">
        <f t="shared" si="73"/>
        <v>0.44549999999999995</v>
      </c>
      <c r="AS62" s="348">
        <f t="shared" si="74"/>
        <v>4.9609999999999994E-2</v>
      </c>
      <c r="AT62" s="348">
        <f t="shared" si="75"/>
        <v>1.2196255366516393</v>
      </c>
      <c r="AU62">
        <f t="shared" si="76"/>
        <v>31.799999999999997</v>
      </c>
      <c r="AV62" s="526">
        <f t="shared" si="47"/>
        <v>0.9630636169602268</v>
      </c>
      <c r="AW62" s="534">
        <f t="shared" si="77"/>
        <v>22.922106136031335</v>
      </c>
      <c r="AX62" s="534">
        <f t="shared" si="78"/>
        <v>10.404327701689969</v>
      </c>
      <c r="AY62" s="9"/>
      <c r="AZ62" s="4">
        <f t="shared" si="48"/>
        <v>96.306361696022677</v>
      </c>
      <c r="BA62" s="348">
        <f t="shared" si="79"/>
        <v>0.28223648011270253</v>
      </c>
      <c r="BB62" s="348">
        <f t="shared" si="80"/>
        <v>0.80608951907537962</v>
      </c>
      <c r="BC62" s="348">
        <f t="shared" si="81"/>
        <v>0.5457644318102699</v>
      </c>
      <c r="BD62" s="348">
        <f t="shared" si="82"/>
        <v>0.25563458726510979</v>
      </c>
      <c r="BE62" s="348">
        <f t="shared" si="83"/>
        <v>4.5954667658540095E-2</v>
      </c>
      <c r="BK62" s="18"/>
      <c r="BL62" s="19"/>
    </row>
    <row r="63" spans="1:64" x14ac:dyDescent="0.25">
      <c r="A63" s="23" t="s">
        <v>118</v>
      </c>
      <c r="B63" s="74">
        <v>2</v>
      </c>
      <c r="C63" s="428" t="s">
        <v>202</v>
      </c>
      <c r="D63" s="21" t="s">
        <v>103</v>
      </c>
      <c r="G63">
        <v>54</v>
      </c>
      <c r="H63" s="531">
        <f t="shared" si="49"/>
        <v>50</v>
      </c>
      <c r="I63" s="4">
        <f t="shared" si="50"/>
        <v>1</v>
      </c>
      <c r="J63" s="348">
        <f t="shared" si="84"/>
        <v>2.7</v>
      </c>
      <c r="K63" s="348">
        <f t="shared" si="51"/>
        <v>2.7</v>
      </c>
      <c r="L63" s="4">
        <f t="shared" si="52"/>
        <v>0.72000000000000008</v>
      </c>
      <c r="M63" s="348">
        <f t="shared" si="53"/>
        <v>0.24059505358407185</v>
      </c>
      <c r="N63" s="4">
        <f t="shared" si="54"/>
        <v>13.837186565457934</v>
      </c>
      <c r="O63" s="4">
        <f t="shared" si="39"/>
        <v>9.6185932827289662</v>
      </c>
      <c r="P63" s="4">
        <f t="shared" si="40"/>
        <v>-4.2185932827289667</v>
      </c>
      <c r="Q63" s="4">
        <f t="shared" si="55"/>
        <v>50</v>
      </c>
      <c r="R63" s="4">
        <f t="shared" si="41"/>
        <v>4.8213736981563802</v>
      </c>
      <c r="S63" s="348">
        <f t="shared" si="56"/>
        <v>8.1359755180459459E-2</v>
      </c>
      <c r="T63" s="348">
        <f t="shared" si="57"/>
        <v>0.2</v>
      </c>
      <c r="U63" s="348">
        <f t="shared" si="58"/>
        <v>0.28320306172190352</v>
      </c>
      <c r="V63" s="4">
        <f t="shared" si="42"/>
        <v>3.9944516941971058</v>
      </c>
      <c r="W63" s="348">
        <f t="shared" si="10"/>
        <v>1.5955644337274127E-2</v>
      </c>
      <c r="X63" s="348">
        <f t="shared" si="43"/>
        <v>1.5955644337274127E-2</v>
      </c>
      <c r="Y63" s="4">
        <f t="shared" si="44"/>
        <v>2.0608712104751366</v>
      </c>
      <c r="Z63" s="348">
        <f t="shared" si="11"/>
        <v>4.2471901461652549E-3</v>
      </c>
      <c r="AA63" s="525">
        <f t="shared" si="45"/>
        <v>4.2471901461652549E-3</v>
      </c>
      <c r="AB63" s="348">
        <f t="shared" si="46"/>
        <v>2.3649074072620149</v>
      </c>
      <c r="AC63" s="348">
        <f t="shared" si="59"/>
        <v>6.7113444539072947E-2</v>
      </c>
      <c r="AD63" s="348">
        <f t="shared" si="60"/>
        <v>0.15759269907228451</v>
      </c>
      <c r="AE63" s="348">
        <f t="shared" si="61"/>
        <v>0</v>
      </c>
      <c r="AF63" s="348">
        <f t="shared" si="62"/>
        <v>1.2402664251223161E-2</v>
      </c>
      <c r="AG63" s="348">
        <f t="shared" si="63"/>
        <v>0.23981271024339973</v>
      </c>
      <c r="AH63" s="348">
        <f t="shared" si="64"/>
        <v>4.2015303512352951</v>
      </c>
      <c r="AI63" s="348">
        <f t="shared" si="65"/>
        <v>7.2376714898640657E-2</v>
      </c>
      <c r="AJ63" s="348">
        <f t="shared" si="66"/>
        <v>2.8278664251223155E-2</v>
      </c>
      <c r="AK63" s="348">
        <f t="shared" si="67"/>
        <v>0.10185553571433688</v>
      </c>
      <c r="AL63" s="348">
        <f t="shared" si="68"/>
        <v>1.5875999999999998E-2</v>
      </c>
      <c r="AM63" s="348">
        <f t="shared" si="69"/>
        <v>0.47790000000000005</v>
      </c>
      <c r="AN63" s="348">
        <f t="shared" si="70"/>
        <v>4.6491288674548256E-2</v>
      </c>
      <c r="AO63" s="348">
        <f t="shared" si="71"/>
        <v>1.1E-4</v>
      </c>
      <c r="AP63" s="348">
        <f t="shared" si="72"/>
        <v>4.9499999999999995E-2</v>
      </c>
      <c r="AQ63" s="348">
        <f t="shared" si="26"/>
        <v>0.46453846153846151</v>
      </c>
      <c r="AR63" s="348">
        <f t="shared" si="73"/>
        <v>0.44549999999999995</v>
      </c>
      <c r="AS63" s="348">
        <f t="shared" si="74"/>
        <v>4.9609999999999994E-2</v>
      </c>
      <c r="AT63" s="348">
        <f t="shared" si="75"/>
        <v>1.2349514308376279</v>
      </c>
      <c r="AU63">
        <f t="shared" si="76"/>
        <v>32.400000000000006</v>
      </c>
      <c r="AV63" s="526">
        <f t="shared" si="47"/>
        <v>0.96328368621619653</v>
      </c>
      <c r="AW63" s="534">
        <f t="shared" si="77"/>
        <v>23.31952183022279</v>
      </c>
      <c r="AX63" s="534">
        <f t="shared" si="78"/>
        <v>10.564195203573513</v>
      </c>
      <c r="AY63" s="9"/>
      <c r="AZ63" s="4">
        <f t="shared" si="48"/>
        <v>96.32836862161966</v>
      </c>
      <c r="BA63" s="348">
        <f t="shared" si="79"/>
        <v>0.28320306172190352</v>
      </c>
      <c r="BB63" s="348">
        <f t="shared" si="80"/>
        <v>0.8195682459577367</v>
      </c>
      <c r="BC63" s="348">
        <f t="shared" si="81"/>
        <v>0.55522671024339976</v>
      </c>
      <c r="BD63" s="348">
        <f t="shared" si="82"/>
        <v>0.25956253571433691</v>
      </c>
      <c r="BE63" s="348">
        <f t="shared" si="83"/>
        <v>4.6491288674548256E-2</v>
      </c>
      <c r="BK63" s="18"/>
      <c r="BL63" s="19"/>
    </row>
    <row r="64" spans="1:64" x14ac:dyDescent="0.25">
      <c r="A64" s="75"/>
      <c r="B64" s="30"/>
      <c r="G64">
        <v>55</v>
      </c>
      <c r="H64" s="531">
        <f t="shared" si="49"/>
        <v>50</v>
      </c>
      <c r="I64" s="4">
        <f t="shared" si="50"/>
        <v>1</v>
      </c>
      <c r="J64" s="348">
        <f t="shared" si="84"/>
        <v>2.75</v>
      </c>
      <c r="K64" s="348">
        <f t="shared" si="51"/>
        <v>2.75</v>
      </c>
      <c r="L64" s="4">
        <f t="shared" si="52"/>
        <v>0.73333333333333328</v>
      </c>
      <c r="M64" s="348">
        <f t="shared" si="53"/>
        <v>0.24060607667188003</v>
      </c>
      <c r="N64" s="4">
        <f t="shared" si="54"/>
        <v>13.837537999262578</v>
      </c>
      <c r="O64" s="4">
        <f t="shared" si="39"/>
        <v>9.6687689996312898</v>
      </c>
      <c r="P64" s="4">
        <f t="shared" si="40"/>
        <v>-4.1687689996312889</v>
      </c>
      <c r="Q64" s="4">
        <f t="shared" si="55"/>
        <v>50</v>
      </c>
      <c r="R64" s="4">
        <f t="shared" si="41"/>
        <v>4.849634504106433</v>
      </c>
      <c r="S64" s="348">
        <f t="shared" si="56"/>
        <v>8.2316341881968763E-2</v>
      </c>
      <c r="T64" s="348">
        <f t="shared" si="57"/>
        <v>0.2</v>
      </c>
      <c r="U64" s="348">
        <f t="shared" si="58"/>
        <v>0.28418780592929371</v>
      </c>
      <c r="V64" s="4">
        <f t="shared" si="42"/>
        <v>3.9945531443979627</v>
      </c>
      <c r="W64" s="348">
        <f t="shared" si="10"/>
        <v>1.595645482341965E-2</v>
      </c>
      <c r="X64" s="348">
        <f t="shared" si="43"/>
        <v>1.595645482341965E-2</v>
      </c>
      <c r="Y64" s="4">
        <f t="shared" si="44"/>
        <v>2.0729835868451127</v>
      </c>
      <c r="Z64" s="348">
        <f t="shared" si="11"/>
        <v>4.2972609513292296E-3</v>
      </c>
      <c r="AA64" s="525">
        <f t="shared" si="45"/>
        <v>4.2972609513292296E-3</v>
      </c>
      <c r="AB64" s="348">
        <f t="shared" si="46"/>
        <v>2.3788239631141668</v>
      </c>
      <c r="AC64" s="348">
        <f t="shared" si="59"/>
        <v>6.7905641369834291E-2</v>
      </c>
      <c r="AD64" s="348">
        <f t="shared" si="60"/>
        <v>0.16051108238843792</v>
      </c>
      <c r="AE64" s="348">
        <f t="shared" si="61"/>
        <v>0</v>
      </c>
      <c r="AF64" s="348">
        <f t="shared" si="62"/>
        <v>1.2256180858915987E-2</v>
      </c>
      <c r="AG64" s="348">
        <f t="shared" si="63"/>
        <v>0.24345022070479075</v>
      </c>
      <c r="AH64" s="348">
        <f t="shared" si="64"/>
        <v>4.2261272313944191</v>
      </c>
      <c r="AI64" s="348">
        <f t="shared" si="65"/>
        <v>7.3226620641327178E-2</v>
      </c>
      <c r="AJ64" s="348">
        <f t="shared" si="66"/>
        <v>2.8426180858915986E-2</v>
      </c>
      <c r="AK64" s="348">
        <f t="shared" si="67"/>
        <v>0.10287925533315204</v>
      </c>
      <c r="AL64" s="348">
        <f t="shared" si="68"/>
        <v>1.6169999999999997E-2</v>
      </c>
      <c r="AM64" s="348">
        <f t="shared" si="69"/>
        <v>0.48674999999999996</v>
      </c>
      <c r="AN64" s="348">
        <f t="shared" si="70"/>
        <v>4.70379096468393E-2</v>
      </c>
      <c r="AO64" s="348">
        <f t="shared" si="71"/>
        <v>1.1E-4</v>
      </c>
      <c r="AP64" s="348">
        <f t="shared" si="72"/>
        <v>4.9499999999999995E-2</v>
      </c>
      <c r="AQ64" s="348">
        <f t="shared" si="26"/>
        <v>0.46453846153846151</v>
      </c>
      <c r="AR64" s="348">
        <f t="shared" si="73"/>
        <v>0.44549999999999995</v>
      </c>
      <c r="AS64" s="348">
        <f t="shared" si="74"/>
        <v>4.9609999999999994E-2</v>
      </c>
      <c r="AT64" s="348">
        <f t="shared" si="75"/>
        <v>1.2503389073888247</v>
      </c>
      <c r="AU64">
        <f t="shared" si="76"/>
        <v>33</v>
      </c>
      <c r="AV64" s="526">
        <f t="shared" si="47"/>
        <v>0.96349411575839661</v>
      </c>
      <c r="AW64" s="534">
        <f t="shared" si="77"/>
        <v>23.717619269601212</v>
      </c>
      <c r="AX64" s="534">
        <f t="shared" si="78"/>
        <v>10.724724942059289</v>
      </c>
      <c r="AY64" s="9"/>
      <c r="AZ64" s="4">
        <f t="shared" si="48"/>
        <v>96.349411575839667</v>
      </c>
      <c r="BA64" s="348">
        <f t="shared" si="79"/>
        <v>0.28418780592929371</v>
      </c>
      <c r="BB64" s="348">
        <f t="shared" si="80"/>
        <v>0.83307947603794275</v>
      </c>
      <c r="BC64" s="348">
        <f t="shared" si="81"/>
        <v>0.56470522070479079</v>
      </c>
      <c r="BD64" s="348">
        <f t="shared" si="82"/>
        <v>0.26350675533315204</v>
      </c>
      <c r="BE64" s="348">
        <f t="shared" si="83"/>
        <v>4.70379096468393E-2</v>
      </c>
      <c r="BK64" s="18"/>
      <c r="BL64" s="19"/>
    </row>
    <row r="65" spans="1:64" x14ac:dyDescent="0.25">
      <c r="G65">
        <v>56</v>
      </c>
      <c r="H65" s="531">
        <f t="shared" si="49"/>
        <v>50</v>
      </c>
      <c r="I65" s="4">
        <f t="shared" si="50"/>
        <v>1</v>
      </c>
      <c r="J65" s="348">
        <f t="shared" si="84"/>
        <v>2.8</v>
      </c>
      <c r="K65" s="348">
        <f t="shared" si="51"/>
        <v>2.8</v>
      </c>
      <c r="L65" s="4">
        <f t="shared" si="52"/>
        <v>0.74666666666666659</v>
      </c>
      <c r="M65" s="348">
        <f t="shared" si="53"/>
        <v>0.24061709988980359</v>
      </c>
      <c r="N65" s="4">
        <f t="shared" si="54"/>
        <v>13.837889414662605</v>
      </c>
      <c r="O65" s="4">
        <f t="shared" si="39"/>
        <v>9.7189447073313033</v>
      </c>
      <c r="P65" s="4">
        <f t="shared" si="40"/>
        <v>-4.1189447073313028</v>
      </c>
      <c r="Q65" s="4">
        <f t="shared" si="55"/>
        <v>50</v>
      </c>
      <c r="R65" s="4">
        <f t="shared" si="41"/>
        <v>4.8782440783239425</v>
      </c>
      <c r="S65" s="348">
        <f t="shared" si="56"/>
        <v>8.3290428506959141E-2</v>
      </c>
      <c r="T65" s="348">
        <f t="shared" si="57"/>
        <v>0.2</v>
      </c>
      <c r="U65" s="348">
        <f t="shared" si="58"/>
        <v>0.28519072109626448</v>
      </c>
      <c r="V65" s="4">
        <f t="shared" si="42"/>
        <v>3.9946545892858643</v>
      </c>
      <c r="W65" s="348">
        <f t="shared" si="10"/>
        <v>1.5957265287702617E-2</v>
      </c>
      <c r="X65" s="348">
        <f t="shared" si="43"/>
        <v>1.5957265287702617E-2</v>
      </c>
      <c r="Y65" s="4">
        <f t="shared" si="44"/>
        <v>2.085245423655286</v>
      </c>
      <c r="Z65" s="348">
        <f t="shared" si="11"/>
        <v>4.3482484768753134E-3</v>
      </c>
      <c r="AA65" s="525">
        <f t="shared" si="45"/>
        <v>4.3482484768753134E-3</v>
      </c>
      <c r="AB65" s="348">
        <f t="shared" si="46"/>
        <v>2.3929122338345996</v>
      </c>
      <c r="AC65" s="348">
        <f t="shared" si="59"/>
        <v>6.8712347506023522E-2</v>
      </c>
      <c r="AD65" s="348">
        <f t="shared" si="60"/>
        <v>0.16342946570459133</v>
      </c>
      <c r="AE65" s="348">
        <f t="shared" si="61"/>
        <v>0</v>
      </c>
      <c r="AF65" s="348">
        <f t="shared" si="62"/>
        <v>1.2109697439554029E-2</v>
      </c>
      <c r="AG65" s="348">
        <f t="shared" si="63"/>
        <v>0.24710399874998468</v>
      </c>
      <c r="AH65" s="348">
        <f t="shared" si="64"/>
        <v>4.2510276791462216</v>
      </c>
      <c r="AI65" s="348">
        <f t="shared" si="65"/>
        <v>7.409206894835596E-2</v>
      </c>
      <c r="AJ65" s="348">
        <f t="shared" si="66"/>
        <v>2.8573697439554027E-2</v>
      </c>
      <c r="AK65" s="348">
        <f t="shared" si="67"/>
        <v>0.10391926012608352</v>
      </c>
      <c r="AL65" s="348">
        <f t="shared" si="68"/>
        <v>1.6463999999999996E-2</v>
      </c>
      <c r="AM65" s="348">
        <f t="shared" si="69"/>
        <v>0.49559999999999993</v>
      </c>
      <c r="AN65" s="348">
        <f t="shared" si="70"/>
        <v>4.7594530575405226E-2</v>
      </c>
      <c r="AO65" s="348">
        <f t="shared" si="71"/>
        <v>1.1E-4</v>
      </c>
      <c r="AP65" s="348">
        <f t="shared" si="72"/>
        <v>4.9499999999999995E-2</v>
      </c>
      <c r="AQ65" s="348">
        <f t="shared" si="26"/>
        <v>0.46453846153846151</v>
      </c>
      <c r="AR65" s="348">
        <f t="shared" si="73"/>
        <v>0.44549999999999995</v>
      </c>
      <c r="AS65" s="348">
        <f t="shared" si="74"/>
        <v>4.9609999999999994E-2</v>
      </c>
      <c r="AT65" s="348">
        <f t="shared" si="75"/>
        <v>1.2657880243123159</v>
      </c>
      <c r="AU65">
        <f t="shared" si="76"/>
        <v>33.599999999999994</v>
      </c>
      <c r="AV65" s="526">
        <f t="shared" si="47"/>
        <v>0.96369541329656261</v>
      </c>
      <c r="AW65" s="534">
        <f t="shared" si="77"/>
        <v>24.116399947499353</v>
      </c>
      <c r="AX65" s="534">
        <f t="shared" si="78"/>
        <v>10.885917487131598</v>
      </c>
      <c r="AY65" s="9"/>
      <c r="AZ65" s="4">
        <f t="shared" si="48"/>
        <v>96.369541329656258</v>
      </c>
      <c r="BA65" s="348">
        <f t="shared" si="79"/>
        <v>0.28519072109626448</v>
      </c>
      <c r="BB65" s="348">
        <f t="shared" si="80"/>
        <v>0.84662325887606815</v>
      </c>
      <c r="BC65" s="348">
        <f t="shared" si="81"/>
        <v>0.57419999874998462</v>
      </c>
      <c r="BD65" s="348">
        <f t="shared" si="82"/>
        <v>0.26746726012608346</v>
      </c>
      <c r="BE65" s="348">
        <f t="shared" si="83"/>
        <v>4.7594530575405226E-2</v>
      </c>
      <c r="BK65" s="18"/>
      <c r="BL65" s="19"/>
    </row>
    <row r="66" spans="1:64" x14ac:dyDescent="0.25">
      <c r="A66" s="11" t="s">
        <v>77</v>
      </c>
      <c r="B66" s="31"/>
      <c r="C66" s="31"/>
      <c r="G66">
        <v>57</v>
      </c>
      <c r="H66" s="531">
        <f t="shared" si="49"/>
        <v>50</v>
      </c>
      <c r="I66" s="4">
        <f t="shared" si="50"/>
        <v>1</v>
      </c>
      <c r="J66" s="348">
        <f t="shared" si="84"/>
        <v>2.85</v>
      </c>
      <c r="K66" s="348">
        <f t="shared" si="51"/>
        <v>2.85</v>
      </c>
      <c r="L66" s="4">
        <f t="shared" si="52"/>
        <v>0.76</v>
      </c>
      <c r="M66" s="348">
        <f t="shared" si="53"/>
        <v>0.24062812323784488</v>
      </c>
      <c r="N66" s="4">
        <f t="shared" si="54"/>
        <v>13.838240811657688</v>
      </c>
      <c r="O66" s="4">
        <f t="shared" si="39"/>
        <v>9.7691204058288434</v>
      </c>
      <c r="P66" s="4">
        <f t="shared" si="40"/>
        <v>-4.0691204058288442</v>
      </c>
      <c r="Q66" s="4">
        <f t="shared" si="55"/>
        <v>50</v>
      </c>
      <c r="R66" s="4">
        <f t="shared" si="41"/>
        <v>4.9071963207231724</v>
      </c>
      <c r="S66" s="348">
        <f t="shared" si="56"/>
        <v>8.4282015055416645E-2</v>
      </c>
      <c r="T66" s="348">
        <f t="shared" si="57"/>
        <v>0.2</v>
      </c>
      <c r="U66" s="348">
        <f t="shared" si="58"/>
        <v>0.28621181574047883</v>
      </c>
      <c r="V66" s="4">
        <f t="shared" si="42"/>
        <v>3.9947560288607158</v>
      </c>
      <c r="W66" s="348">
        <f t="shared" si="10"/>
        <v>1.5958075730119037E-2</v>
      </c>
      <c r="X66" s="348">
        <f t="shared" si="43"/>
        <v>1.5958075730119037E-2</v>
      </c>
      <c r="Y66" s="4">
        <f t="shared" si="44"/>
        <v>2.0976541203054748</v>
      </c>
      <c r="Z66" s="348">
        <f t="shared" si="11"/>
        <v>4.4001528084345355E-3</v>
      </c>
      <c r="AA66" s="525">
        <f t="shared" si="45"/>
        <v>4.4001528084345355E-3</v>
      </c>
      <c r="AB66" s="348">
        <f t="shared" si="46"/>
        <v>2.4071692388416195</v>
      </c>
      <c r="AC66" s="348">
        <f t="shared" si="59"/>
        <v>6.95335649331041E-2</v>
      </c>
      <c r="AD66" s="348">
        <f t="shared" si="60"/>
        <v>0.16634784902074476</v>
      </c>
      <c r="AE66" s="348">
        <f t="shared" si="61"/>
        <v>0</v>
      </c>
      <c r="AF66" s="348">
        <f t="shared" si="62"/>
        <v>1.1963213993136801E-2</v>
      </c>
      <c r="AG66" s="348">
        <f t="shared" si="63"/>
        <v>0.25077408019955361</v>
      </c>
      <c r="AH66" s="348">
        <f t="shared" si="64"/>
        <v>4.2762263721292513</v>
      </c>
      <c r="AI66" s="348">
        <f t="shared" si="65"/>
        <v>7.4973059141344153E-2</v>
      </c>
      <c r="AJ66" s="348">
        <f t="shared" si="66"/>
        <v>2.8721213993136794E-2</v>
      </c>
      <c r="AK66" s="348">
        <f t="shared" si="67"/>
        <v>0.10497556435539653</v>
      </c>
      <c r="AL66" s="348">
        <f t="shared" si="68"/>
        <v>1.6757999999999999E-2</v>
      </c>
      <c r="AM66" s="348">
        <f t="shared" si="69"/>
        <v>0.50445000000000007</v>
      </c>
      <c r="AN66" s="348">
        <f t="shared" si="70"/>
        <v>4.8161151460238083E-2</v>
      </c>
      <c r="AO66" s="348">
        <f t="shared" si="71"/>
        <v>1.1E-4</v>
      </c>
      <c r="AP66" s="348">
        <f t="shared" si="72"/>
        <v>4.9499999999999995E-2</v>
      </c>
      <c r="AQ66" s="348">
        <f t="shared" si="26"/>
        <v>0.46453846153846151</v>
      </c>
      <c r="AR66" s="348">
        <f t="shared" si="73"/>
        <v>0.44549999999999995</v>
      </c>
      <c r="AS66" s="348">
        <f t="shared" si="74"/>
        <v>4.9609999999999994E-2</v>
      </c>
      <c r="AT66" s="348">
        <f t="shared" si="75"/>
        <v>1.2812988402942205</v>
      </c>
      <c r="AU66">
        <f t="shared" si="76"/>
        <v>34.200000000000003</v>
      </c>
      <c r="AV66" s="526">
        <f t="shared" si="47"/>
        <v>0.96388805139119893</v>
      </c>
      <c r="AW66" s="534">
        <f t="shared" si="77"/>
        <v>24.515865368381252</v>
      </c>
      <c r="AX66" s="534">
        <f t="shared" si="78"/>
        <v>11.04777341926464</v>
      </c>
      <c r="AY66" s="9"/>
      <c r="AZ66" s="4">
        <f t="shared" si="48"/>
        <v>96.388805139119896</v>
      </c>
      <c r="BA66" s="348">
        <f t="shared" si="79"/>
        <v>0.28621181574047883</v>
      </c>
      <c r="BB66" s="348">
        <f t="shared" si="80"/>
        <v>0.86019964455495024</v>
      </c>
      <c r="BC66" s="348">
        <f t="shared" si="81"/>
        <v>0.58371108019955364</v>
      </c>
      <c r="BD66" s="348">
        <f t="shared" si="82"/>
        <v>0.27144406435539653</v>
      </c>
      <c r="BE66" s="348">
        <f t="shared" si="83"/>
        <v>4.8161151460238083E-2</v>
      </c>
      <c r="BK66" s="18"/>
      <c r="BL66" s="19"/>
    </row>
    <row r="67" spans="1:64" x14ac:dyDescent="0.25">
      <c r="A67" s="14" t="s">
        <v>55</v>
      </c>
      <c r="B67" s="15" t="s">
        <v>7</v>
      </c>
      <c r="C67" s="15" t="s">
        <v>76</v>
      </c>
      <c r="G67">
        <v>58</v>
      </c>
      <c r="H67" s="531">
        <f t="shared" si="49"/>
        <v>50</v>
      </c>
      <c r="I67" s="4">
        <f t="shared" si="50"/>
        <v>1</v>
      </c>
      <c r="J67" s="348">
        <f t="shared" si="84"/>
        <v>2.9</v>
      </c>
      <c r="K67" s="348">
        <f t="shared" si="51"/>
        <v>2.9</v>
      </c>
      <c r="L67" s="4">
        <f t="shared" si="52"/>
        <v>0.77333333333333332</v>
      </c>
      <c r="M67" s="348">
        <f t="shared" si="53"/>
        <v>0.24063914671600622</v>
      </c>
      <c r="N67" s="4">
        <f t="shared" si="54"/>
        <v>13.838592190247502</v>
      </c>
      <c r="O67" s="4">
        <f t="shared" si="39"/>
        <v>9.8192960951237502</v>
      </c>
      <c r="P67" s="4">
        <f t="shared" si="40"/>
        <v>-4.0192960951237513</v>
      </c>
      <c r="Q67" s="4">
        <f t="shared" si="55"/>
        <v>50</v>
      </c>
      <c r="R67" s="4">
        <f t="shared" si="41"/>
        <v>4.9364852021114096</v>
      </c>
      <c r="S67" s="348">
        <f t="shared" si="56"/>
        <v>8.5291101527327232E-2</v>
      </c>
      <c r="T67" s="348">
        <f t="shared" si="57"/>
        <v>0.2</v>
      </c>
      <c r="U67" s="348">
        <f t="shared" si="58"/>
        <v>0.28725109853605318</v>
      </c>
      <c r="V67" s="4">
        <f t="shared" si="42"/>
        <v>3.9948574631224241</v>
      </c>
      <c r="W67" s="348">
        <f t="shared" si="10"/>
        <v>1.595888615066493E-2</v>
      </c>
      <c r="X67" s="348">
        <f t="shared" si="43"/>
        <v>1.595888615066493E-2</v>
      </c>
      <c r="Y67" s="4">
        <f t="shared" si="44"/>
        <v>2.1102071063363987</v>
      </c>
      <c r="Z67" s="348">
        <f t="shared" si="11"/>
        <v>4.4529740316326376E-3</v>
      </c>
      <c r="AA67" s="525">
        <f t="shared" si="45"/>
        <v>4.4529740316326376E-3</v>
      </c>
      <c r="AB67" s="348">
        <f t="shared" si="46"/>
        <v>2.4215920320556701</v>
      </c>
      <c r="AC67" s="348">
        <f t="shared" si="59"/>
        <v>7.0369295636586116E-2</v>
      </c>
      <c r="AD67" s="348">
        <f t="shared" si="60"/>
        <v>0.16926623233689816</v>
      </c>
      <c r="AE67" s="348">
        <f t="shared" si="61"/>
        <v>0</v>
      </c>
      <c r="AF67" s="348">
        <f t="shared" si="62"/>
        <v>1.1816730519663829E-2</v>
      </c>
      <c r="AG67" s="348">
        <f t="shared" si="63"/>
        <v>0.2544605011402199</v>
      </c>
      <c r="AH67" s="348">
        <f t="shared" si="64"/>
        <v>4.3017180499132452</v>
      </c>
      <c r="AI67" s="348">
        <f t="shared" si="65"/>
        <v>7.5869590541892573E-2</v>
      </c>
      <c r="AJ67" s="348">
        <f t="shared" si="66"/>
        <v>2.8868730519663821E-2</v>
      </c>
      <c r="AK67" s="348">
        <f t="shared" si="67"/>
        <v>0.10604818254162357</v>
      </c>
      <c r="AL67" s="348">
        <f t="shared" si="68"/>
        <v>1.7051999999999998E-2</v>
      </c>
      <c r="AM67" s="348">
        <f t="shared" si="69"/>
        <v>0.51329999999999998</v>
      </c>
      <c r="AN67" s="348">
        <f t="shared" si="70"/>
        <v>4.8737772301329849E-2</v>
      </c>
      <c r="AO67" s="348">
        <f t="shared" si="71"/>
        <v>1.1E-4</v>
      </c>
      <c r="AP67" s="348">
        <f t="shared" si="72"/>
        <v>4.9499999999999995E-2</v>
      </c>
      <c r="AQ67" s="348">
        <f t="shared" si="26"/>
        <v>0.46453846153846151</v>
      </c>
      <c r="AR67" s="348">
        <f t="shared" si="73"/>
        <v>0.44549999999999995</v>
      </c>
      <c r="AS67" s="348">
        <f t="shared" si="74"/>
        <v>4.9609999999999994E-2</v>
      </c>
      <c r="AT67" s="348">
        <f t="shared" si="75"/>
        <v>1.2968714147015239</v>
      </c>
      <c r="AU67">
        <f t="shared" si="76"/>
        <v>34.799999999999997</v>
      </c>
      <c r="AV67" s="526">
        <f t="shared" si="47"/>
        <v>0.96407247044204136</v>
      </c>
      <c r="AW67" s="534">
        <f t="shared" si="77"/>
        <v>24.916017047889238</v>
      </c>
      <c r="AX67" s="534">
        <f t="shared" si="78"/>
        <v>11.210293329444081</v>
      </c>
      <c r="AY67" s="9"/>
      <c r="AZ67" s="4">
        <f t="shared" si="48"/>
        <v>96.407247044204141</v>
      </c>
      <c r="BA67" s="348">
        <f t="shared" si="79"/>
        <v>0.28725109853605318</v>
      </c>
      <c r="BB67" s="348">
        <f t="shared" si="80"/>
        <v>0.8738086836818435</v>
      </c>
      <c r="BC67" s="348">
        <f t="shared" si="81"/>
        <v>0.59323850114021992</v>
      </c>
      <c r="BD67" s="348">
        <f t="shared" si="82"/>
        <v>0.27543718254162358</v>
      </c>
      <c r="BE67" s="348">
        <f t="shared" si="83"/>
        <v>4.8737772301329849E-2</v>
      </c>
      <c r="BK67" s="18"/>
      <c r="BL67" s="19"/>
    </row>
    <row r="68" spans="1:64" x14ac:dyDescent="0.25">
      <c r="A68" s="32" t="s">
        <v>205</v>
      </c>
      <c r="B68" s="436">
        <f>D1_Vinmin</f>
        <v>0.3</v>
      </c>
      <c r="C68" s="21" t="s">
        <v>18</v>
      </c>
      <c r="G68">
        <v>59</v>
      </c>
      <c r="H68" s="531">
        <f t="shared" si="49"/>
        <v>50</v>
      </c>
      <c r="I68" s="4">
        <f t="shared" si="50"/>
        <v>1</v>
      </c>
      <c r="J68" s="348">
        <f t="shared" si="84"/>
        <v>2.95</v>
      </c>
      <c r="K68" s="348">
        <f t="shared" si="51"/>
        <v>2.95</v>
      </c>
      <c r="L68" s="4">
        <f t="shared" si="52"/>
        <v>0.78666666666666685</v>
      </c>
      <c r="M68" s="348">
        <f t="shared" si="53"/>
        <v>0.2406501703242899</v>
      </c>
      <c r="N68" s="4">
        <f t="shared" si="54"/>
        <v>13.838943550431726</v>
      </c>
      <c r="O68" s="4">
        <f t="shared" si="39"/>
        <v>9.8694717752158638</v>
      </c>
      <c r="P68" s="4">
        <f t="shared" si="40"/>
        <v>-3.9694717752158626</v>
      </c>
      <c r="Q68" s="4">
        <f t="shared" si="55"/>
        <v>50</v>
      </c>
      <c r="R68" s="4">
        <f t="shared" si="41"/>
        <v>4.9661047662465121</v>
      </c>
      <c r="S68" s="348">
        <f t="shared" si="56"/>
        <v>8.6317687922677147E-2</v>
      </c>
      <c r="T68" s="348">
        <f t="shared" si="57"/>
        <v>0.2</v>
      </c>
      <c r="U68" s="348">
        <f t="shared" si="58"/>
        <v>0.28830857831374246</v>
      </c>
      <c r="V68" s="4">
        <f t="shared" si="42"/>
        <v>3.9949588920708963</v>
      </c>
      <c r="W68" s="348">
        <f t="shared" si="10"/>
        <v>1.5959696549336322E-2</v>
      </c>
      <c r="X68" s="348">
        <f t="shared" si="43"/>
        <v>1.5959696549336322E-2</v>
      </c>
      <c r="Y68" s="4">
        <f t="shared" si="44"/>
        <v>2.1229018423116273</v>
      </c>
      <c r="Z68" s="348">
        <f t="shared" si="11"/>
        <v>4.506712232090101E-3</v>
      </c>
      <c r="AA68" s="525">
        <f t="shared" si="45"/>
        <v>4.506712232090101E-3</v>
      </c>
      <c r="AB68" s="348">
        <f t="shared" si="46"/>
        <v>2.4361777029126799</v>
      </c>
      <c r="AC68" s="348">
        <f t="shared" si="59"/>
        <v>7.1219541602026815E-2</v>
      </c>
      <c r="AD68" s="348">
        <f t="shared" si="60"/>
        <v>0.1721846156530516</v>
      </c>
      <c r="AE68" s="348">
        <f t="shared" si="61"/>
        <v>0</v>
      </c>
      <c r="AF68" s="348">
        <f t="shared" si="62"/>
        <v>1.1670247019134636E-2</v>
      </c>
      <c r="AG68" s="348">
        <f t="shared" si="63"/>
        <v>0.25816329792598808</v>
      </c>
      <c r="AH68" s="348">
        <f t="shared" si="64"/>
        <v>4.3274975157898616</v>
      </c>
      <c r="AI68" s="348">
        <f t="shared" si="65"/>
        <v>7.6781662471586423E-2</v>
      </c>
      <c r="AJ68" s="348">
        <f t="shared" si="66"/>
        <v>2.9016247019134633E-2</v>
      </c>
      <c r="AK68" s="348">
        <f t="shared" si="67"/>
        <v>0.10713712946410661</v>
      </c>
      <c r="AL68" s="348">
        <f t="shared" si="68"/>
        <v>1.7345999999999997E-2</v>
      </c>
      <c r="AM68" s="348">
        <f t="shared" si="69"/>
        <v>0.52215</v>
      </c>
      <c r="AN68" s="348">
        <f t="shared" si="70"/>
        <v>4.9324393098672654E-2</v>
      </c>
      <c r="AO68" s="348">
        <f t="shared" si="71"/>
        <v>1.1E-4</v>
      </c>
      <c r="AP68" s="348">
        <f t="shared" si="72"/>
        <v>4.9499999999999995E-2</v>
      </c>
      <c r="AQ68" s="348">
        <f t="shared" si="26"/>
        <v>0.46453846153846151</v>
      </c>
      <c r="AR68" s="348">
        <f t="shared" si="73"/>
        <v>0.44549999999999995</v>
      </c>
      <c r="AS68" s="348">
        <f t="shared" si="74"/>
        <v>4.9609999999999994E-2</v>
      </c>
      <c r="AT68" s="348">
        <f t="shared" si="75"/>
        <v>1.312505807583936</v>
      </c>
      <c r="AU68">
        <f t="shared" si="76"/>
        <v>35.400000000000006</v>
      </c>
      <c r="AV68" s="526">
        <f t="shared" si="47"/>
        <v>0.9642490813767115</v>
      </c>
      <c r="AW68" s="534">
        <f t="shared" si="77"/>
        <v>25.316856512891498</v>
      </c>
      <c r="AX68" s="534">
        <f t="shared" si="78"/>
        <v>11.373477819189139</v>
      </c>
      <c r="AY68" s="9"/>
      <c r="AZ68" s="4">
        <f t="shared" si="48"/>
        <v>96.424908137671153</v>
      </c>
      <c r="BA68" s="348">
        <f t="shared" si="79"/>
        <v>0.28830857831374246</v>
      </c>
      <c r="BB68" s="348">
        <f t="shared" si="80"/>
        <v>0.88745042739009472</v>
      </c>
      <c r="BC68" s="348">
        <f t="shared" si="81"/>
        <v>0.60278229792598803</v>
      </c>
      <c r="BD68" s="348">
        <f t="shared" si="82"/>
        <v>0.27944662946410659</v>
      </c>
      <c r="BE68" s="348">
        <f t="shared" si="83"/>
        <v>4.9324393098672654E-2</v>
      </c>
      <c r="BK68" s="18"/>
      <c r="BL68" s="19"/>
    </row>
    <row r="69" spans="1:64" x14ac:dyDescent="0.25">
      <c r="A69" s="23" t="s">
        <v>78</v>
      </c>
      <c r="B69" s="436">
        <f>1-B68</f>
        <v>0.7</v>
      </c>
      <c r="C69" s="21" t="s">
        <v>18</v>
      </c>
      <c r="G69">
        <v>60</v>
      </c>
      <c r="H69" s="531">
        <f t="shared" si="49"/>
        <v>50</v>
      </c>
      <c r="I69" s="4">
        <f t="shared" si="50"/>
        <v>1</v>
      </c>
      <c r="J69" s="348">
        <f t="shared" si="84"/>
        <v>3</v>
      </c>
      <c r="K69" s="348">
        <f t="shared" si="51"/>
        <v>3</v>
      </c>
      <c r="L69" s="4">
        <f t="shared" si="52"/>
        <v>0.8</v>
      </c>
      <c r="M69" s="348">
        <f t="shared" si="53"/>
        <v>0.2406611940626982</v>
      </c>
      <c r="N69" s="4">
        <f t="shared" si="54"/>
        <v>13.839294892210022</v>
      </c>
      <c r="O69" s="4">
        <f t="shared" si="39"/>
        <v>9.9196474461050101</v>
      </c>
      <c r="P69" s="4">
        <f t="shared" si="40"/>
        <v>-3.919647446105011</v>
      </c>
      <c r="Q69" s="4">
        <f t="shared" si="55"/>
        <v>50</v>
      </c>
      <c r="R69" s="4">
        <f t="shared" si="41"/>
        <v>4.9960491316768696</v>
      </c>
      <c r="S69" s="348">
        <f t="shared" si="56"/>
        <v>8.7361774241452209E-2</v>
      </c>
      <c r="T69" s="348">
        <f t="shared" si="57"/>
        <v>0.2</v>
      </c>
      <c r="U69" s="348">
        <f t="shared" si="58"/>
        <v>0.28938426406112716</v>
      </c>
      <c r="V69" s="4">
        <f t="shared" si="42"/>
        <v>3.9950603157060347</v>
      </c>
      <c r="W69" s="348">
        <f t="shared" si="10"/>
        <v>1.5960506926129204E-2</v>
      </c>
      <c r="X69" s="348">
        <f t="shared" si="43"/>
        <v>1.5960506926129204E-2</v>
      </c>
      <c r="Y69" s="4">
        <f t="shared" si="44"/>
        <v>2.1357358206065928</v>
      </c>
      <c r="Z69" s="348">
        <f t="shared" si="11"/>
        <v>4.5613674954221167E-3</v>
      </c>
      <c r="AA69" s="525">
        <f t="shared" si="45"/>
        <v>4.5613674954221167E-3</v>
      </c>
      <c r="AB69" s="348">
        <f t="shared" si="46"/>
        <v>2.4509233772707995</v>
      </c>
      <c r="AC69" s="348">
        <f t="shared" si="59"/>
        <v>7.2084304815030031E-2</v>
      </c>
      <c r="AD69" s="348">
        <f t="shared" si="60"/>
        <v>0.175102998969205</v>
      </c>
      <c r="AE69" s="348">
        <f t="shared" si="61"/>
        <v>0</v>
      </c>
      <c r="AF69" s="348">
        <f t="shared" si="62"/>
        <v>1.1523763491548732E-2</v>
      </c>
      <c r="AG69" s="348">
        <f t="shared" si="63"/>
        <v>0.2618825071792874</v>
      </c>
      <c r="AH69" s="348">
        <f t="shared" si="64"/>
        <v>4.353559638373719</v>
      </c>
      <c r="AI69" s="348">
        <f t="shared" si="65"/>
        <v>7.770927425199449E-2</v>
      </c>
      <c r="AJ69" s="348">
        <f t="shared" si="66"/>
        <v>2.9163763491548724E-2</v>
      </c>
      <c r="AK69" s="348">
        <f t="shared" si="67"/>
        <v>0.10824242016154785</v>
      </c>
      <c r="AL69" s="348">
        <f t="shared" si="68"/>
        <v>1.7639999999999996E-2</v>
      </c>
      <c r="AM69" s="348">
        <f t="shared" si="69"/>
        <v>0.53099999999999992</v>
      </c>
      <c r="AN69" s="348">
        <f t="shared" si="70"/>
        <v>4.9921013852258403E-2</v>
      </c>
      <c r="AO69" s="348">
        <f t="shared" si="71"/>
        <v>1.1E-4</v>
      </c>
      <c r="AP69" s="348">
        <f t="shared" si="72"/>
        <v>4.9499999999999995E-2</v>
      </c>
      <c r="AQ69" s="348">
        <f t="shared" si="26"/>
        <v>0.46453846153846151</v>
      </c>
      <c r="AR69" s="348">
        <f t="shared" si="73"/>
        <v>0.44549999999999995</v>
      </c>
      <c r="AS69" s="348">
        <f t="shared" si="74"/>
        <v>4.9609999999999994E-2</v>
      </c>
      <c r="AT69" s="348">
        <f t="shared" si="75"/>
        <v>1.3282020796757719</v>
      </c>
      <c r="AU69">
        <f t="shared" si="76"/>
        <v>36</v>
      </c>
      <c r="AV69" s="526">
        <f t="shared" si="47"/>
        <v>0.96441826807407527</v>
      </c>
      <c r="AW69" s="534">
        <f t="shared" si="77"/>
        <v>25.71838530153007</v>
      </c>
      <c r="AX69" s="534">
        <f t="shared" si="78"/>
        <v>11.537327500574998</v>
      </c>
      <c r="AY69" s="9"/>
      <c r="AZ69" s="4">
        <f t="shared" si="48"/>
        <v>96.441826807407523</v>
      </c>
      <c r="BA69" s="348">
        <f t="shared" si="79"/>
        <v>0.28938426406112716</v>
      </c>
      <c r="BB69" s="348">
        <f t="shared" si="80"/>
        <v>0.90112492734083516</v>
      </c>
      <c r="BC69" s="348">
        <f t="shared" si="81"/>
        <v>0.6123425071792874</v>
      </c>
      <c r="BD69" s="348">
        <f t="shared" si="82"/>
        <v>0.28347242016154783</v>
      </c>
      <c r="BE69" s="348">
        <f t="shared" si="83"/>
        <v>4.9921013852258403E-2</v>
      </c>
      <c r="BK69" s="18"/>
      <c r="BL69" s="19"/>
    </row>
    <row r="70" spans="1:64" x14ac:dyDescent="0.25">
      <c r="A70" s="33" t="s">
        <v>206</v>
      </c>
      <c r="B70" s="436">
        <f>Iripple_Vinnom</f>
        <v>13.847079069034676</v>
      </c>
      <c r="C70" s="21" t="s">
        <v>1</v>
      </c>
      <c r="G70">
        <v>61</v>
      </c>
      <c r="H70" s="531">
        <f t="shared" si="49"/>
        <v>50</v>
      </c>
      <c r="I70" s="4">
        <f t="shared" si="50"/>
        <v>1</v>
      </c>
      <c r="J70" s="348">
        <f t="shared" si="84"/>
        <v>3.05</v>
      </c>
      <c r="K70" s="348">
        <f t="shared" si="51"/>
        <v>3.05</v>
      </c>
      <c r="L70" s="4">
        <f t="shared" si="52"/>
        <v>0.81333333333333324</v>
      </c>
      <c r="M70" s="348">
        <f t="shared" si="53"/>
        <v>0.24067221793123345</v>
      </c>
      <c r="N70" s="4">
        <f t="shared" si="54"/>
        <v>13.839646215582079</v>
      </c>
      <c r="O70" s="4">
        <f t="shared" si="39"/>
        <v>9.96982310779104</v>
      </c>
      <c r="P70" s="4">
        <f t="shared" si="40"/>
        <v>-3.8698231077910394</v>
      </c>
      <c r="Q70" s="4">
        <f t="shared" si="55"/>
        <v>50</v>
      </c>
      <c r="R70" s="4">
        <f t="shared" si="41"/>
        <v>5.0263124933732097</v>
      </c>
      <c r="S70" s="348">
        <f t="shared" si="56"/>
        <v>8.8423360483638649E-2</v>
      </c>
      <c r="T70" s="348">
        <f t="shared" si="57"/>
        <v>0.2</v>
      </c>
      <c r="U70" s="348">
        <f t="shared" si="58"/>
        <v>0.29047816492280626</v>
      </c>
      <c r="V70" s="4">
        <f t="shared" si="42"/>
        <v>3.9951617340277497</v>
      </c>
      <c r="W70" s="348">
        <f t="shared" si="10"/>
        <v>1.5961317281039618E-2</v>
      </c>
      <c r="X70" s="348">
        <f t="shared" si="43"/>
        <v>1.5961317281039618E-2</v>
      </c>
      <c r="Y70" s="4">
        <f t="shared" si="44"/>
        <v>2.1487065661086939</v>
      </c>
      <c r="Z70" s="348">
        <f t="shared" si="11"/>
        <v>4.6169399072386154E-3</v>
      </c>
      <c r="AA70" s="525">
        <f t="shared" si="45"/>
        <v>4.6169399072386154E-3</v>
      </c>
      <c r="AB70" s="348">
        <f t="shared" si="46"/>
        <v>2.4658262182151498</v>
      </c>
      <c r="AC70" s="348">
        <f t="shared" si="59"/>
        <v>7.2963587261246729E-2</v>
      </c>
      <c r="AD70" s="348">
        <f t="shared" si="60"/>
        <v>0.17802138228535841</v>
      </c>
      <c r="AE70" s="348">
        <f t="shared" si="61"/>
        <v>0</v>
      </c>
      <c r="AF70" s="348">
        <f t="shared" si="62"/>
        <v>1.1377279936905654E-2</v>
      </c>
      <c r="AG70" s="348">
        <f t="shared" si="63"/>
        <v>0.26561816579212572</v>
      </c>
      <c r="AH70" s="348">
        <f t="shared" si="64"/>
        <v>4.3798993530219832</v>
      </c>
      <c r="AI70" s="348">
        <f t="shared" si="65"/>
        <v>7.8652425204669779E-2</v>
      </c>
      <c r="AJ70" s="348">
        <f t="shared" si="66"/>
        <v>2.9311279936905653E-2</v>
      </c>
      <c r="AK70" s="348">
        <f t="shared" si="67"/>
        <v>0.10936406993257269</v>
      </c>
      <c r="AL70" s="348">
        <f t="shared" si="68"/>
        <v>1.7933999999999995E-2</v>
      </c>
      <c r="AM70" s="348">
        <f t="shared" si="69"/>
        <v>0.53984999999999994</v>
      </c>
      <c r="AN70" s="348">
        <f t="shared" si="70"/>
        <v>5.0527634562079232E-2</v>
      </c>
      <c r="AO70" s="348">
        <f t="shared" si="71"/>
        <v>1.1E-4</v>
      </c>
      <c r="AP70" s="348">
        <f t="shared" si="72"/>
        <v>4.9499999999999995E-2</v>
      </c>
      <c r="AQ70" s="348">
        <f t="shared" si="26"/>
        <v>0.46453846153846151</v>
      </c>
      <c r="AR70" s="348">
        <f t="shared" si="73"/>
        <v>0.44549999999999995</v>
      </c>
      <c r="AS70" s="348">
        <f t="shared" si="74"/>
        <v>4.9609999999999994E-2</v>
      </c>
      <c r="AT70" s="348">
        <f t="shared" si="75"/>
        <v>1.3439602923978622</v>
      </c>
      <c r="AU70">
        <f t="shared" si="76"/>
        <v>36.599999999999994</v>
      </c>
      <c r="AV70" s="526">
        <f t="shared" si="47"/>
        <v>0.96458038955234926</v>
      </c>
      <c r="AW70" s="534">
        <f t="shared" si="77"/>
        <v>26.12060496326928</v>
      </c>
      <c r="AX70" s="534">
        <f t="shared" si="78"/>
        <v>11.701842996255708</v>
      </c>
      <c r="AY70" s="9"/>
      <c r="AZ70" s="4">
        <f t="shared" si="48"/>
        <v>96.458038955234926</v>
      </c>
      <c r="BA70" s="348">
        <f t="shared" si="79"/>
        <v>0.29047816492280626</v>
      </c>
      <c r="BB70" s="348">
        <f t="shared" si="80"/>
        <v>0.91483223572469829</v>
      </c>
      <c r="BC70" s="348">
        <f t="shared" si="81"/>
        <v>0.62191916579212569</v>
      </c>
      <c r="BD70" s="348">
        <f t="shared" si="82"/>
        <v>0.28751456993257268</v>
      </c>
      <c r="BE70" s="348">
        <f t="shared" si="83"/>
        <v>5.0527634562079232E-2</v>
      </c>
      <c r="BK70" s="18"/>
      <c r="BL70" s="19"/>
    </row>
    <row r="71" spans="1:64" x14ac:dyDescent="0.25">
      <c r="A71" s="14" t="s">
        <v>59</v>
      </c>
      <c r="B71" s="15" t="s">
        <v>7</v>
      </c>
      <c r="C71" s="17" t="s">
        <v>76</v>
      </c>
      <c r="G71">
        <v>62</v>
      </c>
      <c r="H71" s="531">
        <f t="shared" si="49"/>
        <v>50</v>
      </c>
      <c r="I71" s="4">
        <f t="shared" si="50"/>
        <v>1</v>
      </c>
      <c r="J71" s="348">
        <f t="shared" si="84"/>
        <v>3.1</v>
      </c>
      <c r="K71" s="348">
        <f t="shared" si="51"/>
        <v>3.1</v>
      </c>
      <c r="L71" s="4">
        <f t="shared" si="52"/>
        <v>0.82666666666666677</v>
      </c>
      <c r="M71" s="348">
        <f t="shared" si="53"/>
        <v>0.24068324192989796</v>
      </c>
      <c r="N71" s="4">
        <f t="shared" si="54"/>
        <v>13.839997520547559</v>
      </c>
      <c r="O71" s="4">
        <f t="shared" si="39"/>
        <v>10.019998760273779</v>
      </c>
      <c r="P71" s="4">
        <f t="shared" si="40"/>
        <v>-3.8199987602737795</v>
      </c>
      <c r="Q71" s="4">
        <f t="shared" si="55"/>
        <v>50</v>
      </c>
      <c r="R71" s="4">
        <f t="shared" si="41"/>
        <v>5.0568891241615681</v>
      </c>
      <c r="S71" s="348">
        <f t="shared" si="56"/>
        <v>8.9502446649222425E-2</v>
      </c>
      <c r="T71" s="348">
        <f t="shared" si="57"/>
        <v>0.2</v>
      </c>
      <c r="U71" s="348">
        <f t="shared" si="58"/>
        <v>0.29159029020059118</v>
      </c>
      <c r="V71" s="4">
        <f t="shared" si="42"/>
        <v>3.9952631470359434</v>
      </c>
      <c r="W71" s="348">
        <f t="shared" si="10"/>
        <v>1.596212761406355E-2</v>
      </c>
      <c r="X71" s="348">
        <f t="shared" si="43"/>
        <v>1.596212761406355E-2</v>
      </c>
      <c r="Y71" s="4">
        <f t="shared" si="44"/>
        <v>2.1618116368324607</v>
      </c>
      <c r="Z71" s="348">
        <f t="shared" si="11"/>
        <v>4.6734295531442429E-3</v>
      </c>
      <c r="AA71" s="525">
        <f t="shared" si="45"/>
        <v>4.6734295531442429E-3</v>
      </c>
      <c r="AB71" s="348">
        <f t="shared" si="46"/>
        <v>2.4808834267651276</v>
      </c>
      <c r="AC71" s="348">
        <f t="shared" si="59"/>
        <v>7.3857390926374583E-2</v>
      </c>
      <c r="AD71" s="348">
        <f t="shared" si="60"/>
        <v>0.18093976560151184</v>
      </c>
      <c r="AE71" s="348">
        <f t="shared" si="61"/>
        <v>0</v>
      </c>
      <c r="AF71" s="348">
        <f t="shared" si="62"/>
        <v>1.123079635520491E-2</v>
      </c>
      <c r="AG71" s="348">
        <f t="shared" si="63"/>
        <v>0.26937031092725439</v>
      </c>
      <c r="AH71" s="348">
        <f t="shared" si="64"/>
        <v>4.4065116630806358</v>
      </c>
      <c r="AI71" s="348">
        <f t="shared" si="65"/>
        <v>7.9611114651149242E-2</v>
      </c>
      <c r="AJ71" s="348">
        <f t="shared" si="66"/>
        <v>2.9458796355204906E-2</v>
      </c>
      <c r="AK71" s="348">
        <f t="shared" si="67"/>
        <v>0.11050209433630198</v>
      </c>
      <c r="AL71" s="348">
        <f t="shared" si="68"/>
        <v>1.8227999999999998E-2</v>
      </c>
      <c r="AM71" s="348">
        <f t="shared" si="69"/>
        <v>0.54869999999999997</v>
      </c>
      <c r="AN71" s="348">
        <f t="shared" si="70"/>
        <v>5.11442552281271E-2</v>
      </c>
      <c r="AO71" s="348">
        <f t="shared" si="71"/>
        <v>1.1E-4</v>
      </c>
      <c r="AP71" s="348">
        <f t="shared" si="72"/>
        <v>4.9499999999999995E-2</v>
      </c>
      <c r="AQ71" s="348">
        <f t="shared" si="26"/>
        <v>0.46453846153846151</v>
      </c>
      <c r="AR71" s="348">
        <f t="shared" si="73"/>
        <v>0.44549999999999995</v>
      </c>
      <c r="AS71" s="348">
        <f t="shared" si="74"/>
        <v>4.9609999999999994E-2</v>
      </c>
      <c r="AT71" s="348">
        <f t="shared" si="75"/>
        <v>1.3597805078594825</v>
      </c>
      <c r="AU71">
        <f t="shared" si="76"/>
        <v>37.200000000000003</v>
      </c>
      <c r="AV71" s="526">
        <f t="shared" si="47"/>
        <v>0.96473578194817977</v>
      </c>
      <c r="AW71" s="534">
        <f t="shared" si="77"/>
        <v>26.523517058944687</v>
      </c>
      <c r="AX71" s="534">
        <f t="shared" si="78"/>
        <v>11.867024939487491</v>
      </c>
      <c r="AY71" s="9"/>
      <c r="AZ71" s="4">
        <f t="shared" si="48"/>
        <v>96.473578194817975</v>
      </c>
      <c r="BA71" s="348">
        <f t="shared" si="79"/>
        <v>0.29159029020059118</v>
      </c>
      <c r="BB71" s="348">
        <f t="shared" si="80"/>
        <v>0.92857240526355633</v>
      </c>
      <c r="BC71" s="348">
        <f t="shared" si="81"/>
        <v>0.63151231092725446</v>
      </c>
      <c r="BD71" s="348">
        <f t="shared" si="82"/>
        <v>0.29157309433630196</v>
      </c>
      <c r="BE71" s="348">
        <f t="shared" si="83"/>
        <v>5.11442552281271E-2</v>
      </c>
      <c r="BK71" s="18"/>
      <c r="BL71" s="19"/>
    </row>
    <row r="72" spans="1:64" x14ac:dyDescent="0.25">
      <c r="A72" s="32" t="s">
        <v>88</v>
      </c>
      <c r="B72" s="437">
        <f>(Qgd_Q1+Qgs_Q1/2)*(RdsonDRT+Rgate1)/(VCC-Vsp_Q1)*1000000000</f>
        <v>5.4115577889447239</v>
      </c>
      <c r="C72" s="21" t="s">
        <v>75</v>
      </c>
      <c r="D72" s="113" t="s">
        <v>492</v>
      </c>
      <c r="G72">
        <v>63</v>
      </c>
      <c r="H72" s="531">
        <f t="shared" si="49"/>
        <v>50</v>
      </c>
      <c r="I72" s="4">
        <f t="shared" si="50"/>
        <v>1</v>
      </c>
      <c r="J72" s="348">
        <f t="shared" si="84"/>
        <v>3.15</v>
      </c>
      <c r="K72" s="348">
        <f t="shared" si="51"/>
        <v>3.15</v>
      </c>
      <c r="L72" s="4">
        <f t="shared" si="52"/>
        <v>0.84</v>
      </c>
      <c r="M72" s="348">
        <f t="shared" si="53"/>
        <v>0.24069426605869401</v>
      </c>
      <c r="N72" s="4">
        <f t="shared" si="54"/>
        <v>13.840348807106146</v>
      </c>
      <c r="O72" s="4">
        <f t="shared" si="39"/>
        <v>10.070174403553073</v>
      </c>
      <c r="P72" s="4">
        <f t="shared" si="40"/>
        <v>-3.7701744035530731</v>
      </c>
      <c r="Q72" s="4">
        <f t="shared" si="55"/>
        <v>50</v>
      </c>
      <c r="R72" s="4">
        <f t="shared" si="41"/>
        <v>5.0877733759668429</v>
      </c>
      <c r="S72" s="348">
        <f t="shared" si="56"/>
        <v>9.0599032738189658E-2</v>
      </c>
      <c r="T72" s="348">
        <f t="shared" si="57"/>
        <v>0.2</v>
      </c>
      <c r="U72" s="348">
        <f t="shared" si="58"/>
        <v>0.2927206493537049</v>
      </c>
      <c r="V72" s="4">
        <f t="shared" si="42"/>
        <v>3.995364554730525</v>
      </c>
      <c r="W72" s="348">
        <f t="shared" si="10"/>
        <v>1.5962937925197047E-2</v>
      </c>
      <c r="X72" s="348">
        <f t="shared" si="43"/>
        <v>1.5962937925197047E-2</v>
      </c>
      <c r="Y72" s="4">
        <f t="shared" si="44"/>
        <v>2.1750486244538014</v>
      </c>
      <c r="Z72" s="348">
        <f t="shared" si="11"/>
        <v>4.7308365187383739E-3</v>
      </c>
      <c r="AA72" s="525">
        <f t="shared" si="45"/>
        <v>4.7308365187383739E-3</v>
      </c>
      <c r="AB72" s="348">
        <f t="shared" si="46"/>
        <v>2.4960922424888841</v>
      </c>
      <c r="AC72" s="348">
        <f t="shared" si="59"/>
        <v>7.4765717796158232E-2</v>
      </c>
      <c r="AD72" s="348">
        <f t="shared" si="60"/>
        <v>0.18385814891766525</v>
      </c>
      <c r="AE72" s="348">
        <f t="shared" si="61"/>
        <v>0</v>
      </c>
      <c r="AF72" s="348">
        <f t="shared" si="62"/>
        <v>1.1084312746446032E-2</v>
      </c>
      <c r="AG72" s="348">
        <f t="shared" si="63"/>
        <v>0.27313898001934461</v>
      </c>
      <c r="AH72" s="348">
        <f t="shared" si="64"/>
        <v>4.4333916409656231</v>
      </c>
      <c r="AI72" s="348">
        <f t="shared" si="65"/>
        <v>8.0585341912953815E-2</v>
      </c>
      <c r="AJ72" s="348">
        <f t="shared" si="66"/>
        <v>2.9606312746446029E-2</v>
      </c>
      <c r="AK72" s="348">
        <f t="shared" si="67"/>
        <v>0.11165650919293531</v>
      </c>
      <c r="AL72" s="348">
        <f t="shared" si="68"/>
        <v>1.8521999999999997E-2</v>
      </c>
      <c r="AM72" s="348">
        <f t="shared" si="69"/>
        <v>0.55754999999999988</v>
      </c>
      <c r="AN72" s="348">
        <f t="shared" si="70"/>
        <v>5.1770875850394089E-2</v>
      </c>
      <c r="AO72" s="348">
        <f t="shared" si="71"/>
        <v>1.1E-4</v>
      </c>
      <c r="AP72" s="348">
        <f t="shared" si="72"/>
        <v>4.9499999999999995E-2</v>
      </c>
      <c r="AQ72" s="348">
        <f t="shared" si="26"/>
        <v>0.46453846153846151</v>
      </c>
      <c r="AR72" s="348">
        <f t="shared" si="73"/>
        <v>0.44549999999999995</v>
      </c>
      <c r="AS72" s="348">
        <f t="shared" si="74"/>
        <v>4.9609999999999994E-2</v>
      </c>
      <c r="AT72" s="348">
        <f t="shared" si="75"/>
        <v>1.3756627888603141</v>
      </c>
      <c r="AU72">
        <f t="shared" si="76"/>
        <v>37.799999999999997</v>
      </c>
      <c r="AV72" s="526">
        <f t="shared" si="47"/>
        <v>0.96488476030962056</v>
      </c>
      <c r="AW72" s="534">
        <f t="shared" si="77"/>
        <v>26.927123160812474</v>
      </c>
      <c r="AX72" s="534">
        <f t="shared" si="78"/>
        <v>12.032873974152466</v>
      </c>
      <c r="AY72" s="9"/>
      <c r="AZ72" s="4">
        <f t="shared" si="48"/>
        <v>96.488476030962062</v>
      </c>
      <c r="BA72" s="348">
        <f t="shared" si="79"/>
        <v>0.2927206493537049</v>
      </c>
      <c r="BB72" s="348">
        <f t="shared" si="80"/>
        <v>0.94234548921227979</v>
      </c>
      <c r="BC72" s="348">
        <f t="shared" si="81"/>
        <v>0.64112198001934462</v>
      </c>
      <c r="BD72" s="348">
        <f t="shared" si="82"/>
        <v>0.29564800919293527</v>
      </c>
      <c r="BE72" s="348">
        <f t="shared" si="83"/>
        <v>5.1770875850394089E-2</v>
      </c>
      <c r="BK72" s="18"/>
      <c r="BL72" s="19"/>
    </row>
    <row r="73" spans="1:64" x14ac:dyDescent="0.25">
      <c r="A73" s="33" t="s">
        <v>89</v>
      </c>
      <c r="B73" s="437">
        <f>(Qgd_Q1+Qgs_Q1/2)*(RdsonDRT2+Rgate1)/(Vsp_Q1)*1000000000</f>
        <v>2.3707977207977207</v>
      </c>
      <c r="C73" s="21" t="s">
        <v>75</v>
      </c>
      <c r="D73" s="113" t="s">
        <v>493</v>
      </c>
      <c r="G73">
        <v>64</v>
      </c>
      <c r="H73" s="531">
        <f t="shared" ref="H73:H109" si="85">Vin</f>
        <v>50</v>
      </c>
      <c r="I73" s="4">
        <f t="shared" ref="I73:I109" si="86">MODE</f>
        <v>1</v>
      </c>
      <c r="J73" s="348">
        <f t="shared" si="84"/>
        <v>3.2</v>
      </c>
      <c r="K73" s="348">
        <f t="shared" ref="K73:K109" si="87">Iout*G73/100/Number_of_Phases</f>
        <v>3.2</v>
      </c>
      <c r="L73" s="4">
        <f t="shared" ref="L73:L104" si="88">Vout*K73/(Vin*Efficiency)</f>
        <v>0.8533333333333335</v>
      </c>
      <c r="M73" s="348">
        <f t="shared" ref="M73:M109" si="89">(Vout+(Rdson2+Rs+Rdcr)*K73)/(Vin+(Rs+Rdson2-Rdson1)*K73)</f>
        <v>0.24070529031762397</v>
      </c>
      <c r="N73" s="4">
        <f t="shared" ref="N73:N104" si="90">(Vin-(Rdson1+Rdcr)*K73-Vout)*M73/(Fsw*Lf)</f>
        <v>13.84070007525751</v>
      </c>
      <c r="O73" s="4">
        <f t="shared" si="39"/>
        <v>10.120350037628755</v>
      </c>
      <c r="P73" s="4">
        <f t="shared" si="40"/>
        <v>-3.720350037628755</v>
      </c>
      <c r="Q73" s="4">
        <f t="shared" ref="Q73:Q104" si="91">IF(MIN(Vin, -P73/(Coss_Q1+Coss_Q2)*0.00000002)&lt;0, 0, MIN(Vin, -P73/(Coss_Q1+Coss_Q2)*0.00000002))</f>
        <v>50</v>
      </c>
      <c r="R73" s="4">
        <f t="shared" si="41"/>
        <v>5.1189596808761939</v>
      </c>
      <c r="S73" s="348">
        <f t="shared" ref="S73:S104" si="92">R73^2*Rdcr</f>
        <v>9.171311875052636E-2</v>
      </c>
      <c r="T73" s="348">
        <f t="shared" ref="T73:T109" si="93">Core_Loss_Ch1</f>
        <v>0.2</v>
      </c>
      <c r="U73" s="348">
        <f t="shared" ref="U73:U104" si="94">(T73+S73*(1+Ltc*(Ta-25)))/(1-S73*Ltc*ThetaCa)</f>
        <v>0.29386925199898323</v>
      </c>
      <c r="V73" s="4">
        <f t="shared" si="42"/>
        <v>3.9954659571113988</v>
      </c>
      <c r="W73" s="348">
        <f t="shared" si="10"/>
        <v>1.5963748214436108E-2</v>
      </c>
      <c r="X73" s="348">
        <f t="shared" si="43"/>
        <v>1.5963748214436108E-2</v>
      </c>
      <c r="Y73" s="4">
        <f t="shared" si="44"/>
        <v>2.1884151547672812</v>
      </c>
      <c r="Z73" s="348">
        <f t="shared" si="11"/>
        <v>4.7891608896151036E-3</v>
      </c>
      <c r="AA73" s="525">
        <f t="shared" si="45"/>
        <v>4.7891608896151036E-3</v>
      </c>
      <c r="AB73" s="348">
        <f t="shared" si="46"/>
        <v>2.5114499440294971</v>
      </c>
      <c r="AC73" s="348">
        <f t="shared" ref="AC73:AC104" si="95">Rdson1*AB73^2</f>
        <v>7.5688569856389165E-2</v>
      </c>
      <c r="AD73" s="348">
        <f t="shared" ref="AD73:AD109" si="96">(Vin*K73/2)*Fsw*(Tr_buck+Tf_buck)</f>
        <v>0.18677653223381868</v>
      </c>
      <c r="AE73" s="348">
        <f t="shared" ref="AE73:AE109" si="97">(0.5*Coss_Q1*(Vin-Q73)^2-0.5*Coss_Q2*(Vin-Q73)^2+(Qoss_Q2*(Vin-Q73)/Vin)*Vin)*Fsw</f>
        <v>0</v>
      </c>
      <c r="AF73" s="348">
        <f t="shared" ref="AF73:AF109" si="98">IF(K73&gt;N73/2,0,ABS(K73-N73/2)*Vsd_Q1*Deadtime*Fsw)</f>
        <v>1.0937829110628539E-2</v>
      </c>
      <c r="AG73" s="348">
        <f t="shared" ref="AG73:AG104" si="99">(AF73+AE73+AD73+AC73*(1+RdsonTopTc*Ta-RdsonTopTc*25))/(1-AC73*RdsonTopTc*ThetaJA_Q1)</f>
        <v>0.27692421077617574</v>
      </c>
      <c r="AH73" s="348">
        <f t="shared" ref="AH73:AH109" si="100">SQRT((1-M73))*SQRT(K73^2+(N73^2)/12)</f>
        <v>4.4605344290869837</v>
      </c>
      <c r="AI73" s="348">
        <f t="shared" ref="AI73:AI104" si="101">Rdson2*AH73^2</f>
        <v>8.1575106311588388E-2</v>
      </c>
      <c r="AJ73" s="348">
        <f t="shared" ref="AJ73:AJ109" si="102">IF(K73&lt;N73/2,Deadtime*Fsw*IF(VfdSky_Q2&gt;0,0,Vsd_Q2)*(K73+N73/2),2*Deadtime*Fsw*IF(VfdSky_Q2&gt;0,0,Vsd_Q2)*K73)</f>
        <v>2.9753829110628537E-2</v>
      </c>
      <c r="AK73" s="348">
        <f t="shared" ref="AK73:AK104" si="103">(AJ73+AI73*(1+RdsonBotTc*Ta-RdsonBotTc*25))/(1-AI73*RdsonBotTc*ThetaJA_Q2)</f>
        <v>0.11282733058434458</v>
      </c>
      <c r="AL73" s="348">
        <f t="shared" ref="AL73:AL109" si="104">2*Deadtime*Fsw*IF(VfdSky_Q2&gt;0,VfdSky_Q2,Vsd_Q2)*K73</f>
        <v>1.8815999999999999E-2</v>
      </c>
      <c r="AM73" s="348">
        <f t="shared" ref="AM73:AM109" si="105">IF(QrrSky_Q2&gt;0,QrrSky_Q2,Qrr_Q2*K73/(Iout/Number_of_Phases))*Fsw*Vin</f>
        <v>0.56640000000000001</v>
      </c>
      <c r="AN73" s="348">
        <f t="shared" ref="AN73:AN109" si="106">Rs*R73^2</f>
        <v>5.2407496428872206E-2</v>
      </c>
      <c r="AO73" s="348">
        <f t="shared" ref="AO73:AO109" si="107">Iq*Vin</f>
        <v>1.1E-4</v>
      </c>
      <c r="AP73" s="348">
        <f t="shared" ref="AP73:AP109" si="108">IF(Ext_VCC=1,  (Qg_Q1+Qg_Q2)*Fsw*VCC, (Qg_Q1+Qg_Q2)*Fsw*Vin)</f>
        <v>4.9499999999999995E-2</v>
      </c>
      <c r="AQ73" s="348">
        <f t="shared" ref="AQ73:AQ109" si="109">(Vin-VCC)*Fsw*(Qg_Q1+Qg_Q2)+(RdsonDRT+RdsonDRT2)*Fsw*Qg_Q1*VCC/(RdsonDRT+2*Rgate1+RdsonDRT2)+(RdsonDRB+RdsonDRB2)*Fsw*Qg_Q2*VCC/(RdsonDRB+2*Rgate2+RdsonDRB2)</f>
        <v>0.46453846153846151</v>
      </c>
      <c r="AR73" s="348">
        <f t="shared" ref="AR73:AR109" si="110">(Qg_Q1+Qg_Q2)*Fsw*(Vin-VCC)</f>
        <v>0.44549999999999995</v>
      </c>
      <c r="AS73" s="348">
        <f t="shared" si="74"/>
        <v>4.9609999999999994E-2</v>
      </c>
      <c r="AT73" s="348">
        <f t="shared" ref="AT73:AT104" si="111" xml:space="preserve"> SUM(U73,X73,AA73,AG73,AK73,AL73,AM73,AS73,AN73)</f>
        <v>1.3916071988924268</v>
      </c>
      <c r="AU73">
        <f t="shared" ref="AU73:AU109" si="112">Vout*K73</f>
        <v>38.400000000000006</v>
      </c>
      <c r="AV73" s="526">
        <f t="shared" si="47"/>
        <v>0.96502762022311162</v>
      </c>
      <c r="AW73" s="534">
        <f t="shared" ref="AW73:AW109" si="113">ThetaJA_Q1*BC73</f>
        <v>27.33142485259938</v>
      </c>
      <c r="AX73" s="534">
        <f t="shared" ref="AX73:AX109" si="114">ThetaJA_Q2*BD73</f>
        <v>12.199390754782826</v>
      </c>
      <c r="AY73" s="9"/>
      <c r="AZ73" s="4">
        <f t="shared" si="48"/>
        <v>96.50276202231116</v>
      </c>
      <c r="BA73" s="348">
        <f t="shared" ref="BA73:BA109" si="115">U73</f>
        <v>0.29386925199898323</v>
      </c>
      <c r="BB73" s="348">
        <f t="shared" si="80"/>
        <v>0.95615154136052039</v>
      </c>
      <c r="BC73" s="348">
        <f t="shared" si="81"/>
        <v>0.65074821077617573</v>
      </c>
      <c r="BD73" s="348">
        <f t="shared" si="82"/>
        <v>0.2997393305843446</v>
      </c>
      <c r="BE73" s="348">
        <f t="shared" si="83"/>
        <v>5.2407496428872206E-2</v>
      </c>
      <c r="BK73" s="18"/>
      <c r="BL73" s="19"/>
    </row>
    <row r="74" spans="1:64" x14ac:dyDescent="0.25">
      <c r="A74" s="14" t="s">
        <v>114</v>
      </c>
      <c r="B74" s="15" t="s">
        <v>7</v>
      </c>
      <c r="C74" s="17" t="s">
        <v>76</v>
      </c>
      <c r="G74">
        <v>65</v>
      </c>
      <c r="H74" s="531">
        <f t="shared" si="85"/>
        <v>50</v>
      </c>
      <c r="I74" s="4">
        <f t="shared" si="86"/>
        <v>1</v>
      </c>
      <c r="J74" s="348">
        <f t="shared" ref="J74:J109" si="116">Iout*G74/100</f>
        <v>3.25</v>
      </c>
      <c r="K74" s="348">
        <f t="shared" si="87"/>
        <v>3.25</v>
      </c>
      <c r="L74" s="4">
        <f t="shared" si="88"/>
        <v>0.8666666666666667</v>
      </c>
      <c r="M74" s="348">
        <f t="shared" si="89"/>
        <v>0.24071631470669</v>
      </c>
      <c r="N74" s="4">
        <f t="shared" si="90"/>
        <v>13.841051325001317</v>
      </c>
      <c r="O74" s="4">
        <f t="shared" ref="O74:O109" si="117">K74+N74/2</f>
        <v>10.170525662500658</v>
      </c>
      <c r="P74" s="4">
        <f t="shared" ref="P74:P109" si="118">K74-N74/2</f>
        <v>-3.6705256625006584</v>
      </c>
      <c r="Q74" s="4">
        <f t="shared" si="91"/>
        <v>50</v>
      </c>
      <c r="R74" s="4">
        <f t="shared" ref="R74:R109" si="119">SQRT(K74^2+(N74^2)/12)</f>
        <v>5.1504425520314978</v>
      </c>
      <c r="S74" s="348">
        <f t="shared" si="92"/>
        <v>9.284470468621854E-2</v>
      </c>
      <c r="T74" s="348">
        <f t="shared" si="93"/>
        <v>0.2</v>
      </c>
      <c r="U74" s="348">
        <f t="shared" si="94"/>
        <v>0.29503610791108059</v>
      </c>
      <c r="V74" s="4">
        <f t="shared" ref="V74:V109" si="120">N74/SQRT(12)</f>
        <v>3.9955673541784686</v>
      </c>
      <c r="W74" s="348">
        <f t="shared" ref="W74:W109" si="121">RCoutEsr*V74^2</f>
        <v>1.596455848177673E-2</v>
      </c>
      <c r="X74" s="348">
        <f t="shared" ref="X74:X109" si="122">W74</f>
        <v>1.596455848177673E-2</v>
      </c>
      <c r="Y74" s="4">
        <f t="shared" ref="Y74:Y109" si="123">SQRT(M74*(1-M74))*SQRT(K74^2+(N74^2)/12)</f>
        <v>2.2019088880703594</v>
      </c>
      <c r="Z74" s="348">
        <f t="shared" ref="Z74:Z109" si="124">RCinEsr*Y74^2</f>
        <v>4.8484027513632467E-3</v>
      </c>
      <c r="AA74" s="525">
        <f t="shared" ref="AA74:AA109" si="125">Z74</f>
        <v>4.8484027513632467E-3</v>
      </c>
      <c r="AB74" s="348">
        <f t="shared" ref="AB74:AB109" si="126">SQRT(M74)*SQRT(K74^2+(N74^2)/12)</f>
        <v>2.5269538495473434</v>
      </c>
      <c r="AC74" s="348">
        <f t="shared" si="95"/>
        <v>7.6625949092905654E-2</v>
      </c>
      <c r="AD74" s="348">
        <f t="shared" si="96"/>
        <v>0.18969491554997209</v>
      </c>
      <c r="AE74" s="348">
        <f t="shared" si="97"/>
        <v>0</v>
      </c>
      <c r="AF74" s="348">
        <f t="shared" si="98"/>
        <v>1.0791345447751934E-2</v>
      </c>
      <c r="AG74" s="348">
        <f t="shared" si="99"/>
        <v>0.28072604117983352</v>
      </c>
      <c r="AH74" s="348">
        <f t="shared" si="100"/>
        <v>4.4879352406239761</v>
      </c>
      <c r="AI74" s="348">
        <f t="shared" si="101"/>
        <v>8.2580407168541786E-2</v>
      </c>
      <c r="AJ74" s="348">
        <f t="shared" si="102"/>
        <v>2.9901345447751929E-2</v>
      </c>
      <c r="AK74" s="348">
        <f t="shared" si="103"/>
        <v>0.11401457485467834</v>
      </c>
      <c r="AL74" s="348">
        <f t="shared" si="104"/>
        <v>1.9109999999999995E-2</v>
      </c>
      <c r="AM74" s="348">
        <f t="shared" si="105"/>
        <v>0.57525000000000004</v>
      </c>
      <c r="AN74" s="348">
        <f t="shared" si="106"/>
        <v>5.3054116963553458E-2</v>
      </c>
      <c r="AO74" s="348">
        <f t="shared" si="107"/>
        <v>1.1E-4</v>
      </c>
      <c r="AP74" s="348">
        <f t="shared" si="108"/>
        <v>4.9499999999999995E-2</v>
      </c>
      <c r="AQ74" s="348">
        <f t="shared" si="109"/>
        <v>0.46453846153846151</v>
      </c>
      <c r="AR74" s="348">
        <f t="shared" si="110"/>
        <v>0.44549999999999995</v>
      </c>
      <c r="AS74" s="348">
        <f t="shared" si="74"/>
        <v>4.9609999999999994E-2</v>
      </c>
      <c r="AT74" s="348">
        <f t="shared" si="111"/>
        <v>1.4076138021422859</v>
      </c>
      <c r="AU74">
        <f t="shared" si="112"/>
        <v>39</v>
      </c>
      <c r="AV74" s="526">
        <f t="shared" ref="AV74:AV109" si="127">AU74/(AU74+AT74)</f>
        <v>0.96516463929212126</v>
      </c>
      <c r="AW74" s="534">
        <f t="shared" si="113"/>
        <v>27.736423729553007</v>
      </c>
      <c r="AX74" s="534">
        <f t="shared" si="114"/>
        <v>12.366575946585408</v>
      </c>
      <c r="AY74" s="9"/>
      <c r="AZ74" s="4">
        <f t="shared" ref="AZ74:AZ109" si="128">AV74*100</f>
        <v>96.516463929212122</v>
      </c>
      <c r="BA74" s="348">
        <f t="shared" si="115"/>
        <v>0.29503610791108059</v>
      </c>
      <c r="BB74" s="348">
        <f t="shared" ref="BB74:BB109" si="129">AG74+AK74+AM74</f>
        <v>0.96999061603451187</v>
      </c>
      <c r="BC74" s="348">
        <f t="shared" ref="BC74:BC109" si="130">AG74+AM74*0.66</f>
        <v>0.66039104117983349</v>
      </c>
      <c r="BD74" s="348">
        <f t="shared" ref="BD74:BD109" si="131">AK74+AM74*0.33</f>
        <v>0.30384707485467832</v>
      </c>
      <c r="BE74" s="348">
        <f t="shared" ref="BE74:BE109" si="132">AN74</f>
        <v>5.3054116963553458E-2</v>
      </c>
      <c r="BK74" s="18"/>
      <c r="BL74" s="19"/>
    </row>
    <row r="75" spans="1:64" x14ac:dyDescent="0.25">
      <c r="A75" s="34" t="s">
        <v>115</v>
      </c>
      <c r="B75" s="566">
        <f>AS9</f>
        <v>4.9609999999999994E-2</v>
      </c>
      <c r="C75" s="78" t="s">
        <v>116</v>
      </c>
      <c r="G75">
        <v>66</v>
      </c>
      <c r="H75" s="531">
        <f t="shared" si="85"/>
        <v>50</v>
      </c>
      <c r="I75" s="4">
        <f t="shared" si="86"/>
        <v>1</v>
      </c>
      <c r="J75" s="348">
        <f t="shared" si="116"/>
        <v>3.3</v>
      </c>
      <c r="K75" s="348">
        <f t="shared" si="87"/>
        <v>3.3</v>
      </c>
      <c r="L75" s="4">
        <f t="shared" si="88"/>
        <v>0.87999999999999989</v>
      </c>
      <c r="M75" s="348">
        <f t="shared" si="89"/>
        <v>0.24072733922589454</v>
      </c>
      <c r="N75" s="4">
        <f t="shared" si="90"/>
        <v>13.841402556337254</v>
      </c>
      <c r="O75" s="4">
        <f t="shared" si="117"/>
        <v>10.220701278168626</v>
      </c>
      <c r="P75" s="4">
        <f t="shared" si="118"/>
        <v>-3.6207012781686272</v>
      </c>
      <c r="Q75" s="4">
        <f t="shared" si="91"/>
        <v>50</v>
      </c>
      <c r="R75" s="4">
        <f t="shared" si="119"/>
        <v>5.1822165843599164</v>
      </c>
      <c r="S75" s="348">
        <f t="shared" si="92"/>
        <v>9.3993790545252365E-2</v>
      </c>
      <c r="T75" s="348">
        <f t="shared" si="93"/>
        <v>0.2</v>
      </c>
      <c r="U75" s="348">
        <f t="shared" si="94"/>
        <v>0.29622122702267856</v>
      </c>
      <c r="V75" s="4">
        <f t="shared" si="120"/>
        <v>3.9956687459316442</v>
      </c>
      <c r="W75" s="348">
        <f t="shared" si="121"/>
        <v>1.5965368727214959E-2</v>
      </c>
      <c r="X75" s="348">
        <f t="shared" si="122"/>
        <v>1.5965368727214959E-2</v>
      </c>
      <c r="Y75" s="4">
        <f t="shared" si="123"/>
        <v>2.2155275194784547</v>
      </c>
      <c r="Z75" s="348">
        <f t="shared" si="124"/>
        <v>4.9085621895663548E-3</v>
      </c>
      <c r="AA75" s="525">
        <f t="shared" si="125"/>
        <v>4.9085621895663548E-3</v>
      </c>
      <c r="AB75" s="348">
        <f t="shared" si="126"/>
        <v>2.5426013170831081</v>
      </c>
      <c r="AC75" s="348">
        <f t="shared" si="95"/>
        <v>7.7577857491593072E-2</v>
      </c>
      <c r="AD75" s="348">
        <f t="shared" si="96"/>
        <v>0.19261329886612549</v>
      </c>
      <c r="AE75" s="348">
        <f t="shared" si="97"/>
        <v>0</v>
      </c>
      <c r="AF75" s="348">
        <f t="shared" si="98"/>
        <v>1.0644861757815762E-2</v>
      </c>
      <c r="AG75" s="348">
        <f t="shared" si="99"/>
        <v>0.28454450948792193</v>
      </c>
      <c r="AH75" s="348">
        <f t="shared" si="100"/>
        <v>4.5155893601591153</v>
      </c>
      <c r="AI75" s="348">
        <f t="shared" si="101"/>
        <v>8.3601243805287037E-2</v>
      </c>
      <c r="AJ75" s="348">
        <f t="shared" si="102"/>
        <v>3.0048861757815754E-2</v>
      </c>
      <c r="AK75" s="348">
        <f t="shared" si="103"/>
        <v>0.11521825861097697</v>
      </c>
      <c r="AL75" s="348">
        <f t="shared" si="104"/>
        <v>1.9403999999999994E-2</v>
      </c>
      <c r="AM75" s="348">
        <f t="shared" si="105"/>
        <v>0.58409999999999995</v>
      </c>
      <c r="AN75" s="348">
        <f t="shared" si="106"/>
        <v>5.3710737454429919E-2</v>
      </c>
      <c r="AO75" s="348">
        <f t="shared" si="107"/>
        <v>1.1E-4</v>
      </c>
      <c r="AP75" s="348">
        <f t="shared" si="108"/>
        <v>4.9499999999999995E-2</v>
      </c>
      <c r="AQ75" s="348">
        <f t="shared" si="109"/>
        <v>0.46453846153846151</v>
      </c>
      <c r="AR75" s="348">
        <f t="shared" si="110"/>
        <v>0.44549999999999995</v>
      </c>
      <c r="AS75" s="348">
        <f t="shared" ref="AS75:AS109" si="133">SUM(AO75:AP75)</f>
        <v>4.9609999999999994E-2</v>
      </c>
      <c r="AT75" s="348">
        <f t="shared" si="111"/>
        <v>1.4236826634927886</v>
      </c>
      <c r="AU75">
        <f t="shared" si="112"/>
        <v>39.599999999999994</v>
      </c>
      <c r="AV75" s="526">
        <f t="shared" si="127"/>
        <v>0.96529607848298482</v>
      </c>
      <c r="AW75" s="534">
        <f t="shared" si="113"/>
        <v>28.142121398492719</v>
      </c>
      <c r="AX75" s="534">
        <f t="shared" si="114"/>
        <v>12.534430225466764</v>
      </c>
      <c r="AY75" s="9"/>
      <c r="AZ75" s="4">
        <f t="shared" si="128"/>
        <v>96.529607848298483</v>
      </c>
      <c r="BA75" s="348">
        <f t="shared" si="115"/>
        <v>0.29622122702267856</v>
      </c>
      <c r="BB75" s="348">
        <f t="shared" si="129"/>
        <v>0.98386276809889883</v>
      </c>
      <c r="BC75" s="348">
        <f t="shared" si="130"/>
        <v>0.67005050948792189</v>
      </c>
      <c r="BD75" s="348">
        <f t="shared" si="131"/>
        <v>0.30797125861097696</v>
      </c>
      <c r="BE75" s="348">
        <f t="shared" si="132"/>
        <v>5.3710737454429919E-2</v>
      </c>
      <c r="BK75" s="18"/>
      <c r="BL75" s="19"/>
    </row>
    <row r="76" spans="1:64" x14ac:dyDescent="0.25">
      <c r="A76" s="34" t="s">
        <v>119</v>
      </c>
      <c r="B76" s="567">
        <f>B75*B62</f>
        <v>1.4882999999999997</v>
      </c>
      <c r="C76" s="427" t="s">
        <v>449</v>
      </c>
      <c r="G76">
        <v>67</v>
      </c>
      <c r="H76" s="531">
        <f t="shared" si="85"/>
        <v>50</v>
      </c>
      <c r="I76" s="4">
        <f t="shared" si="86"/>
        <v>1</v>
      </c>
      <c r="J76" s="348">
        <f t="shared" si="116"/>
        <v>3.35</v>
      </c>
      <c r="K76" s="348">
        <f t="shared" si="87"/>
        <v>3.35</v>
      </c>
      <c r="L76" s="4">
        <f t="shared" si="88"/>
        <v>0.89333333333333342</v>
      </c>
      <c r="M76" s="348">
        <f t="shared" si="89"/>
        <v>0.24073836387523986</v>
      </c>
      <c r="N76" s="4">
        <f t="shared" si="90"/>
        <v>13.841753769264988</v>
      </c>
      <c r="O76" s="4">
        <f t="shared" si="117"/>
        <v>10.270876884632495</v>
      </c>
      <c r="P76" s="4">
        <f t="shared" si="118"/>
        <v>-3.5708768846324941</v>
      </c>
      <c r="Q76" s="4">
        <f t="shared" si="91"/>
        <v>50</v>
      </c>
      <c r="R76" s="4">
        <f t="shared" si="119"/>
        <v>5.2142764551514516</v>
      </c>
      <c r="S76" s="348">
        <f t="shared" si="92"/>
        <v>9.516037632761376E-2</v>
      </c>
      <c r="T76" s="348">
        <f t="shared" si="93"/>
        <v>0.2</v>
      </c>
      <c r="U76" s="348">
        <f t="shared" si="94"/>
        <v>0.29742461942469789</v>
      </c>
      <c r="V76" s="4">
        <f t="shared" si="120"/>
        <v>3.9957701323708292</v>
      </c>
      <c r="W76" s="348">
        <f t="shared" si="121"/>
        <v>1.5966178950746795E-2</v>
      </c>
      <c r="X76" s="348">
        <f t="shared" si="122"/>
        <v>1.5966178950746795E-2</v>
      </c>
      <c r="Y76" s="4">
        <f t="shared" si="123"/>
        <v>2.2292687791746157</v>
      </c>
      <c r="Z76" s="348">
        <f t="shared" si="124"/>
        <v>4.9696392898026815E-3</v>
      </c>
      <c r="AA76" s="525">
        <f t="shared" si="125"/>
        <v>4.9696392898026815E-3</v>
      </c>
      <c r="AB76" s="348">
        <f t="shared" si="126"/>
        <v>2.5583897448457602</v>
      </c>
      <c r="AC76" s="348">
        <f t="shared" si="95"/>
        <v>7.8544297038383448E-2</v>
      </c>
      <c r="AD76" s="348">
        <f t="shared" si="96"/>
        <v>0.19553168218227893</v>
      </c>
      <c r="AE76" s="348">
        <f t="shared" si="97"/>
        <v>0</v>
      </c>
      <c r="AF76" s="348">
        <f t="shared" si="98"/>
        <v>1.0498378040819531E-2</v>
      </c>
      <c r="AG76" s="348">
        <f t="shared" si="99"/>
        <v>0.28837965423478512</v>
      </c>
      <c r="AH76" s="348">
        <f t="shared" si="100"/>
        <v>4.5434921441788401</v>
      </c>
      <c r="AI76" s="348">
        <f t="shared" si="101"/>
        <v>8.4637615543280795E-2</v>
      </c>
      <c r="AJ76" s="348">
        <f t="shared" si="102"/>
        <v>3.0196378040819528E-2</v>
      </c>
      <c r="AK76" s="348">
        <f t="shared" si="103"/>
        <v>0.11643839872379778</v>
      </c>
      <c r="AL76" s="348">
        <f t="shared" si="104"/>
        <v>1.9697999999999997E-2</v>
      </c>
      <c r="AM76" s="348">
        <f t="shared" si="105"/>
        <v>0.59294999999999998</v>
      </c>
      <c r="AN76" s="348">
        <f t="shared" si="106"/>
        <v>5.4377357901493575E-2</v>
      </c>
      <c r="AO76" s="348">
        <f t="shared" si="107"/>
        <v>1.1E-4</v>
      </c>
      <c r="AP76" s="348">
        <f t="shared" si="108"/>
        <v>4.9499999999999995E-2</v>
      </c>
      <c r="AQ76" s="348">
        <f t="shared" si="109"/>
        <v>0.46453846153846151</v>
      </c>
      <c r="AR76" s="348">
        <f t="shared" si="110"/>
        <v>0.44549999999999995</v>
      </c>
      <c r="AS76" s="348">
        <f t="shared" si="133"/>
        <v>4.9609999999999994E-2</v>
      </c>
      <c r="AT76" s="348">
        <f t="shared" si="111"/>
        <v>1.439813848525324</v>
      </c>
      <c r="AU76">
        <f t="shared" si="112"/>
        <v>40.200000000000003</v>
      </c>
      <c r="AV76" s="526">
        <f t="shared" si="127"/>
        <v>0.96542218335165986</v>
      </c>
      <c r="AW76" s="534">
        <f t="shared" si="113"/>
        <v>28.548519477860971</v>
      </c>
      <c r="AX76" s="534">
        <f t="shared" si="114"/>
        <v>12.702954278058572</v>
      </c>
      <c r="AY76" s="9"/>
      <c r="AZ76" s="4">
        <f t="shared" si="128"/>
        <v>96.542218335165984</v>
      </c>
      <c r="BA76" s="348">
        <f t="shared" si="115"/>
        <v>0.29742461942469789</v>
      </c>
      <c r="BB76" s="348">
        <f t="shared" si="129"/>
        <v>0.99776805295858284</v>
      </c>
      <c r="BC76" s="348">
        <f t="shared" si="130"/>
        <v>0.67972665423478507</v>
      </c>
      <c r="BD76" s="348">
        <f t="shared" si="131"/>
        <v>0.3121118987237978</v>
      </c>
      <c r="BE76" s="348">
        <f t="shared" si="132"/>
        <v>5.4377357901493575E-2</v>
      </c>
      <c r="BK76" s="18"/>
      <c r="BL76" s="19"/>
    </row>
    <row r="77" spans="1:64" x14ac:dyDescent="0.25">
      <c r="A77" s="34" t="s">
        <v>207</v>
      </c>
      <c r="B77" s="567">
        <f>(Qg_Q1+Qg_Q2)*Fsw+Iq</f>
        <v>9.9021999999999999E-3</v>
      </c>
      <c r="C77" s="21" t="s">
        <v>1</v>
      </c>
      <c r="G77">
        <v>68</v>
      </c>
      <c r="H77" s="531">
        <f t="shared" si="85"/>
        <v>50</v>
      </c>
      <c r="I77" s="4">
        <f t="shared" si="86"/>
        <v>1</v>
      </c>
      <c r="J77" s="348">
        <f t="shared" si="116"/>
        <v>3.4</v>
      </c>
      <c r="K77" s="348">
        <f t="shared" si="87"/>
        <v>3.4</v>
      </c>
      <c r="L77" s="4">
        <f t="shared" si="88"/>
        <v>0.90666666666666662</v>
      </c>
      <c r="M77" s="348">
        <f t="shared" si="89"/>
        <v>0.24074938865472831</v>
      </c>
      <c r="N77" s="4">
        <f t="shared" si="90"/>
        <v>13.842104963784196</v>
      </c>
      <c r="O77" s="4">
        <f t="shared" si="117"/>
        <v>10.321052481892098</v>
      </c>
      <c r="P77" s="4">
        <f t="shared" si="118"/>
        <v>-3.5210524818920983</v>
      </c>
      <c r="Q77" s="4">
        <f t="shared" si="91"/>
        <v>50</v>
      </c>
      <c r="R77" s="4">
        <f t="shared" si="119"/>
        <v>5.2466169244922254</v>
      </c>
      <c r="S77" s="348">
        <f t="shared" si="92"/>
        <v>9.6344462033288905E-2</v>
      </c>
      <c r="T77" s="348">
        <f t="shared" si="93"/>
        <v>0.2</v>
      </c>
      <c r="U77" s="348">
        <f t="shared" si="94"/>
        <v>0.2986462953665146</v>
      </c>
      <c r="V77" s="4">
        <f t="shared" si="120"/>
        <v>3.9958715134959308</v>
      </c>
      <c r="W77" s="348">
        <f t="shared" si="121"/>
        <v>1.5966989152368261E-2</v>
      </c>
      <c r="X77" s="348">
        <f t="shared" si="122"/>
        <v>1.5966989152368261E-2</v>
      </c>
      <c r="Y77" s="4">
        <f t="shared" si="123"/>
        <v>2.2431304325975399</v>
      </c>
      <c r="Z77" s="348">
        <f t="shared" si="124"/>
        <v>5.0316341376452261E-3</v>
      </c>
      <c r="AA77" s="525">
        <f t="shared" si="125"/>
        <v>5.0316341376452261E-3</v>
      </c>
      <c r="AB77" s="348">
        <f t="shared" si="126"/>
        <v>2.5743165714297835</v>
      </c>
      <c r="AC77" s="348">
        <f t="shared" si="95"/>
        <v>7.9525269719255956E-2</v>
      </c>
      <c r="AD77" s="348">
        <f t="shared" si="96"/>
        <v>0.19845006549843233</v>
      </c>
      <c r="AE77" s="348">
        <f t="shared" si="97"/>
        <v>0</v>
      </c>
      <c r="AF77" s="348">
        <f t="shared" si="98"/>
        <v>1.0351894296762769E-2</v>
      </c>
      <c r="AG77" s="348">
        <f t="shared" si="99"/>
        <v>0.29223151423274168</v>
      </c>
      <c r="AH77" s="348">
        <f t="shared" si="100"/>
        <v>4.5716390214484637</v>
      </c>
      <c r="AI77" s="348">
        <f t="shared" si="101"/>
        <v>8.5689521703964086E-2</v>
      </c>
      <c r="AJ77" s="348">
        <f t="shared" si="102"/>
        <v>3.0343894296762763E-2</v>
      </c>
      <c r="AK77" s="348">
        <f t="shared" si="103"/>
        <v>0.11767501232785199</v>
      </c>
      <c r="AL77" s="348">
        <f t="shared" si="104"/>
        <v>1.9991999999999996E-2</v>
      </c>
      <c r="AM77" s="348">
        <f t="shared" si="105"/>
        <v>0.6018</v>
      </c>
      <c r="AN77" s="348">
        <f t="shared" si="106"/>
        <v>5.5053978304736517E-2</v>
      </c>
      <c r="AO77" s="348">
        <f t="shared" si="107"/>
        <v>1.1E-4</v>
      </c>
      <c r="AP77" s="348">
        <f t="shared" si="108"/>
        <v>4.9499999999999995E-2</v>
      </c>
      <c r="AQ77" s="348">
        <f t="shared" si="109"/>
        <v>0.46453846153846151</v>
      </c>
      <c r="AR77" s="348">
        <f t="shared" si="110"/>
        <v>0.44549999999999995</v>
      </c>
      <c r="AS77" s="348">
        <f t="shared" si="133"/>
        <v>4.9609999999999994E-2</v>
      </c>
      <c r="AT77" s="348">
        <f t="shared" si="111"/>
        <v>1.4560074235218583</v>
      </c>
      <c r="AU77">
        <f t="shared" si="112"/>
        <v>40.799999999999997</v>
      </c>
      <c r="AV77" s="526">
        <f t="shared" si="127"/>
        <v>0.96554318516350479</v>
      </c>
      <c r="AW77" s="534">
        <f t="shared" si="113"/>
        <v>28.955619597775154</v>
      </c>
      <c r="AX77" s="534">
        <f t="shared" si="114"/>
        <v>12.872148801743577</v>
      </c>
      <c r="AY77" s="9"/>
      <c r="AZ77" s="4">
        <f t="shared" si="128"/>
        <v>96.554318516350477</v>
      </c>
      <c r="BA77" s="348">
        <f t="shared" si="115"/>
        <v>0.2986462953665146</v>
      </c>
      <c r="BB77" s="348">
        <f t="shared" si="129"/>
        <v>1.0117065265605936</v>
      </c>
      <c r="BC77" s="348">
        <f t="shared" si="130"/>
        <v>0.68941951423274173</v>
      </c>
      <c r="BD77" s="348">
        <f t="shared" si="131"/>
        <v>0.31626901232785198</v>
      </c>
      <c r="BE77" s="348">
        <f t="shared" si="132"/>
        <v>5.5053978304736517E-2</v>
      </c>
      <c r="BK77" s="18"/>
      <c r="BL77" s="19"/>
    </row>
    <row r="78" spans="1:64" x14ac:dyDescent="0.25">
      <c r="A78" s="34" t="s">
        <v>208</v>
      </c>
      <c r="B78" s="568">
        <f>Qrr_Q2*Fsw</f>
        <v>1.77E-2</v>
      </c>
      <c r="C78" s="21" t="s">
        <v>1</v>
      </c>
      <c r="G78">
        <v>69</v>
      </c>
      <c r="H78" s="531">
        <f t="shared" si="85"/>
        <v>50</v>
      </c>
      <c r="I78" s="4">
        <f t="shared" si="86"/>
        <v>1</v>
      </c>
      <c r="J78" s="348">
        <f t="shared" si="116"/>
        <v>3.45</v>
      </c>
      <c r="K78" s="348">
        <f t="shared" si="87"/>
        <v>3.45</v>
      </c>
      <c r="L78" s="4">
        <f t="shared" si="88"/>
        <v>0.92000000000000015</v>
      </c>
      <c r="M78" s="348">
        <f t="shared" si="89"/>
        <v>0.24076041356436206</v>
      </c>
      <c r="N78" s="4">
        <f t="shared" si="90"/>
        <v>13.842456139894551</v>
      </c>
      <c r="O78" s="4">
        <f t="shared" si="117"/>
        <v>10.371228069947275</v>
      </c>
      <c r="P78" s="4">
        <f t="shared" si="118"/>
        <v>-3.4712280699472755</v>
      </c>
      <c r="Q78" s="4">
        <f t="shared" si="91"/>
        <v>50</v>
      </c>
      <c r="R78" s="4">
        <f t="shared" si="119"/>
        <v>5.27923283556194</v>
      </c>
      <c r="S78" s="348">
        <f t="shared" si="92"/>
        <v>9.7546047662263768E-2</v>
      </c>
      <c r="T78" s="348">
        <f t="shared" si="93"/>
        <v>0.2</v>
      </c>
      <c r="U78" s="348">
        <f t="shared" si="94"/>
        <v>0.29988626525617879</v>
      </c>
      <c r="V78" s="4">
        <f t="shared" si="120"/>
        <v>3.995972889306854</v>
      </c>
      <c r="W78" s="348">
        <f t="shared" si="121"/>
        <v>1.5967799332075368E-2</v>
      </c>
      <c r="X78" s="348">
        <f t="shared" si="122"/>
        <v>1.5967799332075368E-2</v>
      </c>
      <c r="Y78" s="4">
        <f t="shared" si="123"/>
        <v>2.2571102805715291</v>
      </c>
      <c r="Z78" s="348">
        <f t="shared" si="124"/>
        <v>5.0945468186616863E-3</v>
      </c>
      <c r="AA78" s="525">
        <f t="shared" si="125"/>
        <v>5.0945468186616863E-3</v>
      </c>
      <c r="AB78" s="348">
        <f t="shared" si="126"/>
        <v>2.5903792759657858</v>
      </c>
      <c r="AC78" s="348">
        <f t="shared" si="95"/>
        <v>8.0520777520236342E-2</v>
      </c>
      <c r="AD78" s="348">
        <f t="shared" si="96"/>
        <v>0.20136844881458577</v>
      </c>
      <c r="AE78" s="348">
        <f t="shared" si="97"/>
        <v>0</v>
      </c>
      <c r="AF78" s="348">
        <f t="shared" si="98"/>
        <v>1.0205410525644989E-2</v>
      </c>
      <c r="AG78" s="348">
        <f t="shared" si="99"/>
        <v>0.29610012857333029</v>
      </c>
      <c r="AH78" s="348">
        <f t="shared" si="100"/>
        <v>4.6000254932687419</v>
      </c>
      <c r="AI78" s="348">
        <f t="shared" si="101"/>
        <v>8.6756961608761549E-2</v>
      </c>
      <c r="AJ78" s="348">
        <f t="shared" si="102"/>
        <v>3.0491410525644982E-2</v>
      </c>
      <c r="AK78" s="348">
        <f t="shared" si="103"/>
        <v>0.11892811682265123</v>
      </c>
      <c r="AL78" s="348">
        <f t="shared" si="104"/>
        <v>2.0285999999999998E-2</v>
      </c>
      <c r="AM78" s="348">
        <f t="shared" si="105"/>
        <v>0.61065000000000014</v>
      </c>
      <c r="AN78" s="348">
        <f t="shared" si="106"/>
        <v>5.5740598664150723E-2</v>
      </c>
      <c r="AO78" s="348">
        <f t="shared" si="107"/>
        <v>1.1E-4</v>
      </c>
      <c r="AP78" s="348">
        <f t="shared" si="108"/>
        <v>4.9499999999999995E-2</v>
      </c>
      <c r="AQ78" s="348">
        <f t="shared" si="109"/>
        <v>0.46453846153846151</v>
      </c>
      <c r="AR78" s="348">
        <f t="shared" si="110"/>
        <v>0.44549999999999995</v>
      </c>
      <c r="AS78" s="348">
        <f t="shared" si="133"/>
        <v>4.9609999999999994E-2</v>
      </c>
      <c r="AT78" s="348">
        <f t="shared" si="111"/>
        <v>1.4722634554670484</v>
      </c>
      <c r="AU78">
        <f t="shared" si="112"/>
        <v>41.400000000000006</v>
      </c>
      <c r="AV78" s="526">
        <f t="shared" si="127"/>
        <v>0.96565930191681293</v>
      </c>
      <c r="AW78" s="534">
        <f t="shared" si="113"/>
        <v>29.363423400079878</v>
      </c>
      <c r="AX78" s="534">
        <f t="shared" si="114"/>
        <v>13.042014504681909</v>
      </c>
      <c r="AY78" s="9"/>
      <c r="AZ78" s="4">
        <f t="shared" si="128"/>
        <v>96.565930191681289</v>
      </c>
      <c r="BA78" s="348">
        <f t="shared" si="115"/>
        <v>0.29988626525617879</v>
      </c>
      <c r="BB78" s="348">
        <f t="shared" si="129"/>
        <v>1.0256782453959816</v>
      </c>
      <c r="BC78" s="348">
        <f t="shared" si="130"/>
        <v>0.69912912857333043</v>
      </c>
      <c r="BD78" s="348">
        <f t="shared" si="131"/>
        <v>0.32044261682265129</v>
      </c>
      <c r="BE78" s="348">
        <f t="shared" si="132"/>
        <v>5.5740598664150723E-2</v>
      </c>
      <c r="BK78" s="18"/>
      <c r="BL78" s="19"/>
    </row>
    <row r="79" spans="1:64" x14ac:dyDescent="0.25">
      <c r="A79" s="34" t="s">
        <v>209</v>
      </c>
      <c r="B79" s="568">
        <f>Deadtime*Fsw*(Iripple_Vinnom/2)*(Vsd_Q2)/Vin</f>
        <v>4.0710412462961943E-4</v>
      </c>
      <c r="C79" s="21"/>
      <c r="G79">
        <v>70</v>
      </c>
      <c r="H79" s="531">
        <f t="shared" si="85"/>
        <v>50</v>
      </c>
      <c r="I79" s="4">
        <f t="shared" si="86"/>
        <v>1</v>
      </c>
      <c r="J79" s="348">
        <f t="shared" si="116"/>
        <v>3.5</v>
      </c>
      <c r="K79" s="348">
        <f t="shared" si="87"/>
        <v>3.5</v>
      </c>
      <c r="L79" s="4">
        <f t="shared" si="88"/>
        <v>0.93333333333333335</v>
      </c>
      <c r="M79" s="348">
        <f t="shared" si="89"/>
        <v>0.24077143860414352</v>
      </c>
      <c r="N79" s="4">
        <f t="shared" si="90"/>
        <v>13.842807297595723</v>
      </c>
      <c r="O79" s="4">
        <f t="shared" si="117"/>
        <v>10.421403648797861</v>
      </c>
      <c r="P79" s="4">
        <f t="shared" si="118"/>
        <v>-3.4214036487978614</v>
      </c>
      <c r="Q79" s="4">
        <f t="shared" si="91"/>
        <v>50</v>
      </c>
      <c r="R79" s="4">
        <f t="shared" si="119"/>
        <v>5.3121191148038198</v>
      </c>
      <c r="S79" s="348">
        <f t="shared" si="92"/>
        <v>9.8765133214524417E-2</v>
      </c>
      <c r="T79" s="348">
        <f t="shared" si="93"/>
        <v>0.2</v>
      </c>
      <c r="U79" s="348">
        <f t="shared" si="94"/>
        <v>0.3011445396606372</v>
      </c>
      <c r="V79" s="4">
        <f t="shared" si="120"/>
        <v>3.9960742598035033</v>
      </c>
      <c r="W79" s="348">
        <f t="shared" si="121"/>
        <v>1.5968609489864116E-2</v>
      </c>
      <c r="X79" s="348">
        <f t="shared" si="122"/>
        <v>1.5968609489864116E-2</v>
      </c>
      <c r="Y79" s="4">
        <f t="shared" si="123"/>
        <v>2.2712061593819484</v>
      </c>
      <c r="Z79" s="348">
        <f t="shared" si="124"/>
        <v>5.1583774184145005E-3</v>
      </c>
      <c r="AA79" s="525">
        <f t="shared" si="125"/>
        <v>5.1583774184145005E-3</v>
      </c>
      <c r="AB79" s="348">
        <f t="shared" si="126"/>
        <v>2.6065753782085643</v>
      </c>
      <c r="AC79" s="348">
        <f t="shared" si="95"/>
        <v>8.1530822427397454E-2</v>
      </c>
      <c r="AD79" s="348">
        <f t="shared" si="96"/>
        <v>0.20428683213073917</v>
      </c>
      <c r="AE79" s="348">
        <f t="shared" si="97"/>
        <v>0</v>
      </c>
      <c r="AF79" s="348">
        <f t="shared" si="98"/>
        <v>1.005892672746571E-2</v>
      </c>
      <c r="AG79" s="348">
        <f t="shared" si="99"/>
        <v>0.29998553662856775</v>
      </c>
      <c r="AH79" s="348">
        <f t="shared" si="100"/>
        <v>4.6286471336213353</v>
      </c>
      <c r="AI79" s="348">
        <f t="shared" si="101"/>
        <v>8.7839934579082096E-2</v>
      </c>
      <c r="AJ79" s="348">
        <f t="shared" si="102"/>
        <v>3.0638926727465706E-2</v>
      </c>
      <c r="AK79" s="348">
        <f t="shared" si="103"/>
        <v>0.12019772987316601</v>
      </c>
      <c r="AL79" s="348">
        <f t="shared" si="104"/>
        <v>2.0579999999999998E-2</v>
      </c>
      <c r="AM79" s="348">
        <f t="shared" si="105"/>
        <v>0.61950000000000005</v>
      </c>
      <c r="AN79" s="348">
        <f t="shared" si="106"/>
        <v>5.643721897972824E-2</v>
      </c>
      <c r="AO79" s="348">
        <f t="shared" si="107"/>
        <v>1.1E-4</v>
      </c>
      <c r="AP79" s="348">
        <f t="shared" si="108"/>
        <v>4.9499999999999995E-2</v>
      </c>
      <c r="AQ79" s="348">
        <f t="shared" si="109"/>
        <v>0.46453846153846151</v>
      </c>
      <c r="AR79" s="348">
        <f t="shared" si="110"/>
        <v>0.44549999999999995</v>
      </c>
      <c r="AS79" s="348">
        <f t="shared" si="133"/>
        <v>4.9609999999999994E-2</v>
      </c>
      <c r="AT79" s="348">
        <f t="shared" si="111"/>
        <v>1.4885820120503779</v>
      </c>
      <c r="AU79">
        <f t="shared" si="112"/>
        <v>42</v>
      </c>
      <c r="AV79" s="526">
        <f t="shared" si="127"/>
        <v>0.96577073927961354</v>
      </c>
      <c r="AW79" s="534">
        <f t="shared" si="113"/>
        <v>29.771932538399849</v>
      </c>
      <c r="AX79" s="534">
        <f t="shared" si="114"/>
        <v>13.21255210583786</v>
      </c>
      <c r="AY79" s="9"/>
      <c r="AZ79" s="4">
        <f t="shared" si="128"/>
        <v>96.577073927961351</v>
      </c>
      <c r="BA79" s="348">
        <f t="shared" si="115"/>
        <v>0.3011445396606372</v>
      </c>
      <c r="BB79" s="348">
        <f t="shared" si="129"/>
        <v>1.0396832665017337</v>
      </c>
      <c r="BC79" s="348">
        <f t="shared" si="130"/>
        <v>0.70885553662856782</v>
      </c>
      <c r="BD79" s="348">
        <f t="shared" si="131"/>
        <v>0.32463272987316605</v>
      </c>
      <c r="BE79" s="348">
        <f t="shared" si="132"/>
        <v>5.643721897972824E-2</v>
      </c>
      <c r="BK79" s="18"/>
      <c r="BL79" s="19"/>
    </row>
    <row r="80" spans="1:64" x14ac:dyDescent="0.25">
      <c r="A80" s="34" t="s">
        <v>45</v>
      </c>
      <c r="B80" s="568">
        <f>SUM(B77:B79)</f>
        <v>2.8009304124629621E-2</v>
      </c>
      <c r="C80" s="21" t="s">
        <v>1</v>
      </c>
      <c r="G80">
        <v>71</v>
      </c>
      <c r="H80" s="531">
        <f t="shared" si="85"/>
        <v>50</v>
      </c>
      <c r="I80" s="4">
        <f t="shared" si="86"/>
        <v>1</v>
      </c>
      <c r="J80" s="348">
        <f t="shared" si="116"/>
        <v>3.55</v>
      </c>
      <c r="K80" s="348">
        <f t="shared" si="87"/>
        <v>3.55</v>
      </c>
      <c r="L80" s="4">
        <f t="shared" si="88"/>
        <v>0.94666666666666655</v>
      </c>
      <c r="M80" s="348">
        <f t="shared" si="89"/>
        <v>0.24078246377407495</v>
      </c>
      <c r="N80" s="4">
        <f t="shared" si="90"/>
        <v>13.843158436887393</v>
      </c>
      <c r="O80" s="4">
        <f t="shared" si="117"/>
        <v>10.471579218443697</v>
      </c>
      <c r="P80" s="4">
        <f t="shared" si="118"/>
        <v>-3.3715792184436966</v>
      </c>
      <c r="Q80" s="4">
        <f t="shared" si="91"/>
        <v>50</v>
      </c>
      <c r="R80" s="4">
        <f t="shared" si="119"/>
        <v>5.3452707719750316</v>
      </c>
      <c r="S80" s="348">
        <f t="shared" si="92"/>
        <v>0.10000171869005693</v>
      </c>
      <c r="T80" s="348">
        <f t="shared" si="93"/>
        <v>0.2</v>
      </c>
      <c r="U80" s="348">
        <f t="shared" si="94"/>
        <v>0.30242112930595966</v>
      </c>
      <c r="V80" s="4">
        <f t="shared" si="120"/>
        <v>3.996175624985788</v>
      </c>
      <c r="W80" s="348">
        <f t="shared" si="121"/>
        <v>1.5969419625730553E-2</v>
      </c>
      <c r="X80" s="348">
        <f t="shared" si="122"/>
        <v>1.5969419625730553E-2</v>
      </c>
      <c r="Y80" s="4">
        <f t="shared" si="123"/>
        <v>2.2854159407995764</v>
      </c>
      <c r="Z80" s="348">
        <f t="shared" si="124"/>
        <v>5.2231260224608134E-3</v>
      </c>
      <c r="AA80" s="525">
        <f t="shared" si="125"/>
        <v>5.2231260224608134E-3</v>
      </c>
      <c r="AB80" s="348">
        <f t="shared" si="126"/>
        <v>2.6229024385665296</v>
      </c>
      <c r="AC80" s="348">
        <f t="shared" si="95"/>
        <v>8.2555406426858977E-2</v>
      </c>
      <c r="AD80" s="348">
        <f t="shared" si="96"/>
        <v>0.20720521544689258</v>
      </c>
      <c r="AE80" s="348">
        <f t="shared" si="97"/>
        <v>0</v>
      </c>
      <c r="AF80" s="348">
        <f t="shared" si="98"/>
        <v>9.9124429022244675E-3</v>
      </c>
      <c r="AG80" s="348">
        <f t="shared" si="99"/>
        <v>0.303887778052219</v>
      </c>
      <c r="AH80" s="348">
        <f t="shared" si="100"/>
        <v>4.6574995892101052</v>
      </c>
      <c r="AI80" s="348">
        <f t="shared" si="101"/>
        <v>8.8938439936318406E-2</v>
      </c>
      <c r="AJ80" s="348">
        <f t="shared" si="102"/>
        <v>3.0786442902224462E-2</v>
      </c>
      <c r="AK80" s="348">
        <f t="shared" si="103"/>
        <v>0.12148386941049419</v>
      </c>
      <c r="AL80" s="348">
        <f t="shared" si="104"/>
        <v>2.0873999999999997E-2</v>
      </c>
      <c r="AM80" s="348">
        <f t="shared" si="105"/>
        <v>0.62834999999999996</v>
      </c>
      <c r="AN80" s="348">
        <f t="shared" si="106"/>
        <v>5.7143839251461104E-2</v>
      </c>
      <c r="AO80" s="348">
        <f t="shared" si="107"/>
        <v>1.1E-4</v>
      </c>
      <c r="AP80" s="348">
        <f t="shared" si="108"/>
        <v>4.9499999999999995E-2</v>
      </c>
      <c r="AQ80" s="348">
        <f t="shared" si="109"/>
        <v>0.46453846153846151</v>
      </c>
      <c r="AR80" s="348">
        <f t="shared" si="110"/>
        <v>0.44549999999999995</v>
      </c>
      <c r="AS80" s="348">
        <f t="shared" si="133"/>
        <v>4.9609999999999994E-2</v>
      </c>
      <c r="AT80" s="348">
        <f t="shared" si="111"/>
        <v>1.5049631616683252</v>
      </c>
      <c r="AU80">
        <f t="shared" si="112"/>
        <v>42.599999999999994</v>
      </c>
      <c r="AV80" s="526">
        <f t="shared" si="127"/>
        <v>0.96587769144819746</v>
      </c>
      <c r="AW80" s="534">
        <f t="shared" si="113"/>
        <v>30.181148678193196</v>
      </c>
      <c r="AX80" s="534">
        <f t="shared" si="114"/>
        <v>13.383762335007114</v>
      </c>
      <c r="AY80" s="9"/>
      <c r="AZ80" s="4">
        <f t="shared" si="128"/>
        <v>96.587769144819745</v>
      </c>
      <c r="BA80" s="348">
        <f t="shared" si="115"/>
        <v>0.30242112930595966</v>
      </c>
      <c r="BB80" s="348">
        <f t="shared" si="129"/>
        <v>1.0537216474627131</v>
      </c>
      <c r="BC80" s="348">
        <f t="shared" si="130"/>
        <v>0.71859877805221894</v>
      </c>
      <c r="BD80" s="348">
        <f t="shared" si="131"/>
        <v>0.32883936941049419</v>
      </c>
      <c r="BE80" s="348">
        <f t="shared" si="132"/>
        <v>5.7143839251461104E-2</v>
      </c>
      <c r="BK80" s="18"/>
      <c r="BL80" s="19"/>
    </row>
    <row r="81" spans="1:64" x14ac:dyDescent="0.25">
      <c r="A81" s="2"/>
      <c r="G81">
        <v>72</v>
      </c>
      <c r="H81" s="531">
        <f t="shared" si="85"/>
        <v>50</v>
      </c>
      <c r="I81" s="4">
        <f t="shared" si="86"/>
        <v>1</v>
      </c>
      <c r="J81" s="348">
        <f t="shared" si="116"/>
        <v>3.6</v>
      </c>
      <c r="K81" s="348">
        <f t="shared" si="87"/>
        <v>3.6</v>
      </c>
      <c r="L81" s="4">
        <f t="shared" si="88"/>
        <v>0.96000000000000008</v>
      </c>
      <c r="M81" s="348">
        <f t="shared" si="89"/>
        <v>0.24079348907415871</v>
      </c>
      <c r="N81" s="4">
        <f t="shared" si="90"/>
        <v>13.843509557769233</v>
      </c>
      <c r="O81" s="4">
        <f t="shared" si="117"/>
        <v>10.521754778884617</v>
      </c>
      <c r="P81" s="4">
        <f t="shared" si="118"/>
        <v>-3.3217547788846162</v>
      </c>
      <c r="Q81" s="4">
        <f t="shared" si="91"/>
        <v>50</v>
      </c>
      <c r="R81" s="4">
        <f t="shared" si="119"/>
        <v>5.3786829000853613</v>
      </c>
      <c r="S81" s="348">
        <f t="shared" si="92"/>
        <v>0.10125580408884735</v>
      </c>
      <c r="T81" s="348">
        <f t="shared" si="93"/>
        <v>0.2</v>
      </c>
      <c r="U81" s="348">
        <f t="shared" si="94"/>
        <v>0.30371604507756844</v>
      </c>
      <c r="V81" s="4">
        <f t="shared" si="120"/>
        <v>3.9962769848536119</v>
      </c>
      <c r="W81" s="348">
        <f t="shared" si="121"/>
        <v>1.5970229739670678E-2</v>
      </c>
      <c r="X81" s="348">
        <f t="shared" si="122"/>
        <v>1.5970229739670678E-2</v>
      </c>
      <c r="Y81" s="4">
        <f t="shared" si="123"/>
        <v>2.2997375320571916</v>
      </c>
      <c r="Z81" s="348">
        <f t="shared" si="124"/>
        <v>5.288792716352503E-3</v>
      </c>
      <c r="AA81" s="525">
        <f t="shared" si="125"/>
        <v>5.288792716352503E-3</v>
      </c>
      <c r="AB81" s="348">
        <f t="shared" si="126"/>
        <v>2.639358058076299</v>
      </c>
      <c r="AC81" s="348">
        <f t="shared" si="95"/>
        <v>8.3594531504787503E-2</v>
      </c>
      <c r="AD81" s="348">
        <f t="shared" si="96"/>
        <v>0.21012359876304601</v>
      </c>
      <c r="AE81" s="348">
        <f t="shared" si="97"/>
        <v>0</v>
      </c>
      <c r="AF81" s="348">
        <f t="shared" si="98"/>
        <v>9.76595904992077E-3</v>
      </c>
      <c r="AG81" s="348">
        <f t="shared" si="99"/>
        <v>0.3078068927810787</v>
      </c>
      <c r="AH81" s="348">
        <f t="shared" si="100"/>
        <v>4.6865785794050634</v>
      </c>
      <c r="AI81" s="348">
        <f t="shared" si="101"/>
        <v>9.0052477001847347E-2</v>
      </c>
      <c r="AJ81" s="348">
        <f t="shared" si="102"/>
        <v>3.0933959049920769E-2</v>
      </c>
      <c r="AK81" s="348">
        <f t="shared" si="103"/>
        <v>0.12278655363254096</v>
      </c>
      <c r="AL81" s="348">
        <f t="shared" si="104"/>
        <v>2.1167999999999996E-2</v>
      </c>
      <c r="AM81" s="348">
        <f t="shared" si="105"/>
        <v>0.63719999999999999</v>
      </c>
      <c r="AN81" s="348">
        <f t="shared" si="106"/>
        <v>5.7860459479341347E-2</v>
      </c>
      <c r="AO81" s="348">
        <f t="shared" si="107"/>
        <v>1.1E-4</v>
      </c>
      <c r="AP81" s="348">
        <f t="shared" si="108"/>
        <v>4.9499999999999995E-2</v>
      </c>
      <c r="AQ81" s="348">
        <f t="shared" si="109"/>
        <v>0.46453846153846151</v>
      </c>
      <c r="AR81" s="348">
        <f t="shared" si="110"/>
        <v>0.44549999999999995</v>
      </c>
      <c r="AS81" s="348">
        <f t="shared" si="133"/>
        <v>4.9609999999999994E-2</v>
      </c>
      <c r="AT81" s="348">
        <f t="shared" si="111"/>
        <v>1.5214069734265523</v>
      </c>
      <c r="AU81">
        <f t="shared" si="112"/>
        <v>43.2</v>
      </c>
      <c r="AV81" s="526">
        <f t="shared" si="127"/>
        <v>0.96598034193489102</v>
      </c>
      <c r="AW81" s="534">
        <f t="shared" si="113"/>
        <v>30.591073496805304</v>
      </c>
      <c r="AX81" s="534">
        <f t="shared" si="114"/>
        <v>13.555645932844421</v>
      </c>
      <c r="AY81" s="9"/>
      <c r="AZ81" s="4">
        <f t="shared" si="128"/>
        <v>96.598034193489099</v>
      </c>
      <c r="BA81" s="348">
        <f t="shared" si="115"/>
        <v>0.30371604507756844</v>
      </c>
      <c r="BB81" s="348">
        <f t="shared" si="129"/>
        <v>1.0677934464136196</v>
      </c>
      <c r="BC81" s="348">
        <f t="shared" si="130"/>
        <v>0.72835889278107868</v>
      </c>
      <c r="BD81" s="348">
        <f t="shared" si="131"/>
        <v>0.333062553632541</v>
      </c>
      <c r="BE81" s="348">
        <f t="shared" si="132"/>
        <v>5.7860459479341347E-2</v>
      </c>
      <c r="BK81" s="18"/>
      <c r="BL81" s="19"/>
    </row>
    <row r="82" spans="1:64" x14ac:dyDescent="0.25">
      <c r="A82" s="2"/>
      <c r="G82">
        <v>73</v>
      </c>
      <c r="H82" s="531">
        <f t="shared" si="85"/>
        <v>50</v>
      </c>
      <c r="I82" s="4">
        <f t="shared" si="86"/>
        <v>1</v>
      </c>
      <c r="J82" s="348">
        <f t="shared" si="116"/>
        <v>3.65</v>
      </c>
      <c r="K82" s="348">
        <f t="shared" si="87"/>
        <v>3.65</v>
      </c>
      <c r="L82" s="4">
        <f t="shared" si="88"/>
        <v>0.97333333333333327</v>
      </c>
      <c r="M82" s="348">
        <f t="shared" si="89"/>
        <v>0.24080451450439705</v>
      </c>
      <c r="N82" s="4">
        <f t="shared" si="90"/>
        <v>13.84386066024091</v>
      </c>
      <c r="O82" s="4">
        <f t="shared" si="117"/>
        <v>10.571930330120455</v>
      </c>
      <c r="P82" s="4">
        <f t="shared" si="118"/>
        <v>-3.2719303301204552</v>
      </c>
      <c r="Q82" s="4">
        <f t="shared" si="91"/>
        <v>50</v>
      </c>
      <c r="R82" s="4">
        <f t="shared" si="119"/>
        <v>5.4123506752316493</v>
      </c>
      <c r="S82" s="348">
        <f t="shared" si="92"/>
        <v>0.10252738941088171</v>
      </c>
      <c r="T82" s="348">
        <f t="shared" si="93"/>
        <v>0.2</v>
      </c>
      <c r="U82" s="348">
        <f t="shared" si="94"/>
        <v>0.30502929802047157</v>
      </c>
      <c r="V82" s="4">
        <f t="shared" si="120"/>
        <v>3.9963783394068799</v>
      </c>
      <c r="W82" s="348">
        <f t="shared" si="121"/>
        <v>1.5971039831680491E-2</v>
      </c>
      <c r="X82" s="348">
        <f t="shared" si="122"/>
        <v>1.5971039831680491E-2</v>
      </c>
      <c r="Y82" s="4">
        <f t="shared" si="123"/>
        <v>2.3141688757815744</v>
      </c>
      <c r="Z82" s="348">
        <f t="shared" si="124"/>
        <v>5.3553775856361556E-3</v>
      </c>
      <c r="AA82" s="525">
        <f t="shared" si="125"/>
        <v>5.3553775856361556E-3</v>
      </c>
      <c r="AB82" s="348">
        <f t="shared" si="126"/>
        <v>2.6559398783261337</v>
      </c>
      <c r="AC82" s="348">
        <f t="shared" si="95"/>
        <v>8.4648199647396449E-2</v>
      </c>
      <c r="AD82" s="348">
        <f t="shared" si="96"/>
        <v>0.21304198207919942</v>
      </c>
      <c r="AE82" s="348">
        <f t="shared" si="97"/>
        <v>0</v>
      </c>
      <c r="AF82" s="348">
        <f t="shared" si="98"/>
        <v>9.6194751705541374E-3</v>
      </c>
      <c r="AG82" s="348">
        <f t="shared" si="99"/>
        <v>0.31174292103626478</v>
      </c>
      <c r="AH82" s="348">
        <f t="shared" si="100"/>
        <v>4.7158798960954735</v>
      </c>
      <c r="AI82" s="348">
        <f t="shared" si="101"/>
        <v>9.118204509702954E-2</v>
      </c>
      <c r="AJ82" s="348">
        <f t="shared" si="102"/>
        <v>3.1081475170554134E-2</v>
      </c>
      <c r="AK82" s="348">
        <f t="shared" si="103"/>
        <v>0.12410580100470921</v>
      </c>
      <c r="AL82" s="348">
        <f t="shared" si="104"/>
        <v>2.1461999999999995E-2</v>
      </c>
      <c r="AM82" s="348">
        <f t="shared" si="105"/>
        <v>0.6460499999999999</v>
      </c>
      <c r="AN82" s="348">
        <f t="shared" si="106"/>
        <v>5.8587079663360984E-2</v>
      </c>
      <c r="AO82" s="348">
        <f t="shared" si="107"/>
        <v>1.1E-4</v>
      </c>
      <c r="AP82" s="348">
        <f t="shared" si="108"/>
        <v>4.9499999999999995E-2</v>
      </c>
      <c r="AQ82" s="348">
        <f t="shared" si="109"/>
        <v>0.46453846153846151</v>
      </c>
      <c r="AR82" s="348">
        <f t="shared" si="110"/>
        <v>0.44549999999999995</v>
      </c>
      <c r="AS82" s="348">
        <f t="shared" si="133"/>
        <v>4.9609999999999994E-2</v>
      </c>
      <c r="AT82" s="348">
        <f t="shared" si="111"/>
        <v>1.537913517142123</v>
      </c>
      <c r="AU82">
        <f t="shared" si="112"/>
        <v>43.8</v>
      </c>
      <c r="AV82" s="526">
        <f t="shared" si="127"/>
        <v>0.9660788642917888</v>
      </c>
      <c r="AW82" s="534">
        <f t="shared" si="113"/>
        <v>31.00170868352312</v>
      </c>
      <c r="AX82" s="534">
        <f t="shared" si="114"/>
        <v>13.728203650891665</v>
      </c>
      <c r="AY82" s="9"/>
      <c r="AZ82" s="4">
        <f t="shared" si="128"/>
        <v>96.607886429178876</v>
      </c>
      <c r="BA82" s="348">
        <f t="shared" si="115"/>
        <v>0.30502929802047157</v>
      </c>
      <c r="BB82" s="348">
        <f t="shared" si="129"/>
        <v>1.0818987220409739</v>
      </c>
      <c r="BC82" s="348">
        <f t="shared" si="130"/>
        <v>0.7381359210362648</v>
      </c>
      <c r="BD82" s="348">
        <f t="shared" si="131"/>
        <v>0.3373023010047092</v>
      </c>
      <c r="BE82" s="348">
        <f t="shared" si="132"/>
        <v>5.8587079663360984E-2</v>
      </c>
      <c r="BK82" s="18"/>
      <c r="BL82" s="19"/>
    </row>
    <row r="83" spans="1:64" x14ac:dyDescent="0.25">
      <c r="A83" s="2"/>
      <c r="G83">
        <v>74</v>
      </c>
      <c r="H83" s="531">
        <f t="shared" si="85"/>
        <v>50</v>
      </c>
      <c r="I83" s="4">
        <f t="shared" si="86"/>
        <v>1</v>
      </c>
      <c r="J83" s="348">
        <f t="shared" si="116"/>
        <v>3.7</v>
      </c>
      <c r="K83" s="348">
        <f t="shared" si="87"/>
        <v>3.7</v>
      </c>
      <c r="L83" s="4">
        <f t="shared" si="88"/>
        <v>0.9866666666666668</v>
      </c>
      <c r="M83" s="348">
        <f t="shared" si="89"/>
        <v>0.24081554006479231</v>
      </c>
      <c r="N83" s="4">
        <f t="shared" si="90"/>
        <v>13.844211744302109</v>
      </c>
      <c r="O83" s="4">
        <f t="shared" si="117"/>
        <v>10.622105872151055</v>
      </c>
      <c r="P83" s="4">
        <f t="shared" si="118"/>
        <v>-3.2221058721510545</v>
      </c>
      <c r="Q83" s="4">
        <f t="shared" si="91"/>
        <v>50</v>
      </c>
      <c r="R83" s="4">
        <f t="shared" si="119"/>
        <v>5.4462693563352191</v>
      </c>
      <c r="S83" s="348">
        <f t="shared" si="92"/>
        <v>0.10381647465614616</v>
      </c>
      <c r="T83" s="348">
        <f t="shared" si="93"/>
        <v>0.2</v>
      </c>
      <c r="U83" s="348">
        <f t="shared" si="94"/>
        <v>0.30636089933949917</v>
      </c>
      <c r="V83" s="4">
        <f t="shared" si="120"/>
        <v>3.996479688645501</v>
      </c>
      <c r="W83" s="348">
        <f t="shared" si="121"/>
        <v>1.5971849901756041E-2</v>
      </c>
      <c r="X83" s="348">
        <f t="shared" si="122"/>
        <v>1.5971849901756041E-2</v>
      </c>
      <c r="Y83" s="4">
        <f t="shared" si="123"/>
        <v>2.328707949884032</v>
      </c>
      <c r="Z83" s="348">
        <f t="shared" si="124"/>
        <v>5.4228807158530909E-3</v>
      </c>
      <c r="AA83" s="525">
        <f t="shared" si="125"/>
        <v>5.4228807158530909E-3</v>
      </c>
      <c r="AB83" s="348">
        <f t="shared" si="126"/>
        <v>2.6726455813317611</v>
      </c>
      <c r="AC83" s="348">
        <f t="shared" si="95"/>
        <v>8.5716412840946249E-2</v>
      </c>
      <c r="AD83" s="348">
        <f t="shared" si="96"/>
        <v>0.21596036539535285</v>
      </c>
      <c r="AE83" s="348">
        <f t="shared" si="97"/>
        <v>0</v>
      </c>
      <c r="AF83" s="348">
        <f t="shared" si="98"/>
        <v>9.4729912641240994E-3</v>
      </c>
      <c r="AG83" s="348">
        <f t="shared" si="99"/>
        <v>0.3156959033245253</v>
      </c>
      <c r="AH83" s="348">
        <f t="shared" si="100"/>
        <v>4.7453994034584541</v>
      </c>
      <c r="AI83" s="348">
        <f t="shared" si="101"/>
        <v>9.2327143543209783E-2</v>
      </c>
      <c r="AJ83" s="348">
        <f t="shared" si="102"/>
        <v>3.1228991264124095E-2</v>
      </c>
      <c r="AK83" s="348">
        <f t="shared" si="103"/>
        <v>0.12544163026060168</v>
      </c>
      <c r="AL83" s="348">
        <f t="shared" si="104"/>
        <v>2.1755999999999998E-2</v>
      </c>
      <c r="AM83" s="348">
        <f t="shared" si="105"/>
        <v>0.65490000000000004</v>
      </c>
      <c r="AN83" s="348">
        <f t="shared" si="106"/>
        <v>5.9323699803512084E-2</v>
      </c>
      <c r="AO83" s="348">
        <f t="shared" si="107"/>
        <v>1.1E-4</v>
      </c>
      <c r="AP83" s="348">
        <f t="shared" si="108"/>
        <v>4.9499999999999995E-2</v>
      </c>
      <c r="AQ83" s="348">
        <f t="shared" si="109"/>
        <v>0.46453846153846151</v>
      </c>
      <c r="AR83" s="348">
        <f t="shared" si="110"/>
        <v>0.44549999999999995</v>
      </c>
      <c r="AS83" s="348">
        <f t="shared" si="133"/>
        <v>4.9609999999999994E-2</v>
      </c>
      <c r="AT83" s="348">
        <f t="shared" si="111"/>
        <v>1.5544828633457475</v>
      </c>
      <c r="AU83">
        <f t="shared" si="112"/>
        <v>44.400000000000006</v>
      </c>
      <c r="AV83" s="526">
        <f t="shared" si="127"/>
        <v>0.96617342277643958</v>
      </c>
      <c r="AW83" s="534">
        <f t="shared" si="113"/>
        <v>31.413055939630066</v>
      </c>
      <c r="AX83" s="534">
        <f t="shared" si="114"/>
        <v>13.901436251606492</v>
      </c>
      <c r="AY83" s="9"/>
      <c r="AZ83" s="4">
        <f t="shared" si="128"/>
        <v>96.617342277643957</v>
      </c>
      <c r="BA83" s="348">
        <f t="shared" si="115"/>
        <v>0.30636089933949917</v>
      </c>
      <c r="BB83" s="348">
        <f t="shared" si="129"/>
        <v>1.0960375335851271</v>
      </c>
      <c r="BC83" s="348">
        <f t="shared" si="130"/>
        <v>0.74792990332452536</v>
      </c>
      <c r="BD83" s="348">
        <f t="shared" si="131"/>
        <v>0.34155863026060174</v>
      </c>
      <c r="BE83" s="348">
        <f t="shared" si="132"/>
        <v>5.9323699803512084E-2</v>
      </c>
      <c r="BK83" s="18"/>
      <c r="BL83" s="19"/>
    </row>
    <row r="84" spans="1:64" x14ac:dyDescent="0.25">
      <c r="G84">
        <v>75</v>
      </c>
      <c r="H84" s="531">
        <f t="shared" si="85"/>
        <v>50</v>
      </c>
      <c r="I84" s="4">
        <f t="shared" si="86"/>
        <v>1</v>
      </c>
      <c r="J84" s="348">
        <f t="shared" si="116"/>
        <v>3.75</v>
      </c>
      <c r="K84" s="348">
        <f t="shared" si="87"/>
        <v>3.75</v>
      </c>
      <c r="L84" s="4">
        <f t="shared" si="88"/>
        <v>1</v>
      </c>
      <c r="M84" s="348">
        <f t="shared" si="89"/>
        <v>0.24082656575534675</v>
      </c>
      <c r="N84" s="4">
        <f t="shared" si="90"/>
        <v>13.844562809952496</v>
      </c>
      <c r="O84" s="4">
        <f t="shared" si="117"/>
        <v>10.672281404976248</v>
      </c>
      <c r="P84" s="4">
        <f t="shared" si="118"/>
        <v>-3.172281404976248</v>
      </c>
      <c r="Q84" s="4">
        <f t="shared" si="91"/>
        <v>50</v>
      </c>
      <c r="R84" s="4">
        <f t="shared" si="119"/>
        <v>5.4804342847892364</v>
      </c>
      <c r="S84" s="348">
        <f t="shared" si="92"/>
        <v>0.10512305982462658</v>
      </c>
      <c r="T84" s="348">
        <f t="shared" si="93"/>
        <v>0.2</v>
      </c>
      <c r="U84" s="348">
        <f t="shared" si="94"/>
        <v>0.30771086039954409</v>
      </c>
      <c r="V84" s="4">
        <f t="shared" si="120"/>
        <v>3.9965810325693778</v>
      </c>
      <c r="W84" s="348">
        <f t="shared" si="121"/>
        <v>1.5972659949893313E-2</v>
      </c>
      <c r="X84" s="348">
        <f t="shared" si="122"/>
        <v>1.5972659949893313E-2</v>
      </c>
      <c r="Y84" s="4">
        <f t="shared" si="123"/>
        <v>2.3433527674123953</v>
      </c>
      <c r="Z84" s="348">
        <f t="shared" si="124"/>
        <v>5.4913021925393317E-3</v>
      </c>
      <c r="AA84" s="525">
        <f t="shared" si="125"/>
        <v>5.4913021925393317E-3</v>
      </c>
      <c r="AB84" s="348">
        <f t="shared" si="126"/>
        <v>2.6894728893679778</v>
      </c>
      <c r="AC84" s="348">
        <f t="shared" si="95"/>
        <v>8.6799173071744076E-2</v>
      </c>
      <c r="AD84" s="348">
        <f t="shared" si="96"/>
        <v>0.21887874871150625</v>
      </c>
      <c r="AE84" s="348">
        <f t="shared" si="97"/>
        <v>0</v>
      </c>
      <c r="AF84" s="348">
        <f t="shared" si="98"/>
        <v>9.3265073306301686E-3</v>
      </c>
      <c r="AG84" s="348">
        <f t="shared" si="99"/>
        <v>0.31966588043955646</v>
      </c>
      <c r="AH84" s="348">
        <f t="shared" si="100"/>
        <v>4.7751330376491055</v>
      </c>
      <c r="AI84" s="348">
        <f t="shared" si="101"/>
        <v>9.3487771661716665E-2</v>
      </c>
      <c r="AJ84" s="348">
        <f t="shared" si="102"/>
        <v>3.137650733063016E-2</v>
      </c>
      <c r="AK84" s="348">
        <f t="shared" si="103"/>
        <v>0.12679406040273322</v>
      </c>
      <c r="AL84" s="348">
        <f t="shared" si="104"/>
        <v>2.2049999999999997E-2</v>
      </c>
      <c r="AM84" s="348">
        <f t="shared" si="105"/>
        <v>0.66375000000000006</v>
      </c>
      <c r="AN84" s="348">
        <f t="shared" si="106"/>
        <v>6.0070319899786617E-2</v>
      </c>
      <c r="AO84" s="348">
        <f t="shared" si="107"/>
        <v>1.1E-4</v>
      </c>
      <c r="AP84" s="348">
        <f t="shared" si="108"/>
        <v>4.9499999999999995E-2</v>
      </c>
      <c r="AQ84" s="348">
        <f t="shared" si="109"/>
        <v>0.46453846153846151</v>
      </c>
      <c r="AR84" s="348">
        <f t="shared" si="110"/>
        <v>0.44549999999999995</v>
      </c>
      <c r="AS84" s="348">
        <f t="shared" si="133"/>
        <v>4.9609999999999994E-2</v>
      </c>
      <c r="AT84" s="348">
        <f t="shared" si="111"/>
        <v>1.5711150832840532</v>
      </c>
      <c r="AU84">
        <f t="shared" si="112"/>
        <v>45</v>
      </c>
      <c r="AV84" s="526">
        <f t="shared" si="127"/>
        <v>0.96626417296484313</v>
      </c>
      <c r="AW84" s="534">
        <f t="shared" si="113"/>
        <v>31.82511697846137</v>
      </c>
      <c r="AX84" s="534">
        <f t="shared" si="114"/>
        <v>14.075344508391243</v>
      </c>
      <c r="AY84" s="9"/>
      <c r="AZ84" s="4">
        <f t="shared" si="128"/>
        <v>96.626417296484306</v>
      </c>
      <c r="BA84" s="348">
        <f t="shared" si="115"/>
        <v>0.30771086039954409</v>
      </c>
      <c r="BB84" s="348">
        <f t="shared" si="129"/>
        <v>1.1102099408422896</v>
      </c>
      <c r="BC84" s="348">
        <f t="shared" si="130"/>
        <v>0.75774088043955645</v>
      </c>
      <c r="BD84" s="348">
        <f t="shared" si="131"/>
        <v>0.34583156040273322</v>
      </c>
      <c r="BE84" s="348">
        <f t="shared" si="132"/>
        <v>6.0070319899786617E-2</v>
      </c>
      <c r="BK84" s="18"/>
      <c r="BL84" s="19"/>
    </row>
    <row r="85" spans="1:64" x14ac:dyDescent="0.25">
      <c r="G85">
        <v>76</v>
      </c>
      <c r="H85" s="531">
        <f t="shared" si="85"/>
        <v>50</v>
      </c>
      <c r="I85" s="4">
        <f t="shared" si="86"/>
        <v>1</v>
      </c>
      <c r="J85" s="348">
        <f t="shared" si="116"/>
        <v>3.8</v>
      </c>
      <c r="K85" s="348">
        <f t="shared" si="87"/>
        <v>3.8</v>
      </c>
      <c r="L85" s="4">
        <f t="shared" si="88"/>
        <v>1.0133333333333332</v>
      </c>
      <c r="M85" s="348">
        <f t="shared" si="89"/>
        <v>0.24083759157606269</v>
      </c>
      <c r="N85" s="4">
        <f t="shared" si="90"/>
        <v>13.844913857191743</v>
      </c>
      <c r="O85" s="4">
        <f t="shared" si="117"/>
        <v>10.722456928595872</v>
      </c>
      <c r="P85" s="4">
        <f t="shared" si="118"/>
        <v>-3.1224569285958719</v>
      </c>
      <c r="Q85" s="4">
        <f t="shared" si="91"/>
        <v>50</v>
      </c>
      <c r="R85" s="4">
        <f t="shared" si="119"/>
        <v>5.5148408840227052</v>
      </c>
      <c r="S85" s="348">
        <f t="shared" si="92"/>
        <v>0.10644714491630916</v>
      </c>
      <c r="T85" s="348">
        <f t="shared" si="93"/>
        <v>0.2</v>
      </c>
      <c r="U85" s="348">
        <f t="shared" si="94"/>
        <v>0.3090791927258052</v>
      </c>
      <c r="V85" s="4">
        <f t="shared" si="120"/>
        <v>3.9966823711784167</v>
      </c>
      <c r="W85" s="348">
        <f t="shared" si="121"/>
        <v>1.5973469976088332E-2</v>
      </c>
      <c r="X85" s="348">
        <f t="shared" si="122"/>
        <v>1.5973469976088332E-2</v>
      </c>
      <c r="Y85" s="4">
        <f t="shared" si="123"/>
        <v>2.3581013763673586</v>
      </c>
      <c r="Z85" s="348">
        <f t="shared" si="124"/>
        <v>5.5606421012256314E-3</v>
      </c>
      <c r="AA85" s="525">
        <f t="shared" si="125"/>
        <v>5.5606421012256314E-3</v>
      </c>
      <c r="AB85" s="348">
        <f t="shared" si="126"/>
        <v>2.7064195647593161</v>
      </c>
      <c r="AC85" s="348">
        <f t="shared" si="95"/>
        <v>8.7896482326144082E-2</v>
      </c>
      <c r="AD85" s="348">
        <f t="shared" si="96"/>
        <v>0.22179713202765966</v>
      </c>
      <c r="AE85" s="348">
        <f t="shared" si="97"/>
        <v>0</v>
      </c>
      <c r="AF85" s="348">
        <f t="shared" si="98"/>
        <v>9.1800233700718627E-3</v>
      </c>
      <c r="AG85" s="348">
        <f t="shared" si="99"/>
        <v>0.32365289346333331</v>
      </c>
      <c r="AH85" s="348">
        <f t="shared" si="100"/>
        <v>4.805076806418012</v>
      </c>
      <c r="AI85" s="348">
        <f t="shared" si="101"/>
        <v>9.4663928773862899E-2</v>
      </c>
      <c r="AJ85" s="348">
        <f t="shared" si="102"/>
        <v>3.1524023370071853E-2</v>
      </c>
      <c r="AK85" s="348">
        <f t="shared" si="103"/>
        <v>0.12816311070325523</v>
      </c>
      <c r="AL85" s="348">
        <f t="shared" si="104"/>
        <v>2.2343999999999996E-2</v>
      </c>
      <c r="AM85" s="348">
        <f t="shared" si="105"/>
        <v>0.67259999999999998</v>
      </c>
      <c r="AN85" s="348">
        <f t="shared" si="106"/>
        <v>6.0826939952176667E-2</v>
      </c>
      <c r="AO85" s="348">
        <f t="shared" si="107"/>
        <v>1.1E-4</v>
      </c>
      <c r="AP85" s="348">
        <f t="shared" si="108"/>
        <v>4.9499999999999995E-2</v>
      </c>
      <c r="AQ85" s="348">
        <f t="shared" si="109"/>
        <v>0.46453846153846151</v>
      </c>
      <c r="AR85" s="348">
        <f t="shared" si="110"/>
        <v>0.44549999999999995</v>
      </c>
      <c r="AS85" s="348">
        <f t="shared" si="133"/>
        <v>4.9609999999999994E-2</v>
      </c>
      <c r="AT85" s="348">
        <f t="shared" si="111"/>
        <v>1.5878102489218842</v>
      </c>
      <c r="AU85">
        <f t="shared" si="112"/>
        <v>45.599999999999994</v>
      </c>
      <c r="AV85" s="526">
        <f t="shared" si="127"/>
        <v>0.96635126231656066</v>
      </c>
      <c r="AW85" s="534">
        <f t="shared" si="113"/>
        <v>32.237893525460002</v>
      </c>
      <c r="AX85" s="534">
        <f t="shared" si="114"/>
        <v>14.24992920562249</v>
      </c>
      <c r="AY85" s="9"/>
      <c r="AZ85" s="4">
        <f t="shared" si="128"/>
        <v>96.635126231656059</v>
      </c>
      <c r="BA85" s="348">
        <f t="shared" si="115"/>
        <v>0.3090791927258052</v>
      </c>
      <c r="BB85" s="348">
        <f t="shared" si="129"/>
        <v>1.1244160041665885</v>
      </c>
      <c r="BC85" s="348">
        <f t="shared" si="130"/>
        <v>0.76756889346333335</v>
      </c>
      <c r="BD85" s="348">
        <f t="shared" si="131"/>
        <v>0.35012111070325524</v>
      </c>
      <c r="BE85" s="348">
        <f t="shared" si="132"/>
        <v>6.0826939952176667E-2</v>
      </c>
      <c r="BK85" s="18"/>
      <c r="BL85" s="19"/>
    </row>
    <row r="86" spans="1:64" x14ac:dyDescent="0.25">
      <c r="G86">
        <v>77</v>
      </c>
      <c r="H86" s="531">
        <f t="shared" si="85"/>
        <v>50</v>
      </c>
      <c r="I86" s="4">
        <f t="shared" si="86"/>
        <v>1</v>
      </c>
      <c r="J86" s="348">
        <f t="shared" si="116"/>
        <v>3.85</v>
      </c>
      <c r="K86" s="348">
        <f t="shared" si="87"/>
        <v>3.85</v>
      </c>
      <c r="L86" s="4">
        <f t="shared" si="88"/>
        <v>1.0266666666666668</v>
      </c>
      <c r="M86" s="348">
        <f t="shared" si="89"/>
        <v>0.2408486175269425</v>
      </c>
      <c r="N86" s="4">
        <f t="shared" si="90"/>
        <v>13.845264886019537</v>
      </c>
      <c r="O86" s="4">
        <f t="shared" si="117"/>
        <v>10.772632443009769</v>
      </c>
      <c r="P86" s="4">
        <f t="shared" si="118"/>
        <v>-3.0726324430097685</v>
      </c>
      <c r="Q86" s="4">
        <f t="shared" si="91"/>
        <v>50</v>
      </c>
      <c r="R86" s="4">
        <f t="shared" si="119"/>
        <v>5.5494846589874571</v>
      </c>
      <c r="S86" s="348">
        <f t="shared" si="92"/>
        <v>0.10778872993117998</v>
      </c>
      <c r="T86" s="348">
        <f t="shared" si="93"/>
        <v>0.2</v>
      </c>
      <c r="U86" s="348">
        <f t="shared" si="94"/>
        <v>0.31046590800403484</v>
      </c>
      <c r="V86" s="4">
        <f t="shared" si="120"/>
        <v>3.9967837044725267</v>
      </c>
      <c r="W86" s="348">
        <f t="shared" si="121"/>
        <v>1.5974279980337135E-2</v>
      </c>
      <c r="X86" s="348">
        <f t="shared" si="122"/>
        <v>1.5974279980337135E-2</v>
      </c>
      <c r="Y86" s="4">
        <f t="shared" si="123"/>
        <v>2.3729518594858741</v>
      </c>
      <c r="Z86" s="348">
        <f t="shared" si="124"/>
        <v>5.6309005274374673E-3</v>
      </c>
      <c r="AA86" s="525">
        <f t="shared" si="125"/>
        <v>5.6309005274374673E-3</v>
      </c>
      <c r="AB86" s="348">
        <f t="shared" si="126"/>
        <v>2.723483409632895</v>
      </c>
      <c r="AC86" s="348">
        <f t="shared" si="95"/>
        <v>8.9008342590547435E-2</v>
      </c>
      <c r="AD86" s="348">
        <f t="shared" si="96"/>
        <v>0.22471551534381309</v>
      </c>
      <c r="AE86" s="348">
        <f t="shared" si="97"/>
        <v>0</v>
      </c>
      <c r="AF86" s="348">
        <f t="shared" si="98"/>
        <v>9.0335393824487169E-3</v>
      </c>
      <c r="AG86" s="348">
        <f t="shared" si="99"/>
        <v>0.32765698376745356</v>
      </c>
      <c r="AH86" s="348">
        <f t="shared" si="100"/>
        <v>4.8352267886616769</v>
      </c>
      <c r="AI86" s="348">
        <f t="shared" si="101"/>
        <v>9.5855614200945183E-2</v>
      </c>
      <c r="AJ86" s="348">
        <f t="shared" si="102"/>
        <v>3.1671539382448717E-2</v>
      </c>
      <c r="AK86" s="348">
        <f t="shared" si="103"/>
        <v>0.12954880070469046</v>
      </c>
      <c r="AL86" s="348">
        <f t="shared" si="104"/>
        <v>2.2637999999999995E-2</v>
      </c>
      <c r="AM86" s="348">
        <f t="shared" si="105"/>
        <v>0.68144999999999989</v>
      </c>
      <c r="AN86" s="348">
        <f t="shared" si="106"/>
        <v>6.1593559960674268E-2</v>
      </c>
      <c r="AO86" s="348">
        <f t="shared" si="107"/>
        <v>1.1E-4</v>
      </c>
      <c r="AP86" s="348">
        <f t="shared" si="108"/>
        <v>4.9499999999999995E-2</v>
      </c>
      <c r="AQ86" s="348">
        <f t="shared" si="109"/>
        <v>0.46453846153846151</v>
      </c>
      <c r="AR86" s="348">
        <f t="shared" si="110"/>
        <v>0.44549999999999995</v>
      </c>
      <c r="AS86" s="348">
        <f t="shared" si="133"/>
        <v>4.9609999999999994E-2</v>
      </c>
      <c r="AT86" s="348">
        <f t="shared" si="111"/>
        <v>1.6045684329446275</v>
      </c>
      <c r="AU86">
        <f t="shared" si="112"/>
        <v>46.2</v>
      </c>
      <c r="AV86" s="526">
        <f t="shared" si="127"/>
        <v>0.96643483069624714</v>
      </c>
      <c r="AW86" s="534">
        <f t="shared" si="113"/>
        <v>32.651387318233049</v>
      </c>
      <c r="AX86" s="534">
        <f t="shared" si="114"/>
        <v>14.425191138680901</v>
      </c>
      <c r="AY86" s="9"/>
      <c r="AZ86" s="4">
        <f t="shared" si="128"/>
        <v>96.643483069624708</v>
      </c>
      <c r="BA86" s="348">
        <f t="shared" si="115"/>
        <v>0.31046590800403484</v>
      </c>
      <c r="BB86" s="348">
        <f t="shared" si="129"/>
        <v>1.1386557844721439</v>
      </c>
      <c r="BC86" s="348">
        <f t="shared" si="130"/>
        <v>0.77741398376745352</v>
      </c>
      <c r="BD86" s="348">
        <f t="shared" si="131"/>
        <v>0.35442730070469042</v>
      </c>
      <c r="BE86" s="348">
        <f t="shared" si="132"/>
        <v>6.1593559960674268E-2</v>
      </c>
      <c r="BK86" s="18"/>
      <c r="BL86" s="19"/>
    </row>
    <row r="87" spans="1:64" x14ac:dyDescent="0.25">
      <c r="G87">
        <v>78</v>
      </c>
      <c r="H87" s="531">
        <f t="shared" si="85"/>
        <v>50</v>
      </c>
      <c r="I87" s="4">
        <f t="shared" si="86"/>
        <v>1</v>
      </c>
      <c r="J87" s="348">
        <f t="shared" si="116"/>
        <v>3.9</v>
      </c>
      <c r="K87" s="348">
        <f t="shared" si="87"/>
        <v>3.9</v>
      </c>
      <c r="L87" s="4">
        <f t="shared" si="88"/>
        <v>1.04</v>
      </c>
      <c r="M87" s="348">
        <f t="shared" si="89"/>
        <v>0.24085964360798839</v>
      </c>
      <c r="N87" s="4">
        <f t="shared" si="90"/>
        <v>13.845615896435538</v>
      </c>
      <c r="O87" s="4">
        <f t="shared" si="117"/>
        <v>10.822807948217768</v>
      </c>
      <c r="P87" s="4">
        <f t="shared" si="118"/>
        <v>-3.022807948217769</v>
      </c>
      <c r="Q87" s="4">
        <f t="shared" si="91"/>
        <v>50</v>
      </c>
      <c r="R87" s="4">
        <f t="shared" si="119"/>
        <v>5.5843611955742709</v>
      </c>
      <c r="S87" s="348">
        <f t="shared" si="92"/>
        <v>0.10914781486922495</v>
      </c>
      <c r="T87" s="348">
        <f t="shared" si="93"/>
        <v>0.2</v>
      </c>
      <c r="U87" s="348">
        <f t="shared" si="94"/>
        <v>0.3118710180807896</v>
      </c>
      <c r="V87" s="4">
        <f t="shared" si="120"/>
        <v>3.9968850324516101</v>
      </c>
      <c r="W87" s="348">
        <f t="shared" si="121"/>
        <v>1.5975089962635709E-2</v>
      </c>
      <c r="X87" s="348">
        <f t="shared" si="122"/>
        <v>1.5975089962635709E-2</v>
      </c>
      <c r="Y87" s="4">
        <f t="shared" si="123"/>
        <v>2.387902333994214</v>
      </c>
      <c r="Z87" s="348">
        <f t="shared" si="124"/>
        <v>5.7020775566950146E-3</v>
      </c>
      <c r="AA87" s="525">
        <f t="shared" si="125"/>
        <v>5.7020775566950146E-3</v>
      </c>
      <c r="AB87" s="348">
        <f t="shared" si="126"/>
        <v>2.7406622656364448</v>
      </c>
      <c r="AC87" s="348">
        <f t="shared" si="95"/>
        <v>9.013475585140189E-2</v>
      </c>
      <c r="AD87" s="348">
        <f t="shared" si="96"/>
        <v>0.2276338986599665</v>
      </c>
      <c r="AE87" s="348">
        <f t="shared" si="97"/>
        <v>0</v>
      </c>
      <c r="AF87" s="348">
        <f t="shared" si="98"/>
        <v>8.8870553677602403E-3</v>
      </c>
      <c r="AG87" s="348">
        <f t="shared" si="99"/>
        <v>0.33167819301449264</v>
      </c>
      <c r="AH87" s="348">
        <f t="shared" si="100"/>
        <v>4.8655791339112149</v>
      </c>
      <c r="AI87" s="348">
        <f t="shared" si="101"/>
        <v>9.7062827264244034E-2</v>
      </c>
      <c r="AJ87" s="348">
        <f t="shared" si="102"/>
        <v>3.1819055367760231E-2</v>
      </c>
      <c r="AK87" s="348">
        <f t="shared" si="103"/>
        <v>0.13095115022067907</v>
      </c>
      <c r="AL87" s="348">
        <f t="shared" si="104"/>
        <v>2.2931999999999994E-2</v>
      </c>
      <c r="AM87" s="348">
        <f t="shared" si="105"/>
        <v>0.69029999999999991</v>
      </c>
      <c r="AN87" s="348">
        <f t="shared" si="106"/>
        <v>6.2370179925271399E-2</v>
      </c>
      <c r="AO87" s="348">
        <f t="shared" si="107"/>
        <v>1.1E-4</v>
      </c>
      <c r="AP87" s="348">
        <f t="shared" si="108"/>
        <v>4.9499999999999995E-2</v>
      </c>
      <c r="AQ87" s="348">
        <f t="shared" si="109"/>
        <v>0.46453846153846151</v>
      </c>
      <c r="AR87" s="348">
        <f t="shared" si="110"/>
        <v>0.44549999999999995</v>
      </c>
      <c r="AS87" s="348">
        <f t="shared" si="133"/>
        <v>4.9609999999999994E-2</v>
      </c>
      <c r="AT87" s="348">
        <f t="shared" si="111"/>
        <v>1.6213897087605631</v>
      </c>
      <c r="AU87">
        <f t="shared" si="112"/>
        <v>46.8</v>
      </c>
      <c r="AV87" s="526">
        <f t="shared" si="127"/>
        <v>0.96651501085547709</v>
      </c>
      <c r="AW87" s="534">
        <f t="shared" si="113"/>
        <v>33.065600106608692</v>
      </c>
      <c r="AX87" s="534">
        <f t="shared" si="114"/>
        <v>14.601131113981637</v>
      </c>
      <c r="AY87" s="9"/>
      <c r="AZ87" s="4">
        <f t="shared" si="128"/>
        <v>96.651501085547707</v>
      </c>
      <c r="BA87" s="348">
        <f t="shared" si="115"/>
        <v>0.3118710180807896</v>
      </c>
      <c r="BB87" s="348">
        <f t="shared" si="129"/>
        <v>1.1529293432351717</v>
      </c>
      <c r="BC87" s="348">
        <f t="shared" si="130"/>
        <v>0.78727619301449259</v>
      </c>
      <c r="BD87" s="348">
        <f t="shared" si="131"/>
        <v>0.35875015022067902</v>
      </c>
      <c r="BE87" s="348">
        <f t="shared" si="132"/>
        <v>6.2370179925271399E-2</v>
      </c>
      <c r="BK87" s="18"/>
      <c r="BL87" s="19"/>
    </row>
    <row r="88" spans="1:64" x14ac:dyDescent="0.25">
      <c r="G88">
        <v>79</v>
      </c>
      <c r="H88" s="531">
        <f t="shared" si="85"/>
        <v>50</v>
      </c>
      <c r="I88" s="4">
        <f t="shared" si="86"/>
        <v>1</v>
      </c>
      <c r="J88" s="348">
        <f t="shared" si="116"/>
        <v>3.95</v>
      </c>
      <c r="K88" s="348">
        <f t="shared" si="87"/>
        <v>3.95</v>
      </c>
      <c r="L88" s="4">
        <f t="shared" si="88"/>
        <v>1.0533333333333335</v>
      </c>
      <c r="M88" s="348">
        <f t="shared" si="89"/>
        <v>0.24087066981920272</v>
      </c>
      <c r="N88" s="4">
        <f t="shared" si="90"/>
        <v>13.845966888439428</v>
      </c>
      <c r="O88" s="4">
        <f t="shared" si="117"/>
        <v>10.872983444219713</v>
      </c>
      <c r="P88" s="4">
        <f t="shared" si="118"/>
        <v>-2.9729834442197136</v>
      </c>
      <c r="Q88" s="4">
        <f t="shared" si="91"/>
        <v>50</v>
      </c>
      <c r="R88" s="4">
        <f t="shared" si="119"/>
        <v>5.6194661599639586</v>
      </c>
      <c r="S88" s="348">
        <f t="shared" si="92"/>
        <v>0.11052439973043028</v>
      </c>
      <c r="T88" s="348">
        <f t="shared" si="93"/>
        <v>0.2</v>
      </c>
      <c r="U88" s="348">
        <f t="shared" si="94"/>
        <v>0.31329453496368515</v>
      </c>
      <c r="V88" s="4">
        <f t="shared" si="120"/>
        <v>3.9969863551155744</v>
      </c>
      <c r="W88" s="348">
        <f t="shared" si="121"/>
        <v>1.5975899922980086E-2</v>
      </c>
      <c r="X88" s="348">
        <f t="shared" si="122"/>
        <v>1.5975899922980086E-2</v>
      </c>
      <c r="Y88" s="4">
        <f t="shared" si="123"/>
        <v>2.4029509513332128</v>
      </c>
      <c r="Z88" s="348">
        <f t="shared" si="124"/>
        <v>5.7741732745131922E-3</v>
      </c>
      <c r="AA88" s="525">
        <f t="shared" si="125"/>
        <v>5.7741732745131922E-3</v>
      </c>
      <c r="AB88" s="348">
        <f t="shared" si="126"/>
        <v>2.7579540136243881</v>
      </c>
      <c r="AC88" s="348">
        <f t="shared" si="95"/>
        <v>9.127572409520246E-2</v>
      </c>
      <c r="AD88" s="348">
        <f t="shared" si="96"/>
        <v>0.23055228197611993</v>
      </c>
      <c r="AE88" s="348">
        <f t="shared" si="97"/>
        <v>0</v>
      </c>
      <c r="AF88" s="348">
        <f t="shared" si="98"/>
        <v>8.7405713260059574E-3</v>
      </c>
      <c r="AG88" s="348">
        <f t="shared" si="99"/>
        <v>0.33571656315937326</v>
      </c>
      <c r="AH88" s="348">
        <f t="shared" si="100"/>
        <v>4.8961300617644143</v>
      </c>
      <c r="AI88" s="348">
        <f t="shared" si="101"/>
        <v>9.8285567285024147E-2</v>
      </c>
      <c r="AJ88" s="348">
        <f t="shared" si="102"/>
        <v>3.1966571326005951E-2</v>
      </c>
      <c r="AK88" s="348">
        <f t="shared" si="103"/>
        <v>0.13237017933673681</v>
      </c>
      <c r="AL88" s="348">
        <f t="shared" si="104"/>
        <v>2.3225999999999997E-2</v>
      </c>
      <c r="AM88" s="348">
        <f t="shared" si="105"/>
        <v>0.69915000000000016</v>
      </c>
      <c r="AN88" s="348">
        <f t="shared" si="106"/>
        <v>6.3156799845960163E-2</v>
      </c>
      <c r="AO88" s="348">
        <f t="shared" si="107"/>
        <v>1.1E-4</v>
      </c>
      <c r="AP88" s="348">
        <f t="shared" si="108"/>
        <v>4.9499999999999995E-2</v>
      </c>
      <c r="AQ88" s="348">
        <f t="shared" si="109"/>
        <v>0.46453846153846151</v>
      </c>
      <c r="AR88" s="348">
        <f t="shared" si="110"/>
        <v>0.44549999999999995</v>
      </c>
      <c r="AS88" s="348">
        <f t="shared" si="133"/>
        <v>4.9609999999999994E-2</v>
      </c>
      <c r="AT88" s="348">
        <f t="shared" si="111"/>
        <v>1.6382741505032488</v>
      </c>
      <c r="AU88">
        <f t="shared" si="112"/>
        <v>47.400000000000006</v>
      </c>
      <c r="AV88" s="526">
        <f t="shared" si="127"/>
        <v>0.96659192887834455</v>
      </c>
      <c r="AW88" s="534">
        <f t="shared" si="113"/>
        <v>33.48053365269368</v>
      </c>
      <c r="AX88" s="534">
        <f t="shared" si="114"/>
        <v>14.777749949005191</v>
      </c>
      <c r="AY88" s="9"/>
      <c r="AZ88" s="4">
        <f t="shared" si="128"/>
        <v>96.65919288783445</v>
      </c>
      <c r="BA88" s="348">
        <f t="shared" si="115"/>
        <v>0.31329453496368515</v>
      </c>
      <c r="BB88" s="348">
        <f t="shared" si="129"/>
        <v>1.1672367424961103</v>
      </c>
      <c r="BC88" s="348">
        <f t="shared" si="130"/>
        <v>0.79715556315937341</v>
      </c>
      <c r="BD88" s="348">
        <f t="shared" si="131"/>
        <v>0.36308967933673686</v>
      </c>
      <c r="BE88" s="348">
        <f t="shared" si="132"/>
        <v>6.3156799845960163E-2</v>
      </c>
      <c r="BK88" s="18"/>
      <c r="BL88" s="19"/>
    </row>
    <row r="89" spans="1:64" x14ac:dyDescent="0.25">
      <c r="G89">
        <v>80</v>
      </c>
      <c r="H89" s="531">
        <f t="shared" si="85"/>
        <v>50</v>
      </c>
      <c r="I89" s="4">
        <f t="shared" si="86"/>
        <v>1</v>
      </c>
      <c r="J89" s="348">
        <f t="shared" si="116"/>
        <v>4</v>
      </c>
      <c r="K89" s="348">
        <f t="shared" si="87"/>
        <v>4</v>
      </c>
      <c r="L89" s="4">
        <f t="shared" si="88"/>
        <v>1.0666666666666667</v>
      </c>
      <c r="M89" s="348">
        <f t="shared" si="89"/>
        <v>0.2408816961605878</v>
      </c>
      <c r="N89" s="4">
        <f t="shared" si="90"/>
        <v>13.846317862030878</v>
      </c>
      <c r="O89" s="4">
        <f t="shared" si="117"/>
        <v>10.92315893101544</v>
      </c>
      <c r="P89" s="4">
        <f t="shared" si="118"/>
        <v>-2.9231589310154389</v>
      </c>
      <c r="Q89" s="4">
        <f t="shared" si="91"/>
        <v>50</v>
      </c>
      <c r="R89" s="4">
        <f t="shared" si="119"/>
        <v>5.6547952979189509</v>
      </c>
      <c r="S89" s="348">
        <f t="shared" si="92"/>
        <v>0.11191848451478198</v>
      </c>
      <c r="T89" s="348">
        <f t="shared" si="93"/>
        <v>0.2</v>
      </c>
      <c r="U89" s="348">
        <f t="shared" si="94"/>
        <v>0.31473647082165324</v>
      </c>
      <c r="V89" s="4">
        <f t="shared" si="120"/>
        <v>3.9970876724643256</v>
      </c>
      <c r="W89" s="348">
        <f t="shared" si="121"/>
        <v>1.5976709861366279E-2</v>
      </c>
      <c r="X89" s="348">
        <f t="shared" si="122"/>
        <v>1.5976709861366279E-2</v>
      </c>
      <c r="Y89" s="4">
        <f t="shared" si="123"/>
        <v>2.4180958968580253</v>
      </c>
      <c r="Z89" s="348">
        <f t="shared" si="124"/>
        <v>5.8471877664016177E-3</v>
      </c>
      <c r="AA89" s="525">
        <f t="shared" si="125"/>
        <v>5.8471877664016177E-3</v>
      </c>
      <c r="AB89" s="348">
        <f t="shared" si="126"/>
        <v>2.7753565733146619</v>
      </c>
      <c r="AC89" s="348">
        <f t="shared" si="95"/>
        <v>9.2431249308490837E-2</v>
      </c>
      <c r="AD89" s="348">
        <f t="shared" si="96"/>
        <v>0.23347066529227334</v>
      </c>
      <c r="AE89" s="348">
        <f t="shared" si="97"/>
        <v>0</v>
      </c>
      <c r="AF89" s="348">
        <f t="shared" si="98"/>
        <v>8.5940872571853913E-3</v>
      </c>
      <c r="AG89" s="348">
        <f t="shared" si="99"/>
        <v>0.33977213645074567</v>
      </c>
      <c r="AH89" s="348">
        <f t="shared" si="100"/>
        <v>4.9268758612659784</v>
      </c>
      <c r="AI89" s="348">
        <f t="shared" si="101"/>
        <v>9.9523833584534024E-2</v>
      </c>
      <c r="AJ89" s="348">
        <f t="shared" si="102"/>
        <v>3.2114087257185391E-2</v>
      </c>
      <c r="AK89" s="348">
        <f t="shared" si="103"/>
        <v>0.1338059084110233</v>
      </c>
      <c r="AL89" s="348">
        <f t="shared" si="104"/>
        <v>2.3519999999999996E-2</v>
      </c>
      <c r="AM89" s="348">
        <f t="shared" si="105"/>
        <v>0.70799999999999996</v>
      </c>
      <c r="AN89" s="348">
        <f t="shared" si="106"/>
        <v>6.3953419722732552E-2</v>
      </c>
      <c r="AO89" s="348">
        <f t="shared" si="107"/>
        <v>1.1E-4</v>
      </c>
      <c r="AP89" s="348">
        <f t="shared" si="108"/>
        <v>4.9499999999999995E-2</v>
      </c>
      <c r="AQ89" s="348">
        <f t="shared" si="109"/>
        <v>0.46453846153846151</v>
      </c>
      <c r="AR89" s="348">
        <f t="shared" si="110"/>
        <v>0.44549999999999995</v>
      </c>
      <c r="AS89" s="348">
        <f t="shared" si="133"/>
        <v>4.9609999999999994E-2</v>
      </c>
      <c r="AT89" s="348">
        <f t="shared" si="111"/>
        <v>1.6552218330339226</v>
      </c>
      <c r="AU89">
        <f t="shared" si="112"/>
        <v>48</v>
      </c>
      <c r="AV89" s="526">
        <f t="shared" si="127"/>
        <v>0.96666570459397771</v>
      </c>
      <c r="AW89" s="534">
        <f t="shared" si="113"/>
        <v>33.896189730931319</v>
      </c>
      <c r="AX89" s="534">
        <f t="shared" si="114"/>
        <v>14.955048472328651</v>
      </c>
      <c r="AY89" s="9"/>
      <c r="AZ89" s="4">
        <f t="shared" si="128"/>
        <v>96.666570459397775</v>
      </c>
      <c r="BA89" s="348">
        <f t="shared" si="115"/>
        <v>0.31473647082165324</v>
      </c>
      <c r="BB89" s="348">
        <f t="shared" si="129"/>
        <v>1.181578044861769</v>
      </c>
      <c r="BC89" s="348">
        <f t="shared" si="130"/>
        <v>0.80705213645074569</v>
      </c>
      <c r="BD89" s="348">
        <f t="shared" si="131"/>
        <v>0.36744590841102331</v>
      </c>
      <c r="BE89" s="348">
        <f t="shared" si="132"/>
        <v>6.3953419722732552E-2</v>
      </c>
      <c r="BK89" s="18"/>
      <c r="BL89" s="19"/>
    </row>
    <row r="90" spans="1:64" x14ac:dyDescent="0.25">
      <c r="G90">
        <v>81</v>
      </c>
      <c r="H90" s="531">
        <f t="shared" si="85"/>
        <v>50</v>
      </c>
      <c r="I90" s="4">
        <f t="shared" si="86"/>
        <v>1</v>
      </c>
      <c r="J90" s="348">
        <f t="shared" si="116"/>
        <v>4.05</v>
      </c>
      <c r="K90" s="348">
        <f t="shared" si="87"/>
        <v>4.05</v>
      </c>
      <c r="L90" s="4">
        <f t="shared" si="88"/>
        <v>1.0799999999999998</v>
      </c>
      <c r="M90" s="348">
        <f t="shared" si="89"/>
        <v>0.24089272263214592</v>
      </c>
      <c r="N90" s="4">
        <f t="shared" si="90"/>
        <v>13.846668817209563</v>
      </c>
      <c r="O90" s="4">
        <f t="shared" si="117"/>
        <v>10.973334408604781</v>
      </c>
      <c r="P90" s="4">
        <f t="shared" si="118"/>
        <v>-2.8733344086047818</v>
      </c>
      <c r="Q90" s="4">
        <f t="shared" si="91"/>
        <v>50</v>
      </c>
      <c r="R90" s="4">
        <f t="shared" si="119"/>
        <v>5.6903444340206955</v>
      </c>
      <c r="S90" s="348">
        <f t="shared" si="92"/>
        <v>0.11333006922226609</v>
      </c>
      <c r="T90" s="348">
        <f t="shared" si="93"/>
        <v>0.2</v>
      </c>
      <c r="U90" s="348">
        <f t="shared" si="94"/>
        <v>0.31619683798520404</v>
      </c>
      <c r="V90" s="4">
        <f t="shared" si="120"/>
        <v>3.9971889844977695</v>
      </c>
      <c r="W90" s="348">
        <f t="shared" si="121"/>
        <v>1.597751977779031E-2</v>
      </c>
      <c r="X90" s="348">
        <f t="shared" si="122"/>
        <v>1.597751977779031E-2</v>
      </c>
      <c r="Y90" s="4">
        <f t="shared" si="123"/>
        <v>2.4333353895146952</v>
      </c>
      <c r="Z90" s="348">
        <f t="shared" si="124"/>
        <v>5.9211211178646335E-3</v>
      </c>
      <c r="AA90" s="525">
        <f t="shared" si="125"/>
        <v>5.9211211178646335E-3</v>
      </c>
      <c r="AB90" s="348">
        <f t="shared" si="126"/>
        <v>2.7928679029189047</v>
      </c>
      <c r="AC90" s="348">
        <f t="shared" si="95"/>
        <v>9.3601333477855694E-2</v>
      </c>
      <c r="AD90" s="348">
        <f t="shared" si="96"/>
        <v>0.23638904860842674</v>
      </c>
      <c r="AE90" s="348">
        <f t="shared" si="97"/>
        <v>0</v>
      </c>
      <c r="AF90" s="348">
        <f t="shared" si="98"/>
        <v>8.447603161298058E-3</v>
      </c>
      <c r="AG90" s="348">
        <f t="shared" si="99"/>
        <v>0.34384495543238214</v>
      </c>
      <c r="AH90" s="348">
        <f t="shared" si="100"/>
        <v>4.9578128902405814</v>
      </c>
      <c r="AI90" s="348">
        <f t="shared" si="101"/>
        <v>0.10077762548400622</v>
      </c>
      <c r="AJ90" s="348">
        <f t="shared" si="102"/>
        <v>3.2261603161298051E-2</v>
      </c>
      <c r="AK90" s="348">
        <f t="shared" si="103"/>
        <v>0.13525835807512276</v>
      </c>
      <c r="AL90" s="348">
        <f t="shared" si="104"/>
        <v>2.3813999999999995E-2</v>
      </c>
      <c r="AM90" s="348">
        <f t="shared" si="105"/>
        <v>0.71684999999999999</v>
      </c>
      <c r="AN90" s="348">
        <f t="shared" si="106"/>
        <v>6.4760039555580615E-2</v>
      </c>
      <c r="AO90" s="348">
        <f t="shared" si="107"/>
        <v>1.1E-4</v>
      </c>
      <c r="AP90" s="348">
        <f t="shared" si="108"/>
        <v>4.9499999999999995E-2</v>
      </c>
      <c r="AQ90" s="348">
        <f t="shared" si="109"/>
        <v>0.46453846153846151</v>
      </c>
      <c r="AR90" s="348">
        <f t="shared" si="110"/>
        <v>0.44549999999999995</v>
      </c>
      <c r="AS90" s="348">
        <f t="shared" si="133"/>
        <v>4.9609999999999994E-2</v>
      </c>
      <c r="AT90" s="348">
        <f t="shared" si="111"/>
        <v>1.6722328319439443</v>
      </c>
      <c r="AU90">
        <f t="shared" si="112"/>
        <v>48.599999999999994</v>
      </c>
      <c r="AV90" s="526">
        <f t="shared" si="127"/>
        <v>0.96673645195879632</v>
      </c>
      <c r="AW90" s="534">
        <f t="shared" si="113"/>
        <v>34.312570128160047</v>
      </c>
      <c r="AX90" s="534">
        <f t="shared" si="114"/>
        <v>15.133027523657498</v>
      </c>
      <c r="AY90" s="9"/>
      <c r="AZ90" s="4">
        <f t="shared" si="128"/>
        <v>96.673645195879629</v>
      </c>
      <c r="BA90" s="348">
        <f t="shared" si="115"/>
        <v>0.31619683798520404</v>
      </c>
      <c r="BB90" s="348">
        <f t="shared" si="129"/>
        <v>1.1959533135075049</v>
      </c>
      <c r="BC90" s="348">
        <f t="shared" si="130"/>
        <v>0.81696595543238215</v>
      </c>
      <c r="BD90" s="348">
        <f t="shared" si="131"/>
        <v>0.37181885807512277</v>
      </c>
      <c r="BE90" s="348">
        <f t="shared" si="132"/>
        <v>6.4760039555580615E-2</v>
      </c>
      <c r="BK90" s="18"/>
      <c r="BL90" s="19"/>
    </row>
    <row r="91" spans="1:64" x14ac:dyDescent="0.25">
      <c r="G91">
        <v>82</v>
      </c>
      <c r="H91" s="531">
        <f t="shared" si="85"/>
        <v>50</v>
      </c>
      <c r="I91" s="4">
        <f t="shared" si="86"/>
        <v>1</v>
      </c>
      <c r="J91" s="348">
        <f t="shared" si="116"/>
        <v>4.0999999999999996</v>
      </c>
      <c r="K91" s="348">
        <f t="shared" si="87"/>
        <v>4.0999999999999996</v>
      </c>
      <c r="L91" s="4">
        <f t="shared" si="88"/>
        <v>1.0933333333333333</v>
      </c>
      <c r="M91" s="348">
        <f t="shared" si="89"/>
        <v>0.24090374923387933</v>
      </c>
      <c r="N91" s="4">
        <f t="shared" si="90"/>
        <v>13.847019753975154</v>
      </c>
      <c r="O91" s="4">
        <f t="shared" si="117"/>
        <v>11.023509876987577</v>
      </c>
      <c r="P91" s="4">
        <f t="shared" si="118"/>
        <v>-2.8235098769875773</v>
      </c>
      <c r="Q91" s="4">
        <f t="shared" si="91"/>
        <v>50</v>
      </c>
      <c r="R91" s="4">
        <f t="shared" si="119"/>
        <v>5.7261094708578684</v>
      </c>
      <c r="S91" s="348">
        <f t="shared" si="92"/>
        <v>0.11475915385286861</v>
      </c>
      <c r="T91" s="348">
        <f t="shared" si="93"/>
        <v>0.2</v>
      </c>
      <c r="U91" s="348">
        <f t="shared" si="94"/>
        <v>0.31767564894669126</v>
      </c>
      <c r="V91" s="4">
        <f t="shared" si="120"/>
        <v>3.9972902912158106</v>
      </c>
      <c r="W91" s="348">
        <f t="shared" si="121"/>
        <v>1.597832967224818E-2</v>
      </c>
      <c r="X91" s="348">
        <f t="shared" si="122"/>
        <v>1.597832967224818E-2</v>
      </c>
      <c r="Y91" s="4">
        <f t="shared" si="123"/>
        <v>2.4486676814956523</v>
      </c>
      <c r="Z91" s="348">
        <f t="shared" si="124"/>
        <v>5.9959734144012936E-3</v>
      </c>
      <c r="AA91" s="525">
        <f t="shared" si="125"/>
        <v>5.9959734144012936E-3</v>
      </c>
      <c r="AB91" s="348">
        <f t="shared" si="126"/>
        <v>2.8104859987484443</v>
      </c>
      <c r="AC91" s="348">
        <f t="shared" si="95"/>
        <v>9.4785978589932485E-2</v>
      </c>
      <c r="AD91" s="348">
        <f t="shared" si="96"/>
        <v>0.23930743192458015</v>
      </c>
      <c r="AE91" s="348">
        <f t="shared" si="97"/>
        <v>0</v>
      </c>
      <c r="AF91" s="348">
        <f t="shared" si="98"/>
        <v>8.3011190383434769E-3</v>
      </c>
      <c r="AG91" s="348">
        <f t="shared" si="99"/>
        <v>0.34793506294458409</v>
      </c>
      <c r="AH91" s="348">
        <f t="shared" si="100"/>
        <v>4.9889375745831037</v>
      </c>
      <c r="AI91" s="348">
        <f t="shared" si="101"/>
        <v>0.10204694230465726</v>
      </c>
      <c r="AJ91" s="348">
        <f t="shared" si="102"/>
        <v>3.2409119038343467E-2</v>
      </c>
      <c r="AK91" s="348">
        <f t="shared" si="103"/>
        <v>0.13672754923483565</v>
      </c>
      <c r="AL91" s="348">
        <f t="shared" si="104"/>
        <v>2.4107999999999994E-2</v>
      </c>
      <c r="AM91" s="348">
        <f t="shared" si="105"/>
        <v>0.7256999999999999</v>
      </c>
      <c r="AN91" s="348">
        <f t="shared" si="106"/>
        <v>6.5576659344496344E-2</v>
      </c>
      <c r="AO91" s="348">
        <f t="shared" si="107"/>
        <v>1.1E-4</v>
      </c>
      <c r="AP91" s="348">
        <f t="shared" si="108"/>
        <v>4.9499999999999995E-2</v>
      </c>
      <c r="AQ91" s="348">
        <f t="shared" si="109"/>
        <v>0.46453846153846151</v>
      </c>
      <c r="AR91" s="348">
        <f t="shared" si="110"/>
        <v>0.44549999999999995</v>
      </c>
      <c r="AS91" s="348">
        <f t="shared" si="133"/>
        <v>4.9609999999999994E-2</v>
      </c>
      <c r="AT91" s="348">
        <f t="shared" si="111"/>
        <v>1.6893072235572566</v>
      </c>
      <c r="AU91">
        <f t="shared" si="112"/>
        <v>49.199999999999996</v>
      </c>
      <c r="AV91" s="526">
        <f t="shared" si="127"/>
        <v>0.96680427941107328</v>
      </c>
      <c r="AW91" s="534">
        <f t="shared" si="113"/>
        <v>34.729676643672526</v>
      </c>
      <c r="AX91" s="534">
        <f t="shared" si="114"/>
        <v>15.31168795385781</v>
      </c>
      <c r="AY91" s="9"/>
      <c r="AZ91" s="4">
        <f t="shared" si="128"/>
        <v>96.680427941107325</v>
      </c>
      <c r="BA91" s="348">
        <f t="shared" si="115"/>
        <v>0.31767564894669126</v>
      </c>
      <c r="BB91" s="348">
        <f t="shared" si="129"/>
        <v>1.2103626121794195</v>
      </c>
      <c r="BC91" s="348">
        <f t="shared" si="130"/>
        <v>0.82689706294458398</v>
      </c>
      <c r="BD91" s="348">
        <f t="shared" si="131"/>
        <v>0.3762085492348356</v>
      </c>
      <c r="BE91" s="348">
        <f t="shared" si="132"/>
        <v>6.5576659344496344E-2</v>
      </c>
      <c r="BK91" s="18"/>
      <c r="BL91" s="19"/>
    </row>
    <row r="92" spans="1:64" x14ac:dyDescent="0.25">
      <c r="G92">
        <v>83</v>
      </c>
      <c r="H92" s="531">
        <f t="shared" si="85"/>
        <v>50</v>
      </c>
      <c r="I92" s="4">
        <f t="shared" si="86"/>
        <v>1</v>
      </c>
      <c r="J92" s="348">
        <f t="shared" si="116"/>
        <v>4.1500000000000004</v>
      </c>
      <c r="K92" s="348">
        <f t="shared" si="87"/>
        <v>4.1500000000000004</v>
      </c>
      <c r="L92" s="4">
        <f t="shared" si="88"/>
        <v>1.1066666666666667</v>
      </c>
      <c r="M92" s="348">
        <f t="shared" si="89"/>
        <v>0.24091477596579045</v>
      </c>
      <c r="N92" s="4">
        <f t="shared" si="90"/>
        <v>13.84737067232733</v>
      </c>
      <c r="O92" s="4">
        <f t="shared" si="117"/>
        <v>11.073685336163665</v>
      </c>
      <c r="P92" s="4">
        <f t="shared" si="118"/>
        <v>-2.7736853361636644</v>
      </c>
      <c r="Q92" s="4">
        <f t="shared" si="91"/>
        <v>50</v>
      </c>
      <c r="R92" s="4">
        <f t="shared" si="119"/>
        <v>5.7620863881701672</v>
      </c>
      <c r="S92" s="348">
        <f t="shared" si="92"/>
        <v>0.11620573840657575</v>
      </c>
      <c r="T92" s="348">
        <f t="shared" si="93"/>
        <v>0.2</v>
      </c>
      <c r="U92" s="348">
        <f t="shared" si="94"/>
        <v>0.31917291636058065</v>
      </c>
      <c r="V92" s="4">
        <f t="shared" si="120"/>
        <v>3.9973915926183565</v>
      </c>
      <c r="W92" s="348">
        <f t="shared" si="121"/>
        <v>1.5979139544735919E-2</v>
      </c>
      <c r="X92" s="348">
        <f t="shared" si="122"/>
        <v>1.5979139544735919E-2</v>
      </c>
      <c r="Y92" s="4">
        <f t="shared" si="123"/>
        <v>2.4640910578761859</v>
      </c>
      <c r="Z92" s="348">
        <f t="shared" si="124"/>
        <v>6.071744741505381E-3</v>
      </c>
      <c r="AA92" s="525">
        <f t="shared" si="125"/>
        <v>6.071744741505381E-3</v>
      </c>
      <c r="AB92" s="348">
        <f t="shared" si="126"/>
        <v>2.8282088947984345</v>
      </c>
      <c r="AC92" s="348">
        <f t="shared" si="95"/>
        <v>9.598518663140379E-2</v>
      </c>
      <c r="AD92" s="348">
        <f t="shared" si="96"/>
        <v>0.24222581524073361</v>
      </c>
      <c r="AE92" s="348">
        <f t="shared" si="97"/>
        <v>0</v>
      </c>
      <c r="AF92" s="348">
        <f t="shared" si="98"/>
        <v>8.1546348883211727E-3</v>
      </c>
      <c r="AG92" s="348">
        <f t="shared" si="99"/>
        <v>0.35204250212560229</v>
      </c>
      <c r="AH92" s="348">
        <f t="shared" si="100"/>
        <v>5.0202464075101867</v>
      </c>
      <c r="AI92" s="348">
        <f t="shared" si="101"/>
        <v>0.10333178336768761</v>
      </c>
      <c r="AJ92" s="348">
        <f t="shared" si="102"/>
        <v>3.2556634888321168E-2</v>
      </c>
      <c r="AK92" s="348">
        <f t="shared" si="103"/>
        <v>0.13821350307098185</v>
      </c>
      <c r="AL92" s="348">
        <f t="shared" si="104"/>
        <v>2.4401999999999997E-2</v>
      </c>
      <c r="AM92" s="348">
        <f t="shared" si="105"/>
        <v>0.73455000000000015</v>
      </c>
      <c r="AN92" s="348">
        <f t="shared" si="106"/>
        <v>6.6403279089471856E-2</v>
      </c>
      <c r="AO92" s="348">
        <f t="shared" si="107"/>
        <v>1.1E-4</v>
      </c>
      <c r="AP92" s="348">
        <f t="shared" si="108"/>
        <v>4.9499999999999995E-2</v>
      </c>
      <c r="AQ92" s="348">
        <f t="shared" si="109"/>
        <v>0.46453846153846151</v>
      </c>
      <c r="AR92" s="348">
        <f t="shared" si="110"/>
        <v>0.44549999999999995</v>
      </c>
      <c r="AS92" s="348">
        <f t="shared" si="133"/>
        <v>4.9609999999999994E-2</v>
      </c>
      <c r="AT92" s="348">
        <f t="shared" si="111"/>
        <v>1.7064450849328781</v>
      </c>
      <c r="AU92">
        <f t="shared" si="112"/>
        <v>49.800000000000004</v>
      </c>
      <c r="AV92" s="526">
        <f t="shared" si="127"/>
        <v>0.96686929020011003</v>
      </c>
      <c r="AW92" s="534">
        <f t="shared" si="113"/>
        <v>35.147511089275298</v>
      </c>
      <c r="AX92" s="534">
        <f t="shared" si="114"/>
        <v>15.491030624988964</v>
      </c>
      <c r="AY92" s="9"/>
      <c r="AZ92" s="4">
        <f t="shared" si="128"/>
        <v>96.686929020011007</v>
      </c>
      <c r="BA92" s="348">
        <f t="shared" si="115"/>
        <v>0.31917291636058065</v>
      </c>
      <c r="BB92" s="348">
        <f t="shared" si="129"/>
        <v>1.2248060051965843</v>
      </c>
      <c r="BC92" s="348">
        <f t="shared" si="130"/>
        <v>0.83684550212560238</v>
      </c>
      <c r="BD92" s="348">
        <f t="shared" si="131"/>
        <v>0.38061500307098189</v>
      </c>
      <c r="BE92" s="348">
        <f t="shared" si="132"/>
        <v>6.6403279089471856E-2</v>
      </c>
      <c r="BK92" s="18"/>
      <c r="BL92" s="19"/>
    </row>
    <row r="93" spans="1:64" x14ac:dyDescent="0.25">
      <c r="G93">
        <v>84</v>
      </c>
      <c r="H93" s="531">
        <f t="shared" si="85"/>
        <v>50</v>
      </c>
      <c r="I93" s="4">
        <f t="shared" si="86"/>
        <v>1</v>
      </c>
      <c r="J93" s="348">
        <f t="shared" si="116"/>
        <v>4.2</v>
      </c>
      <c r="K93" s="348">
        <f t="shared" si="87"/>
        <v>4.2</v>
      </c>
      <c r="L93" s="4">
        <f t="shared" si="88"/>
        <v>1.1200000000000001</v>
      </c>
      <c r="M93" s="348">
        <f t="shared" si="89"/>
        <v>0.24092580282788148</v>
      </c>
      <c r="N93" s="4">
        <f t="shared" si="90"/>
        <v>13.847721572265758</v>
      </c>
      <c r="O93" s="4">
        <f t="shared" si="117"/>
        <v>11.12386078613288</v>
      </c>
      <c r="P93" s="4">
        <f t="shared" si="118"/>
        <v>-2.723860786132879</v>
      </c>
      <c r="Q93" s="4">
        <f t="shared" si="91"/>
        <v>50</v>
      </c>
      <c r="R93" s="4">
        <f t="shared" si="119"/>
        <v>5.7982712419521674</v>
      </c>
      <c r="S93" s="348">
        <f t="shared" si="92"/>
        <v>0.11766982288337335</v>
      </c>
      <c r="T93" s="348">
        <f t="shared" si="93"/>
        <v>0.2</v>
      </c>
      <c r="U93" s="348">
        <f t="shared" si="94"/>
        <v>0.32068865304372235</v>
      </c>
      <c r="V93" s="4">
        <f t="shared" si="120"/>
        <v>3.9974928887053118</v>
      </c>
      <c r="W93" s="348">
        <f t="shared" si="121"/>
        <v>1.5979949395249538E-2</v>
      </c>
      <c r="X93" s="348">
        <f t="shared" si="122"/>
        <v>1.5979949395249538E-2</v>
      </c>
      <c r="Y93" s="4">
        <f t="shared" si="123"/>
        <v>2.4796038362338</v>
      </c>
      <c r="Z93" s="348">
        <f t="shared" si="124"/>
        <v>6.1484351846653774E-3</v>
      </c>
      <c r="AA93" s="525">
        <f t="shared" si="125"/>
        <v>6.1484351846653774E-3</v>
      </c>
      <c r="AB93" s="348">
        <f t="shared" si="126"/>
        <v>2.8460346623123272</v>
      </c>
      <c r="AC93" s="348">
        <f t="shared" si="95"/>
        <v>9.7198959588998907E-2</v>
      </c>
      <c r="AD93" s="348">
        <f t="shared" si="96"/>
        <v>0.24514419855688702</v>
      </c>
      <c r="AE93" s="348">
        <f t="shared" si="97"/>
        <v>0</v>
      </c>
      <c r="AF93" s="348">
        <f t="shared" si="98"/>
        <v>8.0081507112306632E-3</v>
      </c>
      <c r="AG93" s="348">
        <f t="shared" si="99"/>
        <v>0.35616731641306926</v>
      </c>
      <c r="AH93" s="348">
        <f t="shared" si="100"/>
        <v>5.0517359487770426</v>
      </c>
      <c r="AI93" s="348">
        <f t="shared" si="101"/>
        <v>0.10463214799428176</v>
      </c>
      <c r="AJ93" s="348">
        <f t="shared" si="102"/>
        <v>3.2704150711230659E-2</v>
      </c>
      <c r="AK93" s="348">
        <f t="shared" si="103"/>
        <v>0.13971624104021557</v>
      </c>
      <c r="AL93" s="348">
        <f t="shared" si="104"/>
        <v>2.4695999999999996E-2</v>
      </c>
      <c r="AM93" s="348">
        <f t="shared" si="105"/>
        <v>0.74339999999999995</v>
      </c>
      <c r="AN93" s="348">
        <f t="shared" si="106"/>
        <v>6.7239898790499061E-2</v>
      </c>
      <c r="AO93" s="348">
        <f t="shared" si="107"/>
        <v>1.1E-4</v>
      </c>
      <c r="AP93" s="348">
        <f t="shared" si="108"/>
        <v>4.9499999999999995E-2</v>
      </c>
      <c r="AQ93" s="348">
        <f t="shared" si="109"/>
        <v>0.46453846153846151</v>
      </c>
      <c r="AR93" s="348">
        <f t="shared" si="110"/>
        <v>0.44549999999999995</v>
      </c>
      <c r="AS93" s="348">
        <f t="shared" si="133"/>
        <v>4.9609999999999994E-2</v>
      </c>
      <c r="AT93" s="348">
        <f t="shared" si="111"/>
        <v>1.723646493867421</v>
      </c>
      <c r="AU93">
        <f t="shared" si="112"/>
        <v>50.400000000000006</v>
      </c>
      <c r="AV93" s="526">
        <f t="shared" si="127"/>
        <v>0.96693158269212387</v>
      </c>
      <c r="AW93" s="534">
        <f t="shared" si="113"/>
        <v>35.566075289348909</v>
      </c>
      <c r="AX93" s="534">
        <f t="shared" si="114"/>
        <v>15.671056410336774</v>
      </c>
      <c r="AY93" s="9"/>
      <c r="AZ93" s="4">
        <f t="shared" si="128"/>
        <v>96.69315826921239</v>
      </c>
      <c r="BA93" s="348">
        <f t="shared" si="115"/>
        <v>0.32068865304372235</v>
      </c>
      <c r="BB93" s="348">
        <f t="shared" si="129"/>
        <v>1.2392835574532848</v>
      </c>
      <c r="BC93" s="348">
        <f t="shared" si="130"/>
        <v>0.84681131641306928</v>
      </c>
      <c r="BD93" s="348">
        <f t="shared" si="131"/>
        <v>0.38503824104021556</v>
      </c>
      <c r="BE93" s="348">
        <f t="shared" si="132"/>
        <v>6.7239898790499061E-2</v>
      </c>
      <c r="BK93" s="18"/>
      <c r="BL93" s="19"/>
    </row>
    <row r="94" spans="1:64" x14ac:dyDescent="0.25">
      <c r="G94">
        <v>85</v>
      </c>
      <c r="H94" s="531">
        <f t="shared" si="85"/>
        <v>50</v>
      </c>
      <c r="I94" s="4">
        <f t="shared" si="86"/>
        <v>1</v>
      </c>
      <c r="J94" s="348">
        <f t="shared" si="116"/>
        <v>4.25</v>
      </c>
      <c r="K94" s="348">
        <f t="shared" si="87"/>
        <v>4.25</v>
      </c>
      <c r="L94" s="4">
        <f t="shared" si="88"/>
        <v>1.1333333333333333</v>
      </c>
      <c r="M94" s="348">
        <f t="shared" si="89"/>
        <v>0.24093682982015482</v>
      </c>
      <c r="N94" s="4">
        <f t="shared" si="90"/>
        <v>13.848072453790122</v>
      </c>
      <c r="O94" s="4">
        <f t="shared" si="117"/>
        <v>11.174036226895062</v>
      </c>
      <c r="P94" s="4">
        <f t="shared" si="118"/>
        <v>-2.674036226895061</v>
      </c>
      <c r="Q94" s="4">
        <f t="shared" si="91"/>
        <v>50</v>
      </c>
      <c r="R94" s="4">
        <f t="shared" si="119"/>
        <v>5.8346601635215283</v>
      </c>
      <c r="S94" s="348">
        <f t="shared" si="92"/>
        <v>0.11915140728324773</v>
      </c>
      <c r="T94" s="348">
        <f t="shared" si="93"/>
        <v>0.2</v>
      </c>
      <c r="U94" s="348">
        <f t="shared" si="94"/>
        <v>0.32222287197562743</v>
      </c>
      <c r="V94" s="4">
        <f t="shared" si="120"/>
        <v>3.9975941794765846</v>
      </c>
      <c r="W94" s="348">
        <f t="shared" si="121"/>
        <v>1.5980759223785067E-2</v>
      </c>
      <c r="X94" s="348">
        <f t="shared" si="122"/>
        <v>1.5980759223785067E-2</v>
      </c>
      <c r="Y94" s="4">
        <f t="shared" si="123"/>
        <v>2.4952043662522918</v>
      </c>
      <c r="Z94" s="348">
        <f t="shared" si="124"/>
        <v>6.2260448293645016E-3</v>
      </c>
      <c r="AA94" s="525">
        <f t="shared" si="125"/>
        <v>6.2260448293645016E-3</v>
      </c>
      <c r="AB94" s="348">
        <f t="shared" si="126"/>
        <v>2.8639614093287848</v>
      </c>
      <c r="AC94" s="348">
        <f t="shared" si="95"/>
        <v>9.8427299449494229E-2</v>
      </c>
      <c r="AD94" s="348">
        <f t="shared" si="96"/>
        <v>0.24806258187304042</v>
      </c>
      <c r="AE94" s="348">
        <f t="shared" si="97"/>
        <v>0</v>
      </c>
      <c r="AF94" s="348">
        <f t="shared" si="98"/>
        <v>7.8616665070714783E-3</v>
      </c>
      <c r="AG94" s="348">
        <f t="shared" si="99"/>
        <v>0.36030954954544669</v>
      </c>
      <c r="AH94" s="348">
        <f t="shared" si="100"/>
        <v>5.083402823863219</v>
      </c>
      <c r="AI94" s="348">
        <f t="shared" si="101"/>
        <v>0.10594803550560823</v>
      </c>
      <c r="AJ94" s="348">
        <f t="shared" si="102"/>
        <v>3.2851666507071477E-2</v>
      </c>
      <c r="AK94" s="348">
        <f t="shared" si="103"/>
        <v>0.14123578487585192</v>
      </c>
      <c r="AL94" s="348">
        <f t="shared" si="104"/>
        <v>2.4989999999999995E-2</v>
      </c>
      <c r="AM94" s="348">
        <f t="shared" si="105"/>
        <v>0.75224999999999997</v>
      </c>
      <c r="AN94" s="348">
        <f t="shared" si="106"/>
        <v>6.8086518447570132E-2</v>
      </c>
      <c r="AO94" s="348">
        <f t="shared" si="107"/>
        <v>1.1E-4</v>
      </c>
      <c r="AP94" s="348">
        <f t="shared" si="108"/>
        <v>4.9499999999999995E-2</v>
      </c>
      <c r="AQ94" s="348">
        <f t="shared" si="109"/>
        <v>0.46453846153846151</v>
      </c>
      <c r="AR94" s="348">
        <f t="shared" si="110"/>
        <v>0.44549999999999995</v>
      </c>
      <c r="AS94" s="348">
        <f t="shared" si="133"/>
        <v>4.9609999999999994E-2</v>
      </c>
      <c r="AT94" s="348">
        <f t="shared" si="111"/>
        <v>1.7409115288976456</v>
      </c>
      <c r="AU94">
        <f t="shared" si="112"/>
        <v>51</v>
      </c>
      <c r="AV94" s="526">
        <f t="shared" si="127"/>
        <v>0.96699125065474512</v>
      </c>
      <c r="AW94" s="534">
        <f t="shared" si="113"/>
        <v>35.985371080908763</v>
      </c>
      <c r="AX94" s="534">
        <f t="shared" si="114"/>
        <v>15.851766194447173</v>
      </c>
      <c r="AY94" s="9"/>
      <c r="AZ94" s="4">
        <f t="shared" si="128"/>
        <v>96.699125065474504</v>
      </c>
      <c r="BA94" s="348">
        <f t="shared" si="115"/>
        <v>0.32222287197562743</v>
      </c>
      <c r="BB94" s="348">
        <f t="shared" si="129"/>
        <v>1.2537953344212984</v>
      </c>
      <c r="BC94" s="348">
        <f t="shared" si="130"/>
        <v>0.85679454954544676</v>
      </c>
      <c r="BD94" s="348">
        <f t="shared" si="131"/>
        <v>0.3894782848758519</v>
      </c>
      <c r="BE94" s="348">
        <f t="shared" si="132"/>
        <v>6.8086518447570132E-2</v>
      </c>
      <c r="BK94" s="18"/>
      <c r="BL94" s="19"/>
    </row>
    <row r="95" spans="1:64" x14ac:dyDescent="0.25">
      <c r="G95">
        <v>86</v>
      </c>
      <c r="H95" s="531">
        <f t="shared" si="85"/>
        <v>50</v>
      </c>
      <c r="I95" s="4">
        <f t="shared" si="86"/>
        <v>1</v>
      </c>
      <c r="J95" s="348">
        <f t="shared" si="116"/>
        <v>4.3</v>
      </c>
      <c r="K95" s="348">
        <f t="shared" si="87"/>
        <v>4.3</v>
      </c>
      <c r="L95" s="4">
        <f t="shared" si="88"/>
        <v>1.1466666666666665</v>
      </c>
      <c r="M95" s="348">
        <f t="shared" si="89"/>
        <v>0.2409478569426127</v>
      </c>
      <c r="N95" s="4">
        <f t="shared" si="90"/>
        <v>13.848423316900087</v>
      </c>
      <c r="O95" s="4">
        <f t="shared" si="117"/>
        <v>11.224211658450043</v>
      </c>
      <c r="P95" s="4">
        <f t="shared" si="118"/>
        <v>-2.6242116584500437</v>
      </c>
      <c r="Q95" s="4">
        <f t="shared" si="91"/>
        <v>50</v>
      </c>
      <c r="R95" s="4">
        <f t="shared" si="119"/>
        <v>5.8712493585555112</v>
      </c>
      <c r="S95" s="348">
        <f t="shared" si="92"/>
        <v>0.12065049160618475</v>
      </c>
      <c r="T95" s="348">
        <f t="shared" si="93"/>
        <v>0.2</v>
      </c>
      <c r="U95" s="348">
        <f t="shared" si="94"/>
        <v>0.3237755862987467</v>
      </c>
      <c r="V95" s="4">
        <f t="shared" si="120"/>
        <v>3.9976954649320779</v>
      </c>
      <c r="W95" s="348">
        <f t="shared" si="121"/>
        <v>1.5981569030338504E-2</v>
      </c>
      <c r="X95" s="348">
        <f t="shared" si="122"/>
        <v>1.5981569030338504E-2</v>
      </c>
      <c r="Y95" s="4">
        <f t="shared" si="123"/>
        <v>2.5108910293122371</v>
      </c>
      <c r="Z95" s="348">
        <f t="shared" si="124"/>
        <v>6.3045737610806655E-3</v>
      </c>
      <c r="AA95" s="525">
        <f t="shared" si="125"/>
        <v>6.3045737610806655E-3</v>
      </c>
      <c r="AB95" s="348">
        <f t="shared" si="126"/>
        <v>2.8819872802129782</v>
      </c>
      <c r="AC95" s="348">
        <f t="shared" si="95"/>
        <v>9.9670208199712798E-2</v>
      </c>
      <c r="AD95" s="348">
        <f t="shared" si="96"/>
        <v>0.25098096518919383</v>
      </c>
      <c r="AE95" s="348">
        <f t="shared" si="97"/>
        <v>0</v>
      </c>
      <c r="AF95" s="348">
        <f t="shared" si="98"/>
        <v>7.715182275843128E-3</v>
      </c>
      <c r="AG95" s="348">
        <f t="shared" si="99"/>
        <v>0.36446924556348415</v>
      </c>
      <c r="AH95" s="348">
        <f t="shared" si="100"/>
        <v>5.1152437231308054</v>
      </c>
      <c r="AI95" s="348">
        <f t="shared" si="101"/>
        <v>0.10727944522281932</v>
      </c>
      <c r="AJ95" s="348">
        <f t="shared" si="102"/>
        <v>3.2999182275843121E-2</v>
      </c>
      <c r="AK95" s="348">
        <f t="shared" si="103"/>
        <v>0.1427721565887046</v>
      </c>
      <c r="AL95" s="348">
        <f t="shared" si="104"/>
        <v>2.5283999999999994E-2</v>
      </c>
      <c r="AM95" s="348">
        <f t="shared" si="105"/>
        <v>0.76110000000000011</v>
      </c>
      <c r="AN95" s="348">
        <f t="shared" si="106"/>
        <v>6.8943138060677006E-2</v>
      </c>
      <c r="AO95" s="348">
        <f t="shared" si="107"/>
        <v>1.1E-4</v>
      </c>
      <c r="AP95" s="348">
        <f t="shared" si="108"/>
        <v>4.9499999999999995E-2</v>
      </c>
      <c r="AQ95" s="348">
        <f t="shared" si="109"/>
        <v>0.46453846153846151</v>
      </c>
      <c r="AR95" s="348">
        <f t="shared" si="110"/>
        <v>0.44549999999999995</v>
      </c>
      <c r="AS95" s="348">
        <f t="shared" si="133"/>
        <v>4.9609999999999994E-2</v>
      </c>
      <c r="AT95" s="348">
        <f t="shared" si="111"/>
        <v>1.7582402693030317</v>
      </c>
      <c r="AU95">
        <f t="shared" si="112"/>
        <v>51.599999999999994</v>
      </c>
      <c r="AV95" s="526">
        <f t="shared" si="127"/>
        <v>0.96704838352185041</v>
      </c>
      <c r="AW95" s="534">
        <f t="shared" si="113"/>
        <v>36.405400313666334</v>
      </c>
      <c r="AX95" s="534">
        <f t="shared" si="114"/>
        <v>16.033160873160277</v>
      </c>
      <c r="AY95" s="9"/>
      <c r="AZ95" s="4">
        <f t="shared" si="128"/>
        <v>96.704838352185035</v>
      </c>
      <c r="BA95" s="348">
        <f t="shared" si="115"/>
        <v>0.3237755862987467</v>
      </c>
      <c r="BB95" s="348">
        <f t="shared" si="129"/>
        <v>1.2683414021521888</v>
      </c>
      <c r="BC95" s="348">
        <f t="shared" si="130"/>
        <v>0.8667952455634842</v>
      </c>
      <c r="BD95" s="348">
        <f t="shared" si="131"/>
        <v>0.39393515658870459</v>
      </c>
      <c r="BE95" s="348">
        <f t="shared" si="132"/>
        <v>6.8943138060677006E-2</v>
      </c>
      <c r="BK95" s="18"/>
      <c r="BL95" s="19"/>
    </row>
    <row r="96" spans="1:64" x14ac:dyDescent="0.25">
      <c r="G96">
        <v>87</v>
      </c>
      <c r="H96" s="531">
        <f t="shared" si="85"/>
        <v>50</v>
      </c>
      <c r="I96" s="4">
        <f t="shared" si="86"/>
        <v>1</v>
      </c>
      <c r="J96" s="348">
        <f t="shared" si="116"/>
        <v>4.3499999999999996</v>
      </c>
      <c r="K96" s="348">
        <f t="shared" si="87"/>
        <v>4.3499999999999996</v>
      </c>
      <c r="L96" s="4">
        <f t="shared" si="88"/>
        <v>1.1599999999999999</v>
      </c>
      <c r="M96" s="348">
        <f t="shared" si="89"/>
        <v>0.24095888419525741</v>
      </c>
      <c r="N96" s="4">
        <f t="shared" si="90"/>
        <v>13.848774161595328</v>
      </c>
      <c r="O96" s="4">
        <f t="shared" si="117"/>
        <v>11.274387080797663</v>
      </c>
      <c r="P96" s="4">
        <f t="shared" si="118"/>
        <v>-2.5743870807976643</v>
      </c>
      <c r="Q96" s="4">
        <f t="shared" si="91"/>
        <v>50</v>
      </c>
      <c r="R96" s="4">
        <f t="shared" si="119"/>
        <v>5.9080351060996463</v>
      </c>
      <c r="S96" s="348">
        <f t="shared" si="92"/>
        <v>0.1221670758521705</v>
      </c>
      <c r="T96" s="348">
        <f t="shared" si="93"/>
        <v>0.2</v>
      </c>
      <c r="U96" s="348">
        <f t="shared" si="94"/>
        <v>0.32534680931875504</v>
      </c>
      <c r="V96" s="4">
        <f t="shared" si="120"/>
        <v>3.9977967450716982</v>
      </c>
      <c r="W96" s="348">
        <f t="shared" si="121"/>
        <v>1.5982378814905863E-2</v>
      </c>
      <c r="X96" s="348">
        <f t="shared" si="122"/>
        <v>1.5982378814905863E-2</v>
      </c>
      <c r="Y96" s="4">
        <f t="shared" si="123"/>
        <v>2.5266622380695258</v>
      </c>
      <c r="Z96" s="348">
        <f t="shared" si="124"/>
        <v>6.384022065286505E-3</v>
      </c>
      <c r="AA96" s="525">
        <f t="shared" si="125"/>
        <v>6.384022065286505E-3</v>
      </c>
      <c r="AB96" s="348">
        <f t="shared" si="126"/>
        <v>2.9001104551741466</v>
      </c>
      <c r="AC96" s="348">
        <f t="shared" si="95"/>
        <v>0.10092768782652474</v>
      </c>
      <c r="AD96" s="348">
        <f t="shared" si="96"/>
        <v>0.25389934850534723</v>
      </c>
      <c r="AE96" s="348">
        <f t="shared" si="97"/>
        <v>0</v>
      </c>
      <c r="AF96" s="348">
        <f t="shared" si="98"/>
        <v>7.5686980175451325E-3</v>
      </c>
      <c r="AG96" s="348">
        <f t="shared" si="99"/>
        <v>0.36864644881169301</v>
      </c>
      <c r="AH96" s="348">
        <f t="shared" si="100"/>
        <v>5.1472554009584037</v>
      </c>
      <c r="AI96" s="348">
        <f t="shared" si="101"/>
        <v>0.10862637646705135</v>
      </c>
      <c r="AJ96" s="348">
        <f t="shared" si="102"/>
        <v>3.314669801754512E-2</v>
      </c>
      <c r="AK96" s="348">
        <f t="shared" si="103"/>
        <v>0.14432537846793628</v>
      </c>
      <c r="AL96" s="348">
        <f t="shared" si="104"/>
        <v>2.5577999999999993E-2</v>
      </c>
      <c r="AM96" s="348">
        <f t="shared" si="105"/>
        <v>0.76994999999999991</v>
      </c>
      <c r="AN96" s="348">
        <f t="shared" si="106"/>
        <v>6.9809757629811717E-2</v>
      </c>
      <c r="AO96" s="348">
        <f t="shared" si="107"/>
        <v>1.1E-4</v>
      </c>
      <c r="AP96" s="348">
        <f t="shared" si="108"/>
        <v>4.9499999999999995E-2</v>
      </c>
      <c r="AQ96" s="348">
        <f t="shared" si="109"/>
        <v>0.46453846153846151</v>
      </c>
      <c r="AR96" s="348">
        <f t="shared" si="110"/>
        <v>0.44549999999999995</v>
      </c>
      <c r="AS96" s="348">
        <f t="shared" si="133"/>
        <v>4.9609999999999994E-2</v>
      </c>
      <c r="AT96" s="348">
        <f t="shared" si="111"/>
        <v>1.7756327951083883</v>
      </c>
      <c r="AU96">
        <f t="shared" si="112"/>
        <v>52.199999999999996</v>
      </c>
      <c r="AV96" s="526">
        <f t="shared" si="127"/>
        <v>0.96710306664029877</v>
      </c>
      <c r="AW96" s="534">
        <f t="shared" si="113"/>
        <v>36.826164850091104</v>
      </c>
      <c r="AX96" s="534">
        <f t="shared" si="114"/>
        <v>16.215241353645006</v>
      </c>
      <c r="AY96" s="9"/>
      <c r="AZ96" s="4">
        <f t="shared" si="128"/>
        <v>96.710306664029872</v>
      </c>
      <c r="BA96" s="348">
        <f t="shared" si="115"/>
        <v>0.32534680931875504</v>
      </c>
      <c r="BB96" s="348">
        <f t="shared" si="129"/>
        <v>1.2829218272796292</v>
      </c>
      <c r="BC96" s="348">
        <f t="shared" si="130"/>
        <v>0.87681344881169299</v>
      </c>
      <c r="BD96" s="348">
        <f t="shared" si="131"/>
        <v>0.39840887846793627</v>
      </c>
      <c r="BE96" s="348">
        <f t="shared" si="132"/>
        <v>6.9809757629811717E-2</v>
      </c>
      <c r="BK96" s="18"/>
      <c r="BL96" s="19"/>
    </row>
    <row r="97" spans="7:64" x14ac:dyDescent="0.25">
      <c r="G97">
        <v>88</v>
      </c>
      <c r="H97" s="531">
        <f t="shared" si="85"/>
        <v>50</v>
      </c>
      <c r="I97" s="4">
        <f t="shared" si="86"/>
        <v>1</v>
      </c>
      <c r="J97" s="348">
        <f t="shared" si="116"/>
        <v>4.4000000000000004</v>
      </c>
      <c r="K97" s="348">
        <f t="shared" si="87"/>
        <v>4.4000000000000004</v>
      </c>
      <c r="L97" s="4">
        <f t="shared" si="88"/>
        <v>1.1733333333333333</v>
      </c>
      <c r="M97" s="348">
        <f t="shared" si="89"/>
        <v>0.24096991157809133</v>
      </c>
      <c r="N97" s="4">
        <f t="shared" si="90"/>
        <v>13.849124987875523</v>
      </c>
      <c r="O97" s="4">
        <f t="shared" si="117"/>
        <v>11.324562493937762</v>
      </c>
      <c r="P97" s="4">
        <f t="shared" si="118"/>
        <v>-2.5245624939377613</v>
      </c>
      <c r="Q97" s="4">
        <f t="shared" si="91"/>
        <v>50</v>
      </c>
      <c r="R97" s="4">
        <f t="shared" si="119"/>
        <v>5.9450137575520534</v>
      </c>
      <c r="S97" s="348">
        <f t="shared" si="92"/>
        <v>0.12370116002119114</v>
      </c>
      <c r="T97" s="348">
        <f t="shared" si="93"/>
        <v>0.2</v>
      </c>
      <c r="U97" s="348">
        <f t="shared" si="94"/>
        <v>0.32693655450483755</v>
      </c>
      <c r="V97" s="4">
        <f t="shared" si="120"/>
        <v>3.9978980198953531</v>
      </c>
      <c r="W97" s="348">
        <f t="shared" si="121"/>
        <v>1.5983188577483185E-2</v>
      </c>
      <c r="X97" s="348">
        <f t="shared" si="122"/>
        <v>1.5983188577483185E-2</v>
      </c>
      <c r="Y97" s="4">
        <f t="shared" si="123"/>
        <v>2.5425164360234498</v>
      </c>
      <c r="Z97" s="348">
        <f t="shared" si="124"/>
        <v>6.4643898274493851E-3</v>
      </c>
      <c r="AA97" s="525">
        <f t="shared" si="125"/>
        <v>6.4643898274493851E-3</v>
      </c>
      <c r="AB97" s="348">
        <f t="shared" si="126"/>
        <v>2.9183291497711377</v>
      </c>
      <c r="AC97" s="348">
        <f t="shared" si="95"/>
        <v>0.10219974031684718</v>
      </c>
      <c r="AD97" s="348">
        <f t="shared" si="96"/>
        <v>0.25681773182150069</v>
      </c>
      <c r="AE97" s="348">
        <f t="shared" si="97"/>
        <v>0</v>
      </c>
      <c r="AF97" s="348">
        <f t="shared" si="98"/>
        <v>7.4222137321770174E-3</v>
      </c>
      <c r="AG97" s="348">
        <f t="shared" si="99"/>
        <v>0.37284120393983294</v>
      </c>
      <c r="AH97" s="348">
        <f t="shared" si="100"/>
        <v>5.1794346748539324</v>
      </c>
      <c r="AI97" s="348">
        <f t="shared" si="101"/>
        <v>0.10998882855942496</v>
      </c>
      <c r="AJ97" s="348">
        <f t="shared" si="102"/>
        <v>3.3294213732177017E-2</v>
      </c>
      <c r="AK97" s="348">
        <f t="shared" si="103"/>
        <v>0.1458954730819205</v>
      </c>
      <c r="AL97" s="348">
        <f t="shared" si="104"/>
        <v>2.5871999999999999E-2</v>
      </c>
      <c r="AM97" s="348">
        <f t="shared" si="105"/>
        <v>0.77880000000000005</v>
      </c>
      <c r="AN97" s="348">
        <f t="shared" si="106"/>
        <v>7.0686377154966368E-2</v>
      </c>
      <c r="AO97" s="348">
        <f t="shared" si="107"/>
        <v>1.1E-4</v>
      </c>
      <c r="AP97" s="348">
        <f t="shared" si="108"/>
        <v>4.9499999999999995E-2</v>
      </c>
      <c r="AQ97" s="348">
        <f t="shared" si="109"/>
        <v>0.46453846153846151</v>
      </c>
      <c r="AR97" s="348">
        <f t="shared" si="110"/>
        <v>0.44549999999999995</v>
      </c>
      <c r="AS97" s="348">
        <f t="shared" si="133"/>
        <v>4.9609999999999994E-2</v>
      </c>
      <c r="AT97" s="348">
        <f t="shared" si="111"/>
        <v>1.79308918708649</v>
      </c>
      <c r="AU97">
        <f t="shared" si="112"/>
        <v>52.800000000000004</v>
      </c>
      <c r="AV97" s="526">
        <f t="shared" si="127"/>
        <v>0.96715538149999714</v>
      </c>
      <c r="AW97" s="534">
        <f t="shared" si="113"/>
        <v>37.24766656547299</v>
      </c>
      <c r="AX97" s="534">
        <f t="shared" si="114"/>
        <v>16.398008554434167</v>
      </c>
      <c r="AY97" s="9"/>
      <c r="AZ97" s="4">
        <f t="shared" si="128"/>
        <v>96.715538149999716</v>
      </c>
      <c r="BA97" s="348">
        <f t="shared" si="115"/>
        <v>0.32693655450483755</v>
      </c>
      <c r="BB97" s="348">
        <f t="shared" si="129"/>
        <v>1.2975366770217533</v>
      </c>
      <c r="BC97" s="348">
        <f t="shared" si="130"/>
        <v>0.88684920393983302</v>
      </c>
      <c r="BD97" s="348">
        <f t="shared" si="131"/>
        <v>0.40289947308192053</v>
      </c>
      <c r="BE97" s="348">
        <f t="shared" si="132"/>
        <v>7.0686377154966368E-2</v>
      </c>
      <c r="BK97" s="18"/>
      <c r="BL97" s="19"/>
    </row>
    <row r="98" spans="7:64" x14ac:dyDescent="0.25">
      <c r="G98">
        <v>89</v>
      </c>
      <c r="H98" s="531">
        <f t="shared" si="85"/>
        <v>50</v>
      </c>
      <c r="I98" s="4">
        <f t="shared" si="86"/>
        <v>1</v>
      </c>
      <c r="J98" s="348">
        <f t="shared" si="116"/>
        <v>4.45</v>
      </c>
      <c r="K98" s="348">
        <f t="shared" si="87"/>
        <v>4.45</v>
      </c>
      <c r="L98" s="4">
        <f t="shared" si="88"/>
        <v>1.1866666666666668</v>
      </c>
      <c r="M98" s="348">
        <f t="shared" si="89"/>
        <v>0.24098093909111673</v>
      </c>
      <c r="N98" s="4">
        <f t="shared" si="90"/>
        <v>13.849475795740341</v>
      </c>
      <c r="O98" s="4">
        <f t="shared" si="117"/>
        <v>11.374737897870171</v>
      </c>
      <c r="P98" s="4">
        <f t="shared" si="118"/>
        <v>-2.4747378978701704</v>
      </c>
      <c r="Q98" s="4">
        <f t="shared" si="91"/>
        <v>50</v>
      </c>
      <c r="R98" s="4">
        <f t="shared" si="119"/>
        <v>5.9821817356267655</v>
      </c>
      <c r="S98" s="348">
        <f t="shared" si="92"/>
        <v>0.12525274411323259</v>
      </c>
      <c r="T98" s="348">
        <f t="shared" si="93"/>
        <v>0.2</v>
      </c>
      <c r="U98" s="348">
        <f t="shared" si="94"/>
        <v>0.32854483548998065</v>
      </c>
      <c r="V98" s="4">
        <f t="shared" si="120"/>
        <v>3.9979992894029466</v>
      </c>
      <c r="W98" s="348">
        <f t="shared" si="121"/>
        <v>1.5983998318066465E-2</v>
      </c>
      <c r="X98" s="348">
        <f t="shared" si="122"/>
        <v>1.5983998318066465E-2</v>
      </c>
      <c r="Y98" s="4">
        <f t="shared" si="123"/>
        <v>2.5584520970757612</v>
      </c>
      <c r="Z98" s="348">
        <f t="shared" si="124"/>
        <v>6.54567713303136E-3</v>
      </c>
      <c r="AA98" s="525">
        <f t="shared" si="125"/>
        <v>6.54567713303136E-3</v>
      </c>
      <c r="AB98" s="348">
        <f t="shared" si="126"/>
        <v>2.9366416144075744</v>
      </c>
      <c r="AC98" s="348">
        <f t="shared" si="95"/>
        <v>0.10348636765764389</v>
      </c>
      <c r="AD98" s="348">
        <f t="shared" si="96"/>
        <v>0.2597361151376541</v>
      </c>
      <c r="AE98" s="348">
        <f t="shared" si="97"/>
        <v>0</v>
      </c>
      <c r="AF98" s="348">
        <f t="shared" si="98"/>
        <v>7.2757294197383004E-3</v>
      </c>
      <c r="AG98" s="348">
        <f t="shared" si="99"/>
        <v>0.3770535559044112</v>
      </c>
      <c r="AH98" s="348">
        <f t="shared" si="100"/>
        <v>5.211778424549161</v>
      </c>
      <c r="AI98" s="348">
        <f t="shared" si="101"/>
        <v>0.11136680082104414</v>
      </c>
      <c r="AJ98" s="348">
        <f t="shared" si="102"/>
        <v>3.3441729419738296E-2</v>
      </c>
      <c r="AK98" s="348">
        <f t="shared" si="103"/>
        <v>0.14748246327911407</v>
      </c>
      <c r="AL98" s="348">
        <f t="shared" si="104"/>
        <v>2.6165999999999995E-2</v>
      </c>
      <c r="AM98" s="348">
        <f t="shared" si="105"/>
        <v>0.78765000000000018</v>
      </c>
      <c r="AN98" s="348">
        <f t="shared" si="106"/>
        <v>7.157299663613291E-2</v>
      </c>
      <c r="AO98" s="348">
        <f t="shared" si="107"/>
        <v>1.1E-4</v>
      </c>
      <c r="AP98" s="348">
        <f t="shared" si="108"/>
        <v>4.9499999999999995E-2</v>
      </c>
      <c r="AQ98" s="348">
        <f t="shared" si="109"/>
        <v>0.46453846153846151</v>
      </c>
      <c r="AR98" s="348">
        <f t="shared" si="110"/>
        <v>0.44549999999999995</v>
      </c>
      <c r="AS98" s="348">
        <f t="shared" si="133"/>
        <v>4.9609999999999994E-2</v>
      </c>
      <c r="AT98" s="348">
        <f t="shared" si="111"/>
        <v>1.8106095267607367</v>
      </c>
      <c r="AU98">
        <f t="shared" si="112"/>
        <v>53.400000000000006</v>
      </c>
      <c r="AV98" s="526">
        <f t="shared" si="127"/>
        <v>0.96720540594859528</v>
      </c>
      <c r="AW98" s="534">
        <f t="shared" si="113"/>
        <v>37.669907347985273</v>
      </c>
      <c r="AX98" s="534">
        <f t="shared" si="114"/>
        <v>16.581463405459946</v>
      </c>
      <c r="AY98" s="9"/>
      <c r="AZ98" s="4">
        <f t="shared" si="128"/>
        <v>96.720540594859528</v>
      </c>
      <c r="BA98" s="348">
        <f t="shared" si="115"/>
        <v>0.32854483548998065</v>
      </c>
      <c r="BB98" s="348">
        <f t="shared" si="129"/>
        <v>1.3121860191835255</v>
      </c>
      <c r="BC98" s="348">
        <f t="shared" si="130"/>
        <v>0.89690255590441126</v>
      </c>
      <c r="BD98" s="348">
        <f t="shared" si="131"/>
        <v>0.40740696327911413</v>
      </c>
      <c r="BE98" s="348">
        <f t="shared" si="132"/>
        <v>7.157299663613291E-2</v>
      </c>
      <c r="BK98" s="18"/>
      <c r="BL98" s="19"/>
    </row>
    <row r="99" spans="7:64" x14ac:dyDescent="0.25">
      <c r="G99">
        <v>90</v>
      </c>
      <c r="H99" s="531">
        <f t="shared" si="85"/>
        <v>50</v>
      </c>
      <c r="I99" s="4">
        <f t="shared" si="86"/>
        <v>1</v>
      </c>
      <c r="J99" s="348">
        <f t="shared" si="116"/>
        <v>4.5</v>
      </c>
      <c r="K99" s="348">
        <f t="shared" si="87"/>
        <v>4.5</v>
      </c>
      <c r="L99" s="4">
        <f t="shared" si="88"/>
        <v>1.2</v>
      </c>
      <c r="M99" s="348">
        <f t="shared" si="89"/>
        <v>0.24099196673433596</v>
      </c>
      <c r="N99" s="4">
        <f t="shared" si="90"/>
        <v>13.849826585189463</v>
      </c>
      <c r="O99" s="4">
        <f t="shared" si="117"/>
        <v>11.424913292594731</v>
      </c>
      <c r="P99" s="4">
        <f t="shared" si="118"/>
        <v>-2.4249132925947317</v>
      </c>
      <c r="Q99" s="4">
        <f t="shared" si="91"/>
        <v>50</v>
      </c>
      <c r="R99" s="4">
        <f t="shared" si="119"/>
        <v>6.0195355332992042</v>
      </c>
      <c r="S99" s="348">
        <f t="shared" si="92"/>
        <v>0.12682182812828108</v>
      </c>
      <c r="T99" s="348">
        <f t="shared" si="93"/>
        <v>0.2</v>
      </c>
      <c r="U99" s="348">
        <f t="shared" si="94"/>
        <v>0.33017166607126652</v>
      </c>
      <c r="V99" s="4">
        <f t="shared" si="120"/>
        <v>3.9981005535943863</v>
      </c>
      <c r="W99" s="348">
        <f t="shared" si="121"/>
        <v>1.598480803665174E-2</v>
      </c>
      <c r="X99" s="348">
        <f t="shared" si="122"/>
        <v>1.598480803665174E-2</v>
      </c>
      <c r="Y99" s="4">
        <f t="shared" si="123"/>
        <v>2.5744677250820636</v>
      </c>
      <c r="Z99" s="348">
        <f t="shared" si="124"/>
        <v>6.6278840674892162E-3</v>
      </c>
      <c r="AA99" s="525">
        <f t="shared" si="125"/>
        <v>6.6278840674892162E-3</v>
      </c>
      <c r="AB99" s="348">
        <f t="shared" si="126"/>
        <v>2.9550461338181884</v>
      </c>
      <c r="AC99" s="348">
        <f t="shared" si="95"/>
        <v>0.10478757183592587</v>
      </c>
      <c r="AD99" s="348">
        <f t="shared" si="96"/>
        <v>0.26265449845380751</v>
      </c>
      <c r="AE99" s="348">
        <f t="shared" si="97"/>
        <v>0</v>
      </c>
      <c r="AF99" s="348">
        <f t="shared" si="98"/>
        <v>7.1292450802285098E-3</v>
      </c>
      <c r="AG99" s="348">
        <f t="shared" si="99"/>
        <v>0.38128354997019814</v>
      </c>
      <c r="AH99" s="348">
        <f t="shared" si="100"/>
        <v>5.2442835910787569</v>
      </c>
      <c r="AI99" s="348">
        <f t="shared" si="101"/>
        <v>0.11276029257299738</v>
      </c>
      <c r="AJ99" s="348">
        <f t="shared" si="102"/>
        <v>3.3589245080228501E-2</v>
      </c>
      <c r="AK99" s="348">
        <f t="shared" si="103"/>
        <v>0.14908637218894413</v>
      </c>
      <c r="AL99" s="348">
        <f t="shared" si="104"/>
        <v>2.6459999999999994E-2</v>
      </c>
      <c r="AM99" s="348">
        <f t="shared" si="105"/>
        <v>0.79649999999999999</v>
      </c>
      <c r="AN99" s="348">
        <f t="shared" si="106"/>
        <v>7.2469616073303475E-2</v>
      </c>
      <c r="AO99" s="348">
        <f t="shared" si="107"/>
        <v>1.1E-4</v>
      </c>
      <c r="AP99" s="348">
        <f t="shared" si="108"/>
        <v>4.9499999999999995E-2</v>
      </c>
      <c r="AQ99" s="348">
        <f t="shared" si="109"/>
        <v>0.46453846153846151</v>
      </c>
      <c r="AR99" s="348">
        <f t="shared" si="110"/>
        <v>0.44549999999999995</v>
      </c>
      <c r="AS99" s="348">
        <f t="shared" si="133"/>
        <v>4.9609999999999994E-2</v>
      </c>
      <c r="AT99" s="348">
        <f t="shared" si="111"/>
        <v>1.828193896407853</v>
      </c>
      <c r="AU99">
        <f t="shared" si="112"/>
        <v>54</v>
      </c>
      <c r="AV99" s="526">
        <f t="shared" si="127"/>
        <v>0.96725321439199408</v>
      </c>
      <c r="AW99" s="534">
        <f t="shared" si="113"/>
        <v>38.092889098748316</v>
      </c>
      <c r="AX99" s="534">
        <f t="shared" si="114"/>
        <v>16.765606848090027</v>
      </c>
      <c r="AY99" s="9"/>
      <c r="AZ99" s="4">
        <f t="shared" si="128"/>
        <v>96.725321439199405</v>
      </c>
      <c r="BA99" s="348">
        <f t="shared" si="115"/>
        <v>0.33017166607126652</v>
      </c>
      <c r="BB99" s="348">
        <f t="shared" si="129"/>
        <v>1.3268699221591422</v>
      </c>
      <c r="BC99" s="348">
        <f t="shared" si="130"/>
        <v>0.90697354997019808</v>
      </c>
      <c r="BD99" s="348">
        <f t="shared" si="131"/>
        <v>0.41193137218894416</v>
      </c>
      <c r="BE99" s="348">
        <f t="shared" si="132"/>
        <v>7.2469616073303475E-2</v>
      </c>
      <c r="BK99" s="18"/>
      <c r="BL99" s="19"/>
    </row>
    <row r="100" spans="7:64" x14ac:dyDescent="0.25">
      <c r="G100">
        <v>91</v>
      </c>
      <c r="H100" s="531">
        <f t="shared" si="85"/>
        <v>50</v>
      </c>
      <c r="I100" s="4">
        <f t="shared" si="86"/>
        <v>1</v>
      </c>
      <c r="J100" s="348">
        <f t="shared" si="116"/>
        <v>4.55</v>
      </c>
      <c r="K100" s="348">
        <f t="shared" si="87"/>
        <v>4.55</v>
      </c>
      <c r="L100" s="4">
        <f t="shared" si="88"/>
        <v>1.2133333333333332</v>
      </c>
      <c r="M100" s="348">
        <f t="shared" si="89"/>
        <v>0.24100299450775123</v>
      </c>
      <c r="N100" s="4">
        <f t="shared" si="90"/>
        <v>13.850177356222556</v>
      </c>
      <c r="O100" s="4">
        <f t="shared" si="117"/>
        <v>11.475088678111277</v>
      </c>
      <c r="P100" s="4">
        <f t="shared" si="118"/>
        <v>-2.3750886781112781</v>
      </c>
      <c r="Q100" s="4">
        <f t="shared" si="91"/>
        <v>50</v>
      </c>
      <c r="R100" s="4">
        <f t="shared" si="119"/>
        <v>6.0570717127366924</v>
      </c>
      <c r="S100" s="348">
        <f t="shared" si="92"/>
        <v>0.12840841206632253</v>
      </c>
      <c r="T100" s="348">
        <f t="shared" si="93"/>
        <v>0.2</v>
      </c>
      <c r="U100" s="348">
        <f t="shared" si="94"/>
        <v>0.33181706021017082</v>
      </c>
      <c r="V100" s="4">
        <f t="shared" si="120"/>
        <v>3.9982018124695764</v>
      </c>
      <c r="W100" s="348">
        <f t="shared" si="121"/>
        <v>1.5985617733235008E-2</v>
      </c>
      <c r="X100" s="348">
        <f t="shared" si="122"/>
        <v>1.5985617733235008E-2</v>
      </c>
      <c r="Y100" s="4">
        <f t="shared" si="123"/>
        <v>2.5905618533967583</v>
      </c>
      <c r="Z100" s="348">
        <f t="shared" si="124"/>
        <v>6.7110107162744476E-3</v>
      </c>
      <c r="AA100" s="525">
        <f t="shared" si="125"/>
        <v>6.7110107162744476E-3</v>
      </c>
      <c r="AB100" s="348">
        <f t="shared" si="126"/>
        <v>2.9735410265477364</v>
      </c>
      <c r="AC100" s="348">
        <f t="shared" si="95"/>
        <v>0.1061033548387508</v>
      </c>
      <c r="AD100" s="348">
        <f t="shared" si="96"/>
        <v>0.26557288176996091</v>
      </c>
      <c r="AE100" s="348">
        <f t="shared" si="97"/>
        <v>0</v>
      </c>
      <c r="AF100" s="348">
        <f t="shared" si="98"/>
        <v>6.9827607136471572E-3</v>
      </c>
      <c r="AG100" s="348">
        <f t="shared" si="99"/>
        <v>0.38553123171175396</v>
      </c>
      <c r="AH100" s="348">
        <f t="shared" si="100"/>
        <v>5.2769471758463187</v>
      </c>
      <c r="AI100" s="348">
        <f t="shared" si="101"/>
        <v>0.11416930313635699</v>
      </c>
      <c r="AJ100" s="348">
        <f t="shared" si="102"/>
        <v>3.3736760713647146E-2</v>
      </c>
      <c r="AK100" s="348">
        <f t="shared" si="103"/>
        <v>0.15070722322270466</v>
      </c>
      <c r="AL100" s="348">
        <f t="shared" si="104"/>
        <v>2.6753999999999993E-2</v>
      </c>
      <c r="AM100" s="348">
        <f t="shared" si="105"/>
        <v>0.80535000000000001</v>
      </c>
      <c r="AN100" s="348">
        <f t="shared" si="106"/>
        <v>7.3376235466470027E-2</v>
      </c>
      <c r="AO100" s="348">
        <f t="shared" si="107"/>
        <v>1.1E-4</v>
      </c>
      <c r="AP100" s="348">
        <f t="shared" si="108"/>
        <v>4.9499999999999995E-2</v>
      </c>
      <c r="AQ100" s="348">
        <f t="shared" si="109"/>
        <v>0.46453846153846151</v>
      </c>
      <c r="AR100" s="348">
        <f t="shared" si="110"/>
        <v>0.44549999999999995</v>
      </c>
      <c r="AS100" s="348">
        <f t="shared" si="133"/>
        <v>4.9609999999999994E-2</v>
      </c>
      <c r="AT100" s="348">
        <f t="shared" si="111"/>
        <v>1.8458423790606089</v>
      </c>
      <c r="AU100">
        <f t="shared" si="112"/>
        <v>54.599999999999994</v>
      </c>
      <c r="AV100" s="526">
        <f t="shared" si="127"/>
        <v>0.96729887798174929</v>
      </c>
      <c r="AW100" s="534">
        <f t="shared" si="113"/>
        <v>38.516613731893671</v>
      </c>
      <c r="AX100" s="534">
        <f t="shared" si="114"/>
        <v>16.950439835164083</v>
      </c>
      <c r="AY100" s="9"/>
      <c r="AZ100" s="4">
        <f t="shared" si="128"/>
        <v>96.729887798174929</v>
      </c>
      <c r="BA100" s="348">
        <f t="shared" si="115"/>
        <v>0.33181706021017082</v>
      </c>
      <c r="BB100" s="348">
        <f t="shared" si="129"/>
        <v>1.3415884549344588</v>
      </c>
      <c r="BC100" s="348">
        <f t="shared" si="130"/>
        <v>0.91706223171175405</v>
      </c>
      <c r="BD100" s="348">
        <f t="shared" si="131"/>
        <v>0.41647272322270468</v>
      </c>
      <c r="BE100" s="348">
        <f t="shared" si="132"/>
        <v>7.3376235466470027E-2</v>
      </c>
      <c r="BK100" s="18"/>
      <c r="BL100" s="19"/>
    </row>
    <row r="101" spans="7:64" x14ac:dyDescent="0.25">
      <c r="G101">
        <v>92</v>
      </c>
      <c r="H101" s="531">
        <f t="shared" si="85"/>
        <v>50</v>
      </c>
      <c r="I101" s="4">
        <f t="shared" si="86"/>
        <v>1</v>
      </c>
      <c r="J101" s="348">
        <f t="shared" si="116"/>
        <v>4.5999999999999996</v>
      </c>
      <c r="K101" s="348">
        <f t="shared" si="87"/>
        <v>4.5999999999999996</v>
      </c>
      <c r="L101" s="4">
        <f t="shared" si="88"/>
        <v>1.2266666666666666</v>
      </c>
      <c r="M101" s="348">
        <f t="shared" si="89"/>
        <v>0.24101402241136491</v>
      </c>
      <c r="N101" s="4">
        <f t="shared" si="90"/>
        <v>13.850528108839296</v>
      </c>
      <c r="O101" s="4">
        <f t="shared" si="117"/>
        <v>11.525264054419647</v>
      </c>
      <c r="P101" s="4">
        <f t="shared" si="118"/>
        <v>-2.3252640544196481</v>
      </c>
      <c r="Q101" s="4">
        <f t="shared" si="91"/>
        <v>50</v>
      </c>
      <c r="R101" s="4">
        <f t="shared" si="119"/>
        <v>6.0947869042167735</v>
      </c>
      <c r="S101" s="348">
        <f t="shared" si="92"/>
        <v>0.13001249592734299</v>
      </c>
      <c r="T101" s="348">
        <f t="shared" si="93"/>
        <v>0.2</v>
      </c>
      <c r="U101" s="348">
        <f t="shared" si="94"/>
        <v>0.3334810320328645</v>
      </c>
      <c r="V101" s="4">
        <f t="shared" si="120"/>
        <v>3.9983030660284231</v>
      </c>
      <c r="W101" s="348">
        <f t="shared" si="121"/>
        <v>1.5986427407812288E-2</v>
      </c>
      <c r="X101" s="348">
        <f t="shared" si="122"/>
        <v>1.5986427407812288E-2</v>
      </c>
      <c r="Y101" s="4">
        <f t="shared" si="123"/>
        <v>2.6067330444127292</v>
      </c>
      <c r="Z101" s="348">
        <f t="shared" si="124"/>
        <v>6.7950571648332557E-3</v>
      </c>
      <c r="AA101" s="525">
        <f t="shared" si="125"/>
        <v>6.7950571648332557E-3</v>
      </c>
      <c r="AB101" s="348">
        <f t="shared" si="126"/>
        <v>2.9921246444238596</v>
      </c>
      <c r="AC101" s="348">
        <f t="shared" si="95"/>
        <v>0.10743371865322331</v>
      </c>
      <c r="AD101" s="348">
        <f t="shared" si="96"/>
        <v>0.26849126508611426</v>
      </c>
      <c r="AE101" s="348">
        <f t="shared" si="97"/>
        <v>0</v>
      </c>
      <c r="AF101" s="348">
        <f t="shared" si="98"/>
        <v>6.8362763199937646E-3</v>
      </c>
      <c r="AG101" s="348">
        <f t="shared" si="99"/>
        <v>0.38979664701497058</v>
      </c>
      <c r="AH101" s="348">
        <f t="shared" si="100"/>
        <v>5.3097662396798286</v>
      </c>
      <c r="AI101" s="348">
        <f t="shared" si="101"/>
        <v>0.11559383183217901</v>
      </c>
      <c r="AJ101" s="348">
        <f t="shared" si="102"/>
        <v>3.3884276319993759E-2</v>
      </c>
      <c r="AK101" s="348">
        <f t="shared" si="103"/>
        <v>0.1523450400744662</v>
      </c>
      <c r="AL101" s="348">
        <f t="shared" si="104"/>
        <v>2.7047999999999992E-2</v>
      </c>
      <c r="AM101" s="348">
        <f t="shared" si="105"/>
        <v>0.81419999999999981</v>
      </c>
      <c r="AN101" s="348">
        <f t="shared" si="106"/>
        <v>7.4292854815624573E-2</v>
      </c>
      <c r="AO101" s="348">
        <f t="shared" si="107"/>
        <v>1.1E-4</v>
      </c>
      <c r="AP101" s="348">
        <f t="shared" si="108"/>
        <v>4.9499999999999995E-2</v>
      </c>
      <c r="AQ101" s="348">
        <f t="shared" si="109"/>
        <v>0.46453846153846151</v>
      </c>
      <c r="AR101" s="348">
        <f t="shared" si="110"/>
        <v>0.44549999999999995</v>
      </c>
      <c r="AS101" s="348">
        <f t="shared" si="133"/>
        <v>4.9609999999999994E-2</v>
      </c>
      <c r="AT101" s="348">
        <f t="shared" si="111"/>
        <v>1.8635550585105711</v>
      </c>
      <c r="AU101">
        <f t="shared" si="112"/>
        <v>55.199999999999996</v>
      </c>
      <c r="AV101" s="526">
        <f t="shared" si="127"/>
        <v>0.96734246479035946</v>
      </c>
      <c r="AW101" s="534">
        <f t="shared" si="113"/>
        <v>38.941083174628758</v>
      </c>
      <c r="AX101" s="534">
        <f t="shared" si="114"/>
        <v>17.135963331030773</v>
      </c>
      <c r="AY101" s="9"/>
      <c r="AZ101" s="4">
        <f t="shared" si="128"/>
        <v>96.734246479035946</v>
      </c>
      <c r="BA101" s="348">
        <f t="shared" si="115"/>
        <v>0.3334810320328645</v>
      </c>
      <c r="BB101" s="348">
        <f t="shared" si="129"/>
        <v>1.3563416870894365</v>
      </c>
      <c r="BC101" s="348">
        <f t="shared" si="130"/>
        <v>0.92716864701497048</v>
      </c>
      <c r="BD101" s="348">
        <f t="shared" si="131"/>
        <v>0.42103104007446612</v>
      </c>
      <c r="BE101" s="348">
        <f t="shared" si="132"/>
        <v>7.4292854815624573E-2</v>
      </c>
      <c r="BK101" s="18"/>
      <c r="BL101" s="19"/>
    </row>
    <row r="102" spans="7:64" x14ac:dyDescent="0.25">
      <c r="G102">
        <v>93</v>
      </c>
      <c r="H102" s="531">
        <f t="shared" si="85"/>
        <v>50</v>
      </c>
      <c r="I102" s="4">
        <f t="shared" si="86"/>
        <v>1</v>
      </c>
      <c r="J102" s="348">
        <f t="shared" si="116"/>
        <v>4.6500000000000004</v>
      </c>
      <c r="K102" s="348">
        <f t="shared" si="87"/>
        <v>4.6500000000000004</v>
      </c>
      <c r="L102" s="4">
        <f t="shared" si="88"/>
        <v>1.24</v>
      </c>
      <c r="M102" s="348">
        <f t="shared" si="89"/>
        <v>0.24102505044517925</v>
      </c>
      <c r="N102" s="4">
        <f t="shared" si="90"/>
        <v>13.850878843039357</v>
      </c>
      <c r="O102" s="4">
        <f t="shared" si="117"/>
        <v>11.575439421519679</v>
      </c>
      <c r="P102" s="4">
        <f t="shared" si="118"/>
        <v>-2.2754394215196783</v>
      </c>
      <c r="Q102" s="4">
        <f t="shared" si="91"/>
        <v>50</v>
      </c>
      <c r="R102" s="4">
        <f t="shared" si="119"/>
        <v>6.1326778050358728</v>
      </c>
      <c r="S102" s="348">
        <f t="shared" si="92"/>
        <v>0.13163407971132862</v>
      </c>
      <c r="T102" s="348">
        <f t="shared" si="93"/>
        <v>0.2</v>
      </c>
      <c r="U102" s="348">
        <f t="shared" si="94"/>
        <v>0.33516359583051986</v>
      </c>
      <c r="V102" s="4">
        <f t="shared" si="120"/>
        <v>3.9984043142708328</v>
      </c>
      <c r="W102" s="348">
        <f t="shared" si="121"/>
        <v>1.5987237060379609E-2</v>
      </c>
      <c r="X102" s="348">
        <f t="shared" si="122"/>
        <v>1.5987237060379609E-2</v>
      </c>
      <c r="Y102" s="4">
        <f t="shared" si="123"/>
        <v>2.6229798890968588</v>
      </c>
      <c r="Z102" s="348">
        <f t="shared" si="124"/>
        <v>6.88002349860657E-3</v>
      </c>
      <c r="AA102" s="525">
        <f t="shared" si="125"/>
        <v>6.88002349860657E-3</v>
      </c>
      <c r="AB102" s="348">
        <f t="shared" si="126"/>
        <v>3.010795372025127</v>
      </c>
      <c r="AC102" s="348">
        <f t="shared" si="95"/>
        <v>0.10877866526649507</v>
      </c>
      <c r="AD102" s="348">
        <f t="shared" si="96"/>
        <v>0.27140964840226783</v>
      </c>
      <c r="AE102" s="348">
        <f t="shared" si="97"/>
        <v>0</v>
      </c>
      <c r="AF102" s="348">
        <f t="shared" si="98"/>
        <v>6.6897918992678542E-3</v>
      </c>
      <c r="AG102" s="348">
        <f t="shared" si="99"/>
        <v>0.39407984207862773</v>
      </c>
      <c r="AH102" s="348">
        <f t="shared" si="100"/>
        <v>5.3427379018787446</v>
      </c>
      <c r="AI102" s="348">
        <f t="shared" si="101"/>
        <v>0.11703387798150391</v>
      </c>
      <c r="AJ102" s="348">
        <f t="shared" si="102"/>
        <v>3.4031791899267853E-2</v>
      </c>
      <c r="AK102" s="348">
        <f t="shared" si="103"/>
        <v>0.15399984672199821</v>
      </c>
      <c r="AL102" s="348">
        <f t="shared" si="104"/>
        <v>2.7341999999999998E-2</v>
      </c>
      <c r="AM102" s="348">
        <f t="shared" si="105"/>
        <v>0.82304999999999995</v>
      </c>
      <c r="AN102" s="348">
        <f t="shared" si="106"/>
        <v>7.5219474120759217E-2</v>
      </c>
      <c r="AO102" s="348">
        <f t="shared" si="107"/>
        <v>1.1E-4</v>
      </c>
      <c r="AP102" s="348">
        <f t="shared" si="108"/>
        <v>4.9499999999999995E-2</v>
      </c>
      <c r="AQ102" s="348">
        <f t="shared" si="109"/>
        <v>0.46453846153846151</v>
      </c>
      <c r="AR102" s="348">
        <f t="shared" si="110"/>
        <v>0.44549999999999995</v>
      </c>
      <c r="AS102" s="348">
        <f t="shared" si="133"/>
        <v>4.9609999999999994E-2</v>
      </c>
      <c r="AT102" s="348">
        <f t="shared" si="111"/>
        <v>1.8813320193108911</v>
      </c>
      <c r="AU102">
        <f t="shared" si="112"/>
        <v>55.800000000000004</v>
      </c>
      <c r="AV102" s="526">
        <f t="shared" si="127"/>
        <v>0.96738403997534161</v>
      </c>
      <c r="AW102" s="534">
        <f t="shared" si="113"/>
        <v>39.366299367302368</v>
      </c>
      <c r="AX102" s="534">
        <f t="shared" si="114"/>
        <v>17.322178311585326</v>
      </c>
      <c r="AY102" s="9"/>
      <c r="AZ102" s="4">
        <f t="shared" si="128"/>
        <v>96.738403997534164</v>
      </c>
      <c r="BA102" s="348">
        <f t="shared" si="115"/>
        <v>0.33516359583051986</v>
      </c>
      <c r="BB102" s="348">
        <f t="shared" si="129"/>
        <v>1.3711296888006259</v>
      </c>
      <c r="BC102" s="348">
        <f t="shared" si="130"/>
        <v>0.93729284207862773</v>
      </c>
      <c r="BD102" s="348">
        <f t="shared" si="131"/>
        <v>0.42560634672199815</v>
      </c>
      <c r="BE102" s="348">
        <f t="shared" si="132"/>
        <v>7.5219474120759217E-2</v>
      </c>
      <c r="BK102" s="18"/>
      <c r="BL102" s="19"/>
    </row>
    <row r="103" spans="7:64" x14ac:dyDescent="0.25">
      <c r="G103">
        <v>94</v>
      </c>
      <c r="H103" s="531">
        <f t="shared" si="85"/>
        <v>50</v>
      </c>
      <c r="I103" s="4">
        <f t="shared" si="86"/>
        <v>1</v>
      </c>
      <c r="J103" s="348">
        <f t="shared" si="116"/>
        <v>4.7</v>
      </c>
      <c r="K103" s="348">
        <f t="shared" si="87"/>
        <v>4.7</v>
      </c>
      <c r="L103" s="4">
        <f t="shared" si="88"/>
        <v>1.2533333333333334</v>
      </c>
      <c r="M103" s="348">
        <f t="shared" si="89"/>
        <v>0.24103607860919668</v>
      </c>
      <c r="N103" s="4">
        <f t="shared" si="90"/>
        <v>13.851229558822412</v>
      </c>
      <c r="O103" s="4">
        <f t="shared" si="117"/>
        <v>11.625614779411206</v>
      </c>
      <c r="P103" s="4">
        <f t="shared" si="118"/>
        <v>-2.225614779411206</v>
      </c>
      <c r="Q103" s="4">
        <f t="shared" si="91"/>
        <v>50</v>
      </c>
      <c r="R103" s="4">
        <f t="shared" si="119"/>
        <v>6.1707411784106601</v>
      </c>
      <c r="S103" s="348">
        <f t="shared" si="92"/>
        <v>0.13327316341826542</v>
      </c>
      <c r="T103" s="348">
        <f t="shared" si="93"/>
        <v>0.2</v>
      </c>
      <c r="U103" s="348">
        <f t="shared" si="94"/>
        <v>0.33686476605961896</v>
      </c>
      <c r="V103" s="4">
        <f t="shared" si="120"/>
        <v>3.9985055571967107</v>
      </c>
      <c r="W103" s="348">
        <f t="shared" si="121"/>
        <v>1.598804669093298E-2</v>
      </c>
      <c r="X103" s="348">
        <f t="shared" si="122"/>
        <v>1.598804669093298E-2</v>
      </c>
      <c r="Y103" s="4">
        <f t="shared" si="123"/>
        <v>2.6393010065223739</v>
      </c>
      <c r="Z103" s="348">
        <f t="shared" si="124"/>
        <v>6.9659098030300159E-3</v>
      </c>
      <c r="AA103" s="525">
        <f t="shared" si="125"/>
        <v>6.9659098030300159E-3</v>
      </c>
      <c r="AB103" s="348">
        <f t="shared" si="126"/>
        <v>3.0295516261454241</v>
      </c>
      <c r="AC103" s="348">
        <f t="shared" si="95"/>
        <v>0.1101381966657646</v>
      </c>
      <c r="AD103" s="348">
        <f t="shared" si="96"/>
        <v>0.27432803171842118</v>
      </c>
      <c r="AE103" s="348">
        <f t="shared" si="97"/>
        <v>0</v>
      </c>
      <c r="AF103" s="348">
        <f t="shared" si="98"/>
        <v>6.5433074514689446E-3</v>
      </c>
      <c r="AG103" s="348">
        <f t="shared" si="99"/>
        <v>0.39838086341596257</v>
      </c>
      <c r="AH103" s="348">
        <f t="shared" si="100"/>
        <v>5.3758593392547569</v>
      </c>
      <c r="AI103" s="348">
        <f t="shared" si="101"/>
        <v>0.1184894409053556</v>
      </c>
      <c r="AJ103" s="348">
        <f t="shared" si="102"/>
        <v>3.4179307451468938E-2</v>
      </c>
      <c r="AK103" s="348">
        <f t="shared" si="103"/>
        <v>0.15567166742770186</v>
      </c>
      <c r="AL103" s="348">
        <f t="shared" si="104"/>
        <v>2.7635999999999997E-2</v>
      </c>
      <c r="AM103" s="348">
        <f t="shared" si="105"/>
        <v>0.83190000000000019</v>
      </c>
      <c r="AN103" s="348">
        <f t="shared" si="106"/>
        <v>7.6156093381865964E-2</v>
      </c>
      <c r="AO103" s="348">
        <f t="shared" si="107"/>
        <v>1.1E-4</v>
      </c>
      <c r="AP103" s="348">
        <f t="shared" si="108"/>
        <v>4.9499999999999995E-2</v>
      </c>
      <c r="AQ103" s="348">
        <f t="shared" si="109"/>
        <v>0.46453846153846151</v>
      </c>
      <c r="AR103" s="348">
        <f t="shared" si="110"/>
        <v>0.44549999999999995</v>
      </c>
      <c r="AS103" s="348">
        <f t="shared" si="133"/>
        <v>4.9609999999999994E-2</v>
      </c>
      <c r="AT103" s="348">
        <f t="shared" si="111"/>
        <v>1.8991733467791123</v>
      </c>
      <c r="AU103">
        <f t="shared" si="112"/>
        <v>56.400000000000006</v>
      </c>
      <c r="AV103" s="526">
        <f t="shared" si="127"/>
        <v>0.96742366593292284</v>
      </c>
      <c r="AW103" s="534">
        <f t="shared" si="113"/>
        <v>39.792264263470436</v>
      </c>
      <c r="AX103" s="534">
        <f t="shared" si="114"/>
        <v>17.509085764307471</v>
      </c>
      <c r="AY103" s="9"/>
      <c r="AZ103" s="4">
        <f t="shared" si="128"/>
        <v>96.742366593292289</v>
      </c>
      <c r="BA103" s="348">
        <f t="shared" si="115"/>
        <v>0.33686476605961896</v>
      </c>
      <c r="BB103" s="348">
        <f t="shared" si="129"/>
        <v>1.3859525308436647</v>
      </c>
      <c r="BC103" s="348">
        <f t="shared" si="130"/>
        <v>0.94743486341596272</v>
      </c>
      <c r="BD103" s="348">
        <f t="shared" si="131"/>
        <v>0.43019866742770196</v>
      </c>
      <c r="BE103" s="348">
        <f t="shared" si="132"/>
        <v>7.6156093381865964E-2</v>
      </c>
      <c r="BK103" s="18"/>
      <c r="BL103" s="19"/>
    </row>
    <row r="104" spans="7:64" x14ac:dyDescent="0.25">
      <c r="G104">
        <v>95</v>
      </c>
      <c r="H104" s="531">
        <f t="shared" si="85"/>
        <v>50</v>
      </c>
      <c r="I104" s="4">
        <f t="shared" si="86"/>
        <v>1</v>
      </c>
      <c r="J104" s="348">
        <f t="shared" si="116"/>
        <v>4.75</v>
      </c>
      <c r="K104" s="348">
        <f t="shared" si="87"/>
        <v>4.75</v>
      </c>
      <c r="L104" s="4">
        <f t="shared" si="88"/>
        <v>1.2666666666666666</v>
      </c>
      <c r="M104" s="348">
        <f t="shared" si="89"/>
        <v>0.24104710690341938</v>
      </c>
      <c r="N104" s="4">
        <f t="shared" si="90"/>
        <v>13.851580256188139</v>
      </c>
      <c r="O104" s="4">
        <f t="shared" si="117"/>
        <v>11.67579012809407</v>
      </c>
      <c r="P104" s="4">
        <f t="shared" si="118"/>
        <v>-2.1757901280940697</v>
      </c>
      <c r="Q104" s="4">
        <f t="shared" si="91"/>
        <v>50</v>
      </c>
      <c r="R104" s="4">
        <f t="shared" si="119"/>
        <v>6.2089738523743536</v>
      </c>
      <c r="S104" s="348">
        <f t="shared" si="92"/>
        <v>0.13492974704813948</v>
      </c>
      <c r="T104" s="348">
        <f t="shared" si="93"/>
        <v>0.2</v>
      </c>
      <c r="U104" s="348">
        <f t="shared" si="94"/>
        <v>0.33858455734226733</v>
      </c>
      <c r="V104" s="4">
        <f t="shared" si="120"/>
        <v>3.9986067948059643</v>
      </c>
      <c r="W104" s="348">
        <f t="shared" si="121"/>
        <v>1.5988856299468428E-2</v>
      </c>
      <c r="X104" s="348">
        <f t="shared" si="122"/>
        <v>1.5988856299468428E-2</v>
      </c>
      <c r="Y104" s="4">
        <f t="shared" si="123"/>
        <v>2.6556950433989863</v>
      </c>
      <c r="Z104" s="348">
        <f t="shared" si="124"/>
        <v>7.0527161635339439E-3</v>
      </c>
      <c r="AA104" s="525">
        <f t="shared" si="125"/>
        <v>7.0527161635339439E-3</v>
      </c>
      <c r="AB104" s="348">
        <f t="shared" si="126"/>
        <v>3.0483918552557796</v>
      </c>
      <c r="AC104" s="348">
        <f t="shared" si="95"/>
        <v>0.1115123148382773</v>
      </c>
      <c r="AD104" s="348">
        <f t="shared" si="96"/>
        <v>0.27724641503457459</v>
      </c>
      <c r="AE104" s="348">
        <f t="shared" si="97"/>
        <v>0</v>
      </c>
      <c r="AF104" s="348">
        <f t="shared" si="98"/>
        <v>6.3968229765965648E-3</v>
      </c>
      <c r="AG104" s="348">
        <f t="shared" si="99"/>
        <v>0.40269975785625367</v>
      </c>
      <c r="AH104" s="348">
        <f t="shared" si="100"/>
        <v>5.4091277851682014</v>
      </c>
      <c r="AI104" s="348">
        <f t="shared" si="101"/>
        <v>0.11996051992474246</v>
      </c>
      <c r="AJ104" s="348">
        <f t="shared" si="102"/>
        <v>3.432682297659656E-2</v>
      </c>
      <c r="AK104" s="348">
        <f t="shared" si="103"/>
        <v>0.15736052673955769</v>
      </c>
      <c r="AL104" s="348">
        <f t="shared" si="104"/>
        <v>2.7929999999999996E-2</v>
      </c>
      <c r="AM104" s="348">
        <f t="shared" si="105"/>
        <v>0.84075</v>
      </c>
      <c r="AN104" s="348">
        <f t="shared" si="106"/>
        <v>7.7102712598936848E-2</v>
      </c>
      <c r="AO104" s="348">
        <f t="shared" si="107"/>
        <v>1.1E-4</v>
      </c>
      <c r="AP104" s="348">
        <f t="shared" si="108"/>
        <v>4.9499999999999995E-2</v>
      </c>
      <c r="AQ104" s="348">
        <f t="shared" si="109"/>
        <v>0.46453846153846151</v>
      </c>
      <c r="AR104" s="348">
        <f t="shared" si="110"/>
        <v>0.44549999999999995</v>
      </c>
      <c r="AS104" s="348">
        <f t="shared" si="133"/>
        <v>4.9609999999999994E-2</v>
      </c>
      <c r="AT104" s="348">
        <f t="shared" si="111"/>
        <v>1.9170791270000178</v>
      </c>
      <c r="AU104">
        <f t="shared" si="112"/>
        <v>57</v>
      </c>
      <c r="AV104" s="526">
        <f t="shared" si="127"/>
        <v>0.96746140244210654</v>
      </c>
      <c r="AW104" s="534">
        <f t="shared" si="113"/>
        <v>40.218979829962656</v>
      </c>
      <c r="AX104" s="534">
        <f t="shared" si="114"/>
        <v>17.696686688300002</v>
      </c>
      <c r="AY104" s="9"/>
      <c r="AZ104" s="4">
        <f t="shared" si="128"/>
        <v>96.74614024421065</v>
      </c>
      <c r="BA104" s="348">
        <f t="shared" si="115"/>
        <v>0.33858455734226733</v>
      </c>
      <c r="BB104" s="348">
        <f t="shared" si="129"/>
        <v>1.4008102845958113</v>
      </c>
      <c r="BC104" s="348">
        <f t="shared" si="130"/>
        <v>0.9575947578562537</v>
      </c>
      <c r="BD104" s="348">
        <f t="shared" si="131"/>
        <v>0.43480802673955771</v>
      </c>
      <c r="BE104" s="348">
        <f t="shared" si="132"/>
        <v>7.7102712598936848E-2</v>
      </c>
      <c r="BK104" s="18"/>
      <c r="BL104" s="19"/>
    </row>
    <row r="105" spans="7:64" x14ac:dyDescent="0.25">
      <c r="G105">
        <v>96</v>
      </c>
      <c r="H105" s="531">
        <f t="shared" si="85"/>
        <v>50</v>
      </c>
      <c r="I105" s="4">
        <f t="shared" si="86"/>
        <v>1</v>
      </c>
      <c r="J105" s="348">
        <f t="shared" si="116"/>
        <v>4.8</v>
      </c>
      <c r="K105" s="348">
        <f t="shared" si="87"/>
        <v>4.8</v>
      </c>
      <c r="L105" s="4">
        <f>Vout*K105/(Vin*Efficiency)</f>
        <v>1.2799999999999998</v>
      </c>
      <c r="M105" s="348">
        <f t="shared" si="89"/>
        <v>0.2410581353278497</v>
      </c>
      <c r="N105" s="4">
        <f>(Vin-(Rdson1+Rdcr)*K105-Vout)*M105/(Fsw*Lf)</f>
        <v>13.851930935136208</v>
      </c>
      <c r="O105" s="4">
        <f t="shared" si="117"/>
        <v>11.725965467568104</v>
      </c>
      <c r="P105" s="4">
        <f t="shared" si="118"/>
        <v>-2.1259654675681041</v>
      </c>
      <c r="Q105" s="4">
        <f>IF(MIN(Vin, -P105/(Coss_Q1+Coss_Q2)*0.00000002)&lt;0, 0, MIN(Vin, -P105/(Coss_Q1+Coss_Q2)*0.00000002))</f>
        <v>50</v>
      </c>
      <c r="R105" s="4">
        <f t="shared" si="119"/>
        <v>6.2473727186699817</v>
      </c>
      <c r="S105" s="348">
        <f>R105^2*Rdcr</f>
        <v>0.13660383060093684</v>
      </c>
      <c r="T105" s="348">
        <f t="shared" si="93"/>
        <v>0.2</v>
      </c>
      <c r="U105" s="348">
        <f>(T105+S105*(1+Ltc*(Ta-25)))/(1-S105*Ltc*ThetaCa)</f>
        <v>0.34032298446651033</v>
      </c>
      <c r="V105" s="4">
        <f t="shared" si="120"/>
        <v>3.9987080270984974</v>
      </c>
      <c r="W105" s="348">
        <f t="shared" si="121"/>
        <v>1.5989665885981958E-2</v>
      </c>
      <c r="X105" s="348">
        <f t="shared" si="122"/>
        <v>1.5989665885981958E-2</v>
      </c>
      <c r="Y105" s="4">
        <f t="shared" si="123"/>
        <v>2.6721606736016841</v>
      </c>
      <c r="Z105" s="348">
        <f t="shared" si="124"/>
        <v>7.1404426655434063E-3</v>
      </c>
      <c r="AA105" s="525">
        <f t="shared" si="125"/>
        <v>7.1404426655434063E-3</v>
      </c>
      <c r="AB105" s="348">
        <f t="shared" si="126"/>
        <v>3.0673145389646295</v>
      </c>
      <c r="AC105" s="348">
        <f>Rdson1*AB105^2</f>
        <v>0.11290102177132558</v>
      </c>
      <c r="AD105" s="348">
        <f t="shared" si="96"/>
        <v>0.28016479835072799</v>
      </c>
      <c r="AE105" s="348">
        <f t="shared" si="97"/>
        <v>0</v>
      </c>
      <c r="AF105" s="348">
        <f t="shared" si="98"/>
        <v>6.2503384746502256E-3</v>
      </c>
      <c r="AG105" s="348">
        <f>(AF105+AE105+AD105+AC105*(1+RdsonTopTc*Ta-RdsonTopTc*25))/(1-AC105*RdsonTopTc*ThetaJA_Q1)</f>
        <v>0.40703657254642034</v>
      </c>
      <c r="AH105" s="348">
        <f t="shared" si="100"/>
        <v>5.4425405285618371</v>
      </c>
      <c r="AI105" s="348">
        <f>Rdson2*AH105^2</f>
        <v>0.12144711436065644</v>
      </c>
      <c r="AJ105" s="348">
        <f t="shared" si="102"/>
        <v>3.4474338474650222E-2</v>
      </c>
      <c r="AK105" s="348">
        <f>(AJ105+AI105*(1+RdsonBotTc*Ta-RdsonBotTc*25))/(1-AI105*RdsonBotTc*ThetaJA_Q2)</f>
        <v>0.15906644949208279</v>
      </c>
      <c r="AL105" s="348">
        <f t="shared" si="104"/>
        <v>2.8223999999999992E-2</v>
      </c>
      <c r="AM105" s="348">
        <f t="shared" si="105"/>
        <v>0.84960000000000002</v>
      </c>
      <c r="AN105" s="348">
        <f t="shared" si="106"/>
        <v>7.8059331771963919E-2</v>
      </c>
      <c r="AO105" s="348">
        <f t="shared" si="107"/>
        <v>1.1E-4</v>
      </c>
      <c r="AP105" s="348">
        <f t="shared" si="108"/>
        <v>4.9499999999999995E-2</v>
      </c>
      <c r="AQ105" s="348">
        <f t="shared" si="109"/>
        <v>0.46453846153846151</v>
      </c>
      <c r="AR105" s="348">
        <f t="shared" si="110"/>
        <v>0.44549999999999995</v>
      </c>
      <c r="AS105" s="348">
        <f t="shared" si="133"/>
        <v>4.9609999999999994E-2</v>
      </c>
      <c r="AT105" s="348">
        <f xml:space="preserve"> SUM(U105,X105,AA105,AG105,AK105,AL105,AM105,AS105,AN105)</f>
        <v>1.9350494468285027</v>
      </c>
      <c r="AU105">
        <f t="shared" si="112"/>
        <v>57.599999999999994</v>
      </c>
      <c r="AV105" s="526">
        <f t="shared" si="127"/>
        <v>0.96749730679980839</v>
      </c>
      <c r="AW105" s="534">
        <f t="shared" si="113"/>
        <v>40.646448046949658</v>
      </c>
      <c r="AX105" s="534">
        <f t="shared" si="114"/>
        <v>17.884982094327771</v>
      </c>
      <c r="AY105" s="9"/>
      <c r="AZ105" s="4">
        <f t="shared" si="128"/>
        <v>96.749730679980843</v>
      </c>
      <c r="BA105" s="348">
        <f t="shared" si="115"/>
        <v>0.34032298446651033</v>
      </c>
      <c r="BB105" s="348">
        <f t="shared" si="129"/>
        <v>1.4157030220385032</v>
      </c>
      <c r="BC105" s="348">
        <f t="shared" si="130"/>
        <v>0.96777257254642035</v>
      </c>
      <c r="BD105" s="348">
        <f t="shared" si="131"/>
        <v>0.43943444949208277</v>
      </c>
      <c r="BE105" s="348">
        <f t="shared" si="132"/>
        <v>7.8059331771963919E-2</v>
      </c>
      <c r="BK105" s="18"/>
      <c r="BL105" s="19"/>
    </row>
    <row r="106" spans="7:64" x14ac:dyDescent="0.25">
      <c r="G106">
        <v>97</v>
      </c>
      <c r="H106" s="531">
        <f t="shared" si="85"/>
        <v>50</v>
      </c>
      <c r="I106" s="4">
        <f t="shared" si="86"/>
        <v>1</v>
      </c>
      <c r="J106" s="348">
        <f t="shared" si="116"/>
        <v>4.8499999999999996</v>
      </c>
      <c r="K106" s="348">
        <f t="shared" si="87"/>
        <v>4.8499999999999996</v>
      </c>
      <c r="L106" s="4">
        <f>Vout*K106/(Vin*Efficiency)</f>
        <v>1.2933333333333332</v>
      </c>
      <c r="M106" s="348">
        <f t="shared" si="89"/>
        <v>0.24106916388248995</v>
      </c>
      <c r="N106" s="4">
        <f>(Vin-(Rdson1+Rdcr)*K106-Vout)*M106/(Fsw*Lf)</f>
        <v>13.852281595666287</v>
      </c>
      <c r="O106" s="4">
        <f t="shared" si="117"/>
        <v>11.776140797833143</v>
      </c>
      <c r="P106" s="4">
        <f t="shared" si="118"/>
        <v>-2.0761407978331441</v>
      </c>
      <c r="Q106" s="4">
        <f>IF(MIN(Vin, -P106/(Coss_Q1+Coss_Q2)*0.00000002)&lt;0, 0, MIN(Vin, -P106/(Coss_Q1+Coss_Q2)*0.00000002))</f>
        <v>50</v>
      </c>
      <c r="R106" s="4">
        <f t="shared" si="119"/>
        <v>6.2859347316425085</v>
      </c>
      <c r="S106" s="348">
        <f>R106^2*Rdcr</f>
        <v>0.13829541407664353</v>
      </c>
      <c r="T106" s="348">
        <f t="shared" si="93"/>
        <v>0.2</v>
      </c>
      <c r="U106" s="348">
        <f>(T106+S106*(1+Ltc*(Ta-25)))/(1-S106*Ltc*ThetaCa)</f>
        <v>0.34208006238665362</v>
      </c>
      <c r="V106" s="4">
        <f t="shared" si="120"/>
        <v>3.9988092540742151</v>
      </c>
      <c r="W106" s="348">
        <f t="shared" si="121"/>
        <v>1.5990475450469579E-2</v>
      </c>
      <c r="X106" s="348">
        <f t="shared" si="122"/>
        <v>1.5990475450469579E-2</v>
      </c>
      <c r="Y106" s="4">
        <f t="shared" si="123"/>
        <v>2.688696597698998</v>
      </c>
      <c r="Z106" s="348">
        <f t="shared" si="124"/>
        <v>7.2290893944781673E-3</v>
      </c>
      <c r="AA106" s="525">
        <f t="shared" si="125"/>
        <v>7.2290893944781673E-3</v>
      </c>
      <c r="AB106" s="348">
        <f t="shared" si="126"/>
        <v>3.0863181874774437</v>
      </c>
      <c r="AC106" s="348">
        <f>Rdson1*AB106^2</f>
        <v>0.11430431945224864</v>
      </c>
      <c r="AD106" s="348">
        <f t="shared" si="96"/>
        <v>0.28308318166688134</v>
      </c>
      <c r="AE106" s="348">
        <f t="shared" si="97"/>
        <v>0</v>
      </c>
      <c r="AF106" s="348">
        <f t="shared" si="98"/>
        <v>6.103853945629443E-3</v>
      </c>
      <c r="AG106" s="348">
        <f>(AF106+AE106+AD106+AC106*(1+RdsonTopTc*Ta-RdsonTopTc*25))/(1-AC106*RdsonTopTc*ThetaJA_Q1)</f>
        <v>0.41139135495263451</v>
      </c>
      <c r="AH106" s="348">
        <f t="shared" si="100"/>
        <v>5.4760949129937035</v>
      </c>
      <c r="AI106" s="348">
        <f>Rdson2*AH106^2</f>
        <v>0.1229492235340736</v>
      </c>
      <c r="AJ106" s="348">
        <f t="shared" si="102"/>
        <v>3.4621853945629437E-2</v>
      </c>
      <c r="AK106" s="348">
        <f>(AJ106+AI106*(1+RdsonBotTc*Ta-RdsonBotTc*25))/(1-AI106*RdsonBotTc*ThetaJA_Q2)</f>
        <v>0.16078946080730266</v>
      </c>
      <c r="AL106" s="348">
        <f t="shared" si="104"/>
        <v>2.8517999999999991E-2</v>
      </c>
      <c r="AM106" s="348">
        <f t="shared" si="105"/>
        <v>0.85844999999999982</v>
      </c>
      <c r="AN106" s="348">
        <f t="shared" si="106"/>
        <v>7.9025950900939154E-2</v>
      </c>
      <c r="AO106" s="348">
        <f t="shared" si="107"/>
        <v>1.1E-4</v>
      </c>
      <c r="AP106" s="348">
        <f t="shared" si="108"/>
        <v>4.9499999999999995E-2</v>
      </c>
      <c r="AQ106" s="348">
        <f t="shared" si="109"/>
        <v>0.46453846153846151</v>
      </c>
      <c r="AR106" s="348">
        <f t="shared" si="110"/>
        <v>0.44549999999999995</v>
      </c>
      <c r="AS106" s="348">
        <f t="shared" si="133"/>
        <v>4.9609999999999994E-2</v>
      </c>
      <c r="AT106" s="348">
        <f xml:space="preserve"> SUM(U106,X106,AA106,AG106,AK106,AL106,AM106,AS106,AN106)</f>
        <v>1.9530843938924776</v>
      </c>
      <c r="AU106">
        <f t="shared" si="112"/>
        <v>58.199999999999996</v>
      </c>
      <c r="AV106" s="526">
        <f t="shared" si="127"/>
        <v>0.96753143394770336</v>
      </c>
      <c r="AW106" s="534">
        <f t="shared" si="113"/>
        <v>41.074670908010646</v>
      </c>
      <c r="AX106" s="534">
        <f t="shared" si="114"/>
        <v>18.073973004857219</v>
      </c>
      <c r="AY106" s="9"/>
      <c r="AZ106" s="4">
        <f t="shared" si="128"/>
        <v>96.753143394770333</v>
      </c>
      <c r="BA106" s="348">
        <f t="shared" si="115"/>
        <v>0.34208006238665362</v>
      </c>
      <c r="BB106" s="348">
        <f t="shared" si="129"/>
        <v>1.430630815759937</v>
      </c>
      <c r="BC106" s="348">
        <f t="shared" si="130"/>
        <v>0.97796835495263434</v>
      </c>
      <c r="BD106" s="348">
        <f t="shared" si="131"/>
        <v>0.44407796080730261</v>
      </c>
      <c r="BE106" s="348">
        <f t="shared" si="132"/>
        <v>7.9025950900939154E-2</v>
      </c>
      <c r="BK106" s="18"/>
      <c r="BL106" s="19"/>
    </row>
    <row r="107" spans="7:64" x14ac:dyDescent="0.25">
      <c r="G107">
        <v>98</v>
      </c>
      <c r="H107" s="531">
        <f t="shared" si="85"/>
        <v>50</v>
      </c>
      <c r="I107" s="4">
        <f t="shared" si="86"/>
        <v>1</v>
      </c>
      <c r="J107" s="348">
        <f t="shared" si="116"/>
        <v>4.9000000000000004</v>
      </c>
      <c r="K107" s="348">
        <f t="shared" si="87"/>
        <v>4.9000000000000004</v>
      </c>
      <c r="L107" s="4">
        <f>Vout*K107/(Vin*Efficiency)</f>
        <v>1.3066666666666669</v>
      </c>
      <c r="M107" s="348">
        <f t="shared" si="89"/>
        <v>0.24108019256734248</v>
      </c>
      <c r="N107" s="4">
        <f>(Vin-(Rdson1+Rdcr)*K107-Vout)*M107/(Fsw*Lf)</f>
        <v>13.852632237778067</v>
      </c>
      <c r="O107" s="4">
        <f t="shared" si="117"/>
        <v>11.826316118889034</v>
      </c>
      <c r="P107" s="4">
        <f t="shared" si="118"/>
        <v>-2.0263161188890333</v>
      </c>
      <c r="Q107" s="4">
        <f>IF(MIN(Vin, -P107/(Coss_Q1+Coss_Q2)*0.00000002)&lt;0, 0, MIN(Vin, -P107/(Coss_Q1+Coss_Q2)*0.00000002))</f>
        <v>50</v>
      </c>
      <c r="R107" s="4">
        <f t="shared" si="119"/>
        <v>6.3246569071315921</v>
      </c>
      <c r="S107" s="348">
        <f>R107^2*Rdcr</f>
        <v>0.14000449747524576</v>
      </c>
      <c r="T107" s="348">
        <f t="shared" si="93"/>
        <v>0.2</v>
      </c>
      <c r="U107" s="348">
        <f>(T107+S107*(1+Ltc*(Ta-25)))/(1-S107*Ltc*ThetaCa)</f>
        <v>0.34385580622358808</v>
      </c>
      <c r="V107" s="4">
        <f t="shared" si="120"/>
        <v>3.9989104757330276</v>
      </c>
      <c r="W107" s="348">
        <f t="shared" si="121"/>
        <v>1.5991284992927349E-2</v>
      </c>
      <c r="X107" s="348">
        <f t="shared" si="122"/>
        <v>1.5991284992927349E-2</v>
      </c>
      <c r="Y107" s="4">
        <f t="shared" si="123"/>
        <v>2.705301542481489</v>
      </c>
      <c r="Z107" s="348">
        <f t="shared" si="124"/>
        <v>7.3186564357527236E-3</v>
      </c>
      <c r="AA107" s="525">
        <f t="shared" si="125"/>
        <v>7.3186564357527236E-3</v>
      </c>
      <c r="AB107" s="348">
        <f t="shared" si="126"/>
        <v>3.105401341056591</v>
      </c>
      <c r="AC107" s="348">
        <f>Rdson1*AB107^2</f>
        <v>0.1157222098684329</v>
      </c>
      <c r="AD107" s="348">
        <f t="shared" si="96"/>
        <v>0.28600156498303492</v>
      </c>
      <c r="AE107" s="348">
        <f t="shared" si="97"/>
        <v>0</v>
      </c>
      <c r="AF107" s="348">
        <f t="shared" si="98"/>
        <v>5.9573693895337574E-3</v>
      </c>
      <c r="AG107" s="348">
        <f>(AF107+AE107+AD107+AC107*(1+RdsonTopTc*Ta-RdsonTopTc*25))/(1-AC107*RdsonTopTc*ThetaJA_Q1)</f>
        <v>0.41576415286194957</v>
      </c>
      <c r="AH107" s="348">
        <f t="shared" si="100"/>
        <v>5.509788335670553</v>
      </c>
      <c r="AI107" s="348">
        <f>Rdson2*AH107^2</f>
        <v>0.12446684676595424</v>
      </c>
      <c r="AJ107" s="348">
        <f t="shared" si="102"/>
        <v>3.4769369389533754E-2</v>
      </c>
      <c r="AK107" s="348">
        <f>(AJ107+AI107*(1+RdsonBotTc*Ta-RdsonBotTc*25))/(1-AI107*RdsonBotTc*ThetaJA_Q2)</f>
        <v>0.16252958609573492</v>
      </c>
      <c r="AL107" s="348">
        <f t="shared" si="104"/>
        <v>2.8811999999999997E-2</v>
      </c>
      <c r="AM107" s="348">
        <f t="shared" si="105"/>
        <v>0.86729999999999996</v>
      </c>
      <c r="AN107" s="348">
        <f t="shared" si="106"/>
        <v>8.0002569985854727E-2</v>
      </c>
      <c r="AO107" s="348">
        <f t="shared" si="107"/>
        <v>1.1E-4</v>
      </c>
      <c r="AP107" s="348">
        <f t="shared" si="108"/>
        <v>4.9499999999999995E-2</v>
      </c>
      <c r="AQ107" s="348">
        <f t="shared" si="109"/>
        <v>0.46453846153846151</v>
      </c>
      <c r="AR107" s="348">
        <f t="shared" si="110"/>
        <v>0.44549999999999995</v>
      </c>
      <c r="AS107" s="348">
        <f t="shared" si="133"/>
        <v>4.9609999999999994E-2</v>
      </c>
      <c r="AT107" s="348">
        <f xml:space="preserve"> SUM(U107,X107,AA107,AG107,AK107,AL107,AM107,AS107,AN107)</f>
        <v>1.971184056595807</v>
      </c>
      <c r="AU107">
        <f t="shared" si="112"/>
        <v>58.800000000000004</v>
      </c>
      <c r="AV107" s="526">
        <f t="shared" si="127"/>
        <v>0.96756383659136769</v>
      </c>
      <c r="AW107" s="534">
        <f t="shared" si="113"/>
        <v>41.503650420201879</v>
      </c>
      <c r="AX107" s="534">
        <f t="shared" si="114"/>
        <v>18.263660454096414</v>
      </c>
      <c r="AY107" s="9"/>
      <c r="AZ107" s="4">
        <f t="shared" si="128"/>
        <v>96.756383659136773</v>
      </c>
      <c r="BA107" s="348">
        <f t="shared" si="115"/>
        <v>0.34385580622358808</v>
      </c>
      <c r="BB107" s="348">
        <f t="shared" si="129"/>
        <v>1.4455937389576845</v>
      </c>
      <c r="BC107" s="348">
        <f t="shared" si="130"/>
        <v>0.98818215286194955</v>
      </c>
      <c r="BD107" s="348">
        <f t="shared" si="131"/>
        <v>0.44873858609573491</v>
      </c>
      <c r="BE107" s="348">
        <f t="shared" si="132"/>
        <v>8.0002569985854727E-2</v>
      </c>
      <c r="BK107" s="18"/>
      <c r="BL107" s="19"/>
    </row>
    <row r="108" spans="7:64" x14ac:dyDescent="0.25">
      <c r="G108">
        <v>99</v>
      </c>
      <c r="H108" s="531">
        <f t="shared" si="85"/>
        <v>50</v>
      </c>
      <c r="I108" s="4">
        <f t="shared" si="86"/>
        <v>1</v>
      </c>
      <c r="J108" s="348">
        <f t="shared" si="116"/>
        <v>4.95</v>
      </c>
      <c r="K108" s="348">
        <f t="shared" si="87"/>
        <v>4.95</v>
      </c>
      <c r="L108" s="4">
        <f>Vout*K108/(Vin*Efficiency)</f>
        <v>1.32</v>
      </c>
      <c r="M108" s="348">
        <f t="shared" si="89"/>
        <v>0.24109122138240946</v>
      </c>
      <c r="N108" s="4">
        <f>(Vin-(Rdson1+Rdcr)*K108-Vout)*M108/(Fsw*Lf)</f>
        <v>13.852982861471203</v>
      </c>
      <c r="O108" s="4">
        <f t="shared" si="117"/>
        <v>11.876491430735602</v>
      </c>
      <c r="P108" s="4">
        <f t="shared" si="118"/>
        <v>-1.9764914307356012</v>
      </c>
      <c r="Q108" s="4">
        <f>IF(MIN(Vin, -P108/(Coss_Q1+Coss_Q2)*0.00000002)&lt;0, 0, MIN(Vin, -P108/(Coss_Q1+Coss_Q2)*0.00000002))</f>
        <v>50</v>
      </c>
      <c r="R108" s="4">
        <f t="shared" si="119"/>
        <v>6.3635363213665439</v>
      </c>
      <c r="S108" s="348">
        <f>R108^2*Rdcr</f>
        <v>0.14173108079672936</v>
      </c>
      <c r="T108" s="348">
        <f t="shared" si="93"/>
        <v>0.2</v>
      </c>
      <c r="U108" s="348">
        <f>(T108+S108*(1+Ltc*(Ta-25)))/(1-S108*Ltc*ThetaCa)</f>
        <v>0.34565023126511696</v>
      </c>
      <c r="V108" s="4">
        <f t="shared" si="120"/>
        <v>3.999011692074836</v>
      </c>
      <c r="W108" s="348">
        <f t="shared" si="121"/>
        <v>1.5992094513351242E-2</v>
      </c>
      <c r="X108" s="348">
        <f t="shared" si="122"/>
        <v>1.5992094513351242E-2</v>
      </c>
      <c r="Y108" s="4">
        <f t="shared" si="123"/>
        <v>2.7219742604911312</v>
      </c>
      <c r="Z108" s="348">
        <f t="shared" si="124"/>
        <v>7.409143874776241E-3</v>
      </c>
      <c r="AA108" s="525">
        <f t="shared" si="125"/>
        <v>7.409143874776241E-3</v>
      </c>
      <c r="AB108" s="348">
        <f t="shared" si="126"/>
        <v>3.1245625694822099</v>
      </c>
      <c r="AC108" s="348">
        <f>Rdson1*AB108^2</f>
        <v>0.11715469500731124</v>
      </c>
      <c r="AD108" s="348">
        <f t="shared" si="96"/>
        <v>0.28891994829918827</v>
      </c>
      <c r="AE108" s="348">
        <f t="shared" si="97"/>
        <v>0</v>
      </c>
      <c r="AF108" s="348">
        <f t="shared" si="98"/>
        <v>5.8108848063626664E-3</v>
      </c>
      <c r="AG108" s="348">
        <f>(AF108+AE108+AD108+AC108*(1+RdsonTopTc*Ta-RdsonTopTc*25))/(1-AC108*RdsonTopTc*ThetaJA_Q1)</f>
        <v>0.42015501438394059</v>
      </c>
      <c r="AH108" s="348">
        <f t="shared" si="100"/>
        <v>5.5436182464832457</v>
      </c>
      <c r="AI108" s="348">
        <f>Rdson2*AH108^2</f>
        <v>0.12599998337724208</v>
      </c>
      <c r="AJ108" s="348">
        <f t="shared" si="102"/>
        <v>3.4916884806362659E-2</v>
      </c>
      <c r="AK108" s="348">
        <f>(AJ108+AI108*(1+RdsonBotTc*Ta-RdsonBotTc*25))/(1-AI108*RdsonBotTc*ThetaJA_Q2)</f>
        <v>0.16428685105738403</v>
      </c>
      <c r="AL108" s="348">
        <f t="shared" si="104"/>
        <v>2.9105999999999996E-2</v>
      </c>
      <c r="AM108" s="348">
        <f t="shared" si="105"/>
        <v>0.87614999999999998</v>
      </c>
      <c r="AN108" s="348">
        <f t="shared" si="106"/>
        <v>8.0989189026702491E-2</v>
      </c>
      <c r="AO108" s="348">
        <f t="shared" si="107"/>
        <v>1.1E-4</v>
      </c>
      <c r="AP108" s="348">
        <f t="shared" si="108"/>
        <v>4.9499999999999995E-2</v>
      </c>
      <c r="AQ108" s="348">
        <f t="shared" si="109"/>
        <v>0.46453846153846151</v>
      </c>
      <c r="AR108" s="348">
        <f t="shared" si="110"/>
        <v>0.44549999999999995</v>
      </c>
      <c r="AS108" s="348">
        <f t="shared" si="133"/>
        <v>4.9609999999999994E-2</v>
      </c>
      <c r="AT108" s="348">
        <f xml:space="preserve"> SUM(U108,X108,AA108,AG108,AK108,AL108,AM108,AS108,AN108)</f>
        <v>1.9893485241212714</v>
      </c>
      <c r="AU108">
        <f t="shared" si="112"/>
        <v>59.400000000000006</v>
      </c>
      <c r="AV108" s="526">
        <f t="shared" si="127"/>
        <v>0.96759456531226085</v>
      </c>
      <c r="AW108" s="534">
        <f t="shared" si="113"/>
        <v>41.933388604125504</v>
      </c>
      <c r="AX108" s="534">
        <f t="shared" si="114"/>
        <v>18.454045488035529</v>
      </c>
      <c r="AY108" s="9"/>
      <c r="AZ108" s="4">
        <f t="shared" si="128"/>
        <v>96.759456531226078</v>
      </c>
      <c r="BA108" s="348">
        <f t="shared" si="115"/>
        <v>0.34565023126511696</v>
      </c>
      <c r="BB108" s="348">
        <f t="shared" si="129"/>
        <v>1.4605918654413246</v>
      </c>
      <c r="BC108" s="348">
        <f t="shared" si="130"/>
        <v>0.99841401438394062</v>
      </c>
      <c r="BD108" s="348">
        <f t="shared" si="131"/>
        <v>0.45341635105738398</v>
      </c>
      <c r="BE108" s="348">
        <f t="shared" si="132"/>
        <v>8.0989189026702491E-2</v>
      </c>
      <c r="BK108" s="18"/>
      <c r="BL108" s="19"/>
    </row>
    <row r="109" spans="7:64" x14ac:dyDescent="0.25">
      <c r="G109">
        <v>100</v>
      </c>
      <c r="H109" s="531">
        <f t="shared" si="85"/>
        <v>50</v>
      </c>
      <c r="I109" s="4">
        <f t="shared" si="86"/>
        <v>1</v>
      </c>
      <c r="J109" s="348">
        <f t="shared" si="116"/>
        <v>5</v>
      </c>
      <c r="K109" s="348">
        <f t="shared" si="87"/>
        <v>5</v>
      </c>
      <c r="L109" s="4">
        <f>Vout*K109/(Vin*Efficiency)</f>
        <v>1.3333333333333333</v>
      </c>
      <c r="M109" s="348">
        <f t="shared" si="89"/>
        <v>0.24110225032769333</v>
      </c>
      <c r="N109" s="4">
        <f>(Vin-(Rdson1+Rdcr)*K109-Vout)*M109/(Fsw*Lf)</f>
        <v>13.853333466745378</v>
      </c>
      <c r="O109" s="4">
        <f t="shared" si="117"/>
        <v>11.926666733372688</v>
      </c>
      <c r="P109" s="4">
        <f t="shared" si="118"/>
        <v>-1.9266667333726888</v>
      </c>
      <c r="Q109" s="4">
        <f>IF(MIN(Vin, -P109/(Coss_Q1+Coss_Q2)*0.00000002)&lt;0, 0, MIN(Vin, -P109/(Coss_Q1+Coss_Q2)*0.00000002))</f>
        <v>50</v>
      </c>
      <c r="R109" s="4">
        <f t="shared" si="119"/>
        <v>6.4025701098650449</v>
      </c>
      <c r="S109" s="348">
        <f>R109^2*Rdcr</f>
        <v>0.14347516404108054</v>
      </c>
      <c r="T109" s="348">
        <f t="shared" si="93"/>
        <v>0.2</v>
      </c>
      <c r="U109" s="348">
        <f>(T109+S109*(1+Ltc*(Ta-25)))/(1-S109*Ltc*ThetaCa)</f>
        <v>0.34746335296628877</v>
      </c>
      <c r="V109" s="4">
        <f t="shared" si="120"/>
        <v>3.9991129030995478</v>
      </c>
      <c r="W109" s="348">
        <f t="shared" si="121"/>
        <v>1.5992904011737294E-2</v>
      </c>
      <c r="X109" s="348">
        <f t="shared" si="122"/>
        <v>1.5992904011737294E-2</v>
      </c>
      <c r="Y109" s="4">
        <f t="shared" si="123"/>
        <v>2.7387135295522667</v>
      </c>
      <c r="Z109" s="348">
        <f t="shared" si="124"/>
        <v>7.5005517969526344E-3</v>
      </c>
      <c r="AA109" s="525">
        <f t="shared" si="125"/>
        <v>7.5005517969526344E-3</v>
      </c>
      <c r="AB109" s="348">
        <f t="shared" si="126"/>
        <v>3.1438004715148495</v>
      </c>
      <c r="AC109" s="348">
        <f>Rdson1*AB109^2</f>
        <v>0.11860177685636389</v>
      </c>
      <c r="AD109" s="348">
        <f t="shared" si="96"/>
        <v>0.29183833161534167</v>
      </c>
      <c r="AE109" s="348">
        <f t="shared" si="97"/>
        <v>0</v>
      </c>
      <c r="AF109" s="348">
        <f t="shared" si="98"/>
        <v>5.6644001961157053E-3</v>
      </c>
      <c r="AG109" s="348">
        <f>(AF109+AE109+AD109+AC109*(1+RdsonTopTc*Ta-RdsonTopTc*25))/(1-AC109*RdsonTopTc*ThetaJA_Q1)</f>
        <v>0.42456398795236405</v>
      </c>
      <c r="AH109" s="348">
        <f t="shared" si="100"/>
        <v>5.5775821470454652</v>
      </c>
      <c r="AI109" s="348">
        <f>Rdson2*AH109^2</f>
        <v>0.12754863268886521</v>
      </c>
      <c r="AJ109" s="348">
        <f t="shared" si="102"/>
        <v>3.5064400196115696E-2</v>
      </c>
      <c r="AK109" s="348">
        <f>(AJ109+AI109*(1+RdsonBotTc*Ta-RdsonBotTc*25))/(1-AI109*RdsonBotTc*ThetaJA_Q2)</f>
        <v>0.16606128168275153</v>
      </c>
      <c r="AL109" s="348">
        <f t="shared" si="104"/>
        <v>2.9399999999999996E-2</v>
      </c>
      <c r="AM109" s="348">
        <f t="shared" si="105"/>
        <v>0.88500000000000001</v>
      </c>
      <c r="AN109" s="348">
        <f t="shared" si="106"/>
        <v>8.1985808023474591E-2</v>
      </c>
      <c r="AO109" s="348">
        <f t="shared" si="107"/>
        <v>1.1E-4</v>
      </c>
      <c r="AP109" s="348">
        <f t="shared" si="108"/>
        <v>4.9499999999999995E-2</v>
      </c>
      <c r="AQ109" s="348">
        <f t="shared" si="109"/>
        <v>0.46453846153846151</v>
      </c>
      <c r="AR109" s="348">
        <f t="shared" si="110"/>
        <v>0.44549999999999995</v>
      </c>
      <c r="AS109" s="348">
        <f t="shared" si="133"/>
        <v>4.9609999999999994E-2</v>
      </c>
      <c r="AT109" s="348">
        <f xml:space="preserve"> SUM(U109,X109,AA109,AG109,AK109,AL109,AM109,AS109,AN109)</f>
        <v>2.0075778864335692</v>
      </c>
      <c r="AU109">
        <f t="shared" si="112"/>
        <v>60</v>
      </c>
      <c r="AV109" s="526">
        <f t="shared" si="127"/>
        <v>0.96762366867303817</v>
      </c>
      <c r="AW109" s="534">
        <f t="shared" si="113"/>
        <v>42.3638874939993</v>
      </c>
      <c r="AX109" s="534">
        <f t="shared" si="114"/>
        <v>18.64512916448799</v>
      </c>
      <c r="AY109" s="9"/>
      <c r="AZ109" s="4">
        <f t="shared" si="128"/>
        <v>96.762366867303811</v>
      </c>
      <c r="BA109" s="348">
        <f t="shared" si="115"/>
        <v>0.34746335296628877</v>
      </c>
      <c r="BB109" s="348">
        <f t="shared" si="129"/>
        <v>1.4756252696351155</v>
      </c>
      <c r="BC109" s="348">
        <f t="shared" si="130"/>
        <v>1.0086639879523642</v>
      </c>
      <c r="BD109" s="348">
        <f t="shared" si="131"/>
        <v>0.45811128168275156</v>
      </c>
      <c r="BE109" s="348">
        <f t="shared" si="132"/>
        <v>8.1985808023474591E-2</v>
      </c>
      <c r="BK109" s="18"/>
      <c r="BL109" s="19"/>
    </row>
    <row r="110" spans="7:64" x14ac:dyDescent="0.25">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5">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5">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5">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5">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5">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5">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5">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5">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5">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5">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5">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5">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5">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5">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5">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5">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5">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5">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5">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5">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5">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5">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5">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5">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5">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5">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5">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5">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5">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5">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5">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5">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5">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5">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5">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5">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5">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5">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5">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5">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5">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5">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5">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5">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5">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5">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5">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5">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5">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5">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5">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5">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5">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5">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5">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5">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5">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5">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5">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5">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5">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5">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5">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5">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5">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5">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5">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5">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5">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5">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5">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5">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5">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5">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5">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5">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5">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5">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5">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5">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5">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5">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5">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5">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5">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5">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5">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5">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5">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5">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5">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5">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5">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5">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5">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5">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5">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5">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5">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3.2" x14ac:dyDescent="0.25"/>
  <cols>
    <col min="1" max="1" width="10.5546875" customWidth="1"/>
    <col min="2" max="2" width="126" customWidth="1"/>
  </cols>
  <sheetData>
    <row r="2" spans="1:2" x14ac:dyDescent="0.25">
      <c r="A2" t="str">
        <f>IF(PLOT_TYPE=1, "EFF_Ch1", "EFF_Ch2")</f>
        <v>EFF_Ch1</v>
      </c>
    </row>
    <row r="5" spans="1:2" ht="409.5" customHeight="1" x14ac:dyDescent="0.25">
      <c r="B5" s="521"/>
    </row>
    <row r="7" spans="1:2" ht="409.5" customHeight="1" x14ac:dyDescent="0.25">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3.2" x14ac:dyDescent="0.25"/>
  <cols>
    <col min="1" max="1" width="16.109375" style="307" customWidth="1"/>
    <col min="2" max="2" width="15.6640625" style="307" customWidth="1"/>
    <col min="3" max="3" width="16.5546875" customWidth="1"/>
    <col min="4" max="4" width="14.33203125" style="30" customWidth="1"/>
    <col min="5" max="6" width="9.6640625" style="30" customWidth="1"/>
    <col min="7" max="7" width="18.6640625" style="30" customWidth="1"/>
    <col min="8" max="8" width="5.6640625" style="30" customWidth="1"/>
    <col min="9" max="9" width="18.6640625" style="30" bestFit="1" customWidth="1"/>
    <col min="10" max="10" width="17" customWidth="1"/>
    <col min="11" max="11" width="7.6640625" customWidth="1"/>
    <col min="12" max="12" width="12.6640625" customWidth="1"/>
    <col min="13" max="13" width="8.44140625" customWidth="1"/>
    <col min="15" max="16" width="9.5546875" style="299" customWidth="1"/>
    <col min="17" max="18" width="12.109375" style="650" customWidth="1"/>
    <col min="19" max="19" width="11.109375" style="650" customWidth="1"/>
    <col min="20" max="20" width="12.109375" style="650" customWidth="1"/>
    <col min="23" max="23" width="12.109375" bestFit="1" customWidth="1"/>
    <col min="24" max="24" width="12.6640625" bestFit="1" customWidth="1"/>
    <col min="27" max="27" width="12.44140625" bestFit="1" customWidth="1"/>
    <col min="28" max="28" width="13.109375" bestFit="1" customWidth="1"/>
    <col min="31" max="31" width="11" bestFit="1" customWidth="1"/>
    <col min="39" max="39" width="12.44140625" bestFit="1" customWidth="1"/>
    <col min="40" max="40" width="13.109375" bestFit="1" customWidth="1"/>
  </cols>
  <sheetData>
    <row r="2" spans="1:40" x14ac:dyDescent="0.25">
      <c r="A2"/>
      <c r="B2"/>
      <c r="AD2" s="113" t="s">
        <v>884</v>
      </c>
    </row>
    <row r="3" spans="1:40" x14ac:dyDescent="0.25">
      <c r="B3" s="308"/>
      <c r="D3" s="30">
        <f>L_infilter*0.000001</f>
        <v>6.8000000000000005E-7</v>
      </c>
      <c r="L3" s="358" t="s">
        <v>878</v>
      </c>
      <c r="M3" s="30">
        <f>'Input Filters'!O9*0.000001</f>
        <v>6.8000000000000005E-7</v>
      </c>
      <c r="AD3" t="s">
        <v>775</v>
      </c>
      <c r="AE3">
        <f>'Input Filters'!G9*0.000001</f>
        <v>9.9999999999999995E-7</v>
      </c>
    </row>
    <row r="4" spans="1:40" x14ac:dyDescent="0.25">
      <c r="B4" s="308"/>
      <c r="L4" s="358" t="s">
        <v>879</v>
      </c>
      <c r="M4" s="30">
        <f>'Input Filters'!O10*0.000001</f>
        <v>4.6999999999999995E-7</v>
      </c>
      <c r="AD4" t="s">
        <v>827</v>
      </c>
      <c r="AE4">
        <f>'Input Filters'!G10*0.000001</f>
        <v>9.9999999999999995E-7</v>
      </c>
    </row>
    <row r="5" spans="1:40" x14ac:dyDescent="0.25">
      <c r="B5" s="308"/>
      <c r="L5" s="113" t="s">
        <v>880</v>
      </c>
      <c r="M5">
        <f>'Input Filters'!O11*0.000001</f>
        <v>9.9999999999999995E-7</v>
      </c>
      <c r="AD5" t="s">
        <v>815</v>
      </c>
      <c r="AE5">
        <f>'Input Filters'!G11*0.000001</f>
        <v>9.9999999999999995E-7</v>
      </c>
    </row>
    <row r="6" spans="1:40" x14ac:dyDescent="0.25">
      <c r="B6" s="308"/>
      <c r="L6" s="113" t="s">
        <v>881</v>
      </c>
      <c r="M6">
        <f>'Input Filters'!O12</f>
        <v>0.35</v>
      </c>
      <c r="AD6" t="s">
        <v>816</v>
      </c>
      <c r="AE6">
        <f>'Input Filters'!G12</f>
        <v>10</v>
      </c>
    </row>
    <row r="7" spans="1:40" ht="13.8" thickBot="1" x14ac:dyDescent="0.3">
      <c r="B7" s="383"/>
    </row>
    <row r="8" spans="1:40" x14ac:dyDescent="0.25">
      <c r="B8" s="392"/>
    </row>
    <row r="9" spans="1:40" ht="13.8" thickBot="1" x14ac:dyDescent="0.3"/>
    <row r="10" spans="1:40" ht="15" x14ac:dyDescent="0.25">
      <c r="A10" s="857" t="s">
        <v>437</v>
      </c>
      <c r="B10" s="851" t="s">
        <v>817</v>
      </c>
      <c r="C10" s="663"/>
      <c r="D10" s="664"/>
      <c r="E10" s="664"/>
      <c r="F10" s="664"/>
      <c r="G10" s="664"/>
      <c r="H10" s="664"/>
      <c r="I10" s="663"/>
      <c r="J10" s="663"/>
      <c r="K10" s="663"/>
      <c r="L10" s="663"/>
      <c r="M10" s="663"/>
      <c r="N10" s="663"/>
      <c r="O10" s="665"/>
      <c r="W10" s="113" t="s">
        <v>877</v>
      </c>
      <c r="AA10" s="113" t="s">
        <v>779</v>
      </c>
      <c r="AD10" s="113" t="s">
        <v>883</v>
      </c>
    </row>
    <row r="11" spans="1:40" ht="15" x14ac:dyDescent="0.25">
      <c r="A11" s="858"/>
      <c r="B11" s="852"/>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8.600000000000001" thickBot="1" x14ac:dyDescent="0.4">
      <c r="A12" s="859"/>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5">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5">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5">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5">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5">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5">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5">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5">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5">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5">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5">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5">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5">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5">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5">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5">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5">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5">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5">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5">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5">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5">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5">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5">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5">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5">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5">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5">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5">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5">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5">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5">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5">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5">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5">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5">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5">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5">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5">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5">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5">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5">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5">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5">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5">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5">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5">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5">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5">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5">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5">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5">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5">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5">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5">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5">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5">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5">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5">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5">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5">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5">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5">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5">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5">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5">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5">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5">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5">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5">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5">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5">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5">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5">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5">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5">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5">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5">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5">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5">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5">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5">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5">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5">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5">
      <c r="A97" s="307">
        <f>Fsw</f>
        <v>300000</v>
      </c>
      <c r="B97" s="352">
        <f>A97/1000</f>
        <v>300</v>
      </c>
      <c r="C97" t="str">
        <f t="shared" si="54"/>
        <v>1884955.59i</v>
      </c>
      <c r="D97" s="30" t="str">
        <f t="shared" si="55"/>
        <v>-3553057576272.25</v>
      </c>
      <c r="E97" s="30" t="str">
        <f t="shared" si="56"/>
        <v>-6697355739986230000i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1+0.6597344565i</v>
      </c>
      <c r="R97" s="397" t="str">
        <f t="shared" si="61"/>
        <v>-0.74916621307486i</v>
      </c>
      <c r="S97" s="397" t="str">
        <f t="shared" si="62"/>
        <v>-3.55163635324174</v>
      </c>
      <c r="T97" s="397" t="str">
        <f>IMSUM(S97,R97,Q97)</f>
        <v>-2.55163635324174-0.08943175657486i</v>
      </c>
      <c r="U97" s="652">
        <v>1</v>
      </c>
      <c r="V97">
        <f t="shared" si="76"/>
        <v>1</v>
      </c>
      <c r="W97">
        <f>20*LOG10(IMABS(V97))</f>
        <v>0</v>
      </c>
      <c r="X97">
        <f t="shared" si="77"/>
        <v>0</v>
      </c>
      <c r="Z97" t="str">
        <f t="shared" si="63"/>
        <v>-0.400475408867723-0.244517302172491i</v>
      </c>
      <c r="AA97">
        <f t="shared" si="69"/>
        <v>-6.5724330903943216</v>
      </c>
      <c r="AB97">
        <f t="shared" si="64"/>
        <v>-148.59311414511541</v>
      </c>
      <c r="AD97" s="30" t="str">
        <f t="shared" si="65"/>
        <v>37.6991118i</v>
      </c>
      <c r="AE97" s="30" t="str">
        <f t="shared" si="70"/>
        <v>1+37.6991118i</v>
      </c>
      <c r="AF97" s="30" t="e">
        <f t="shared" si="66"/>
        <v>#VALUE!</v>
      </c>
      <c r="AG97" t="e">
        <f t="shared" si="67"/>
        <v>#VALUE!</v>
      </c>
      <c r="AH97" t="str">
        <f t="shared" si="71"/>
        <v>1+37.6991118i</v>
      </c>
      <c r="AI97" s="299" t="e">
        <f t="shared" si="72"/>
        <v>#VALUE!</v>
      </c>
      <c r="AK97" t="e">
        <f t="shared" si="73"/>
        <v>#VALUE!</v>
      </c>
      <c r="AM97" t="e">
        <f t="shared" si="74"/>
        <v>#VALUE!</v>
      </c>
      <c r="AN97" t="e">
        <f t="shared" si="68"/>
        <v>#VALUE!</v>
      </c>
    </row>
    <row r="98" spans="1:40" x14ac:dyDescent="0.25">
      <c r="A98" s="416"/>
      <c r="B98" s="342"/>
    </row>
    <row r="99" spans="1:40" x14ac:dyDescent="0.25">
      <c r="A99" s="416"/>
      <c r="B99" s="342"/>
    </row>
    <row r="100" spans="1:40" x14ac:dyDescent="0.25">
      <c r="A100" s="393"/>
    </row>
    <row r="101" spans="1:40" x14ac:dyDescent="0.25">
      <c r="A101" s="393"/>
    </row>
    <row r="102" spans="1:40" x14ac:dyDescent="0.25">
      <c r="A102" s="393"/>
    </row>
    <row r="112" spans="1:40" x14ac:dyDescent="0.25">
      <c r="A112" s="347"/>
    </row>
    <row r="113" spans="1:1" x14ac:dyDescent="0.25">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3.2" x14ac:dyDescent="0.25"/>
  <cols>
    <col min="1" max="1" width="17.33203125" customWidth="1"/>
    <col min="2" max="2" width="12" bestFit="1" customWidth="1"/>
    <col min="3" max="4" width="12.44140625" bestFit="1" customWidth="1"/>
    <col min="7" max="9" width="12.44140625" bestFit="1" customWidth="1"/>
    <col min="10" max="10" width="11.44140625" bestFit="1" customWidth="1"/>
    <col min="11" max="12" width="11.44140625" customWidth="1"/>
    <col min="13" max="13" width="10.44140625" customWidth="1"/>
    <col min="14" max="15" width="10" customWidth="1"/>
    <col min="17" max="17" width="12.109375" customWidth="1"/>
    <col min="18" max="18" width="12.44140625" bestFit="1" customWidth="1"/>
    <col min="19" max="19" width="15.44140625" customWidth="1"/>
  </cols>
  <sheetData>
    <row r="2" spans="1:20" x14ac:dyDescent="0.25">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x14ac:dyDescent="0.25">
      <c r="A3" t="s">
        <v>160</v>
      </c>
      <c r="B3">
        <f>Css</f>
        <v>0</v>
      </c>
      <c r="C3">
        <f>Cc1ea</f>
        <v>3.2057078337228865E-9</v>
      </c>
      <c r="D3">
        <f>Cc2ea</f>
        <v>5.3654553577859046E-11</v>
      </c>
      <c r="E3">
        <f>Cout</f>
        <v>2.0000000000000001E-4</v>
      </c>
      <c r="F3">
        <f>Cin</f>
        <v>3.0000000000000001E-5</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ht="13.8" x14ac:dyDescent="0.3">
      <c r="A4" s="7" t="s">
        <v>159</v>
      </c>
      <c r="B4" s="7">
        <f>SUM(B6:B158)/1000000000000</f>
        <v>0</v>
      </c>
      <c r="C4" s="7">
        <f>IF(C3="OPEN","OPEN",SUM(C6:C158)/1000000000000)</f>
        <v>3.3000000000000002E-9</v>
      </c>
      <c r="D4" s="7">
        <f>SUM(D6:D158)/1000000000000</f>
        <v>5.6E-11</v>
      </c>
      <c r="E4" s="7">
        <f>SUM(E6:E158)/1000000000000</f>
        <v>2.2000000000000001E-4</v>
      </c>
      <c r="F4" s="7">
        <f>SUM(F6:F158)/1000000000000</f>
        <v>3.3000000000000003E-5</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73.2</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73.2</v>
      </c>
      <c r="T4" s="45" t="s">
        <v>260</v>
      </c>
    </row>
    <row r="5" spans="1:20" ht="13.8" x14ac:dyDescent="0.3">
      <c r="A5" t="s">
        <v>158</v>
      </c>
      <c r="S5" s="2"/>
      <c r="T5" s="45"/>
    </row>
    <row r="6" spans="1:20" ht="13.8" x14ac:dyDescent="0.3">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ht="13.8" x14ac:dyDescent="0.3">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12411.84096687664</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12400</v>
      </c>
      <c r="T7" s="45" t="s">
        <v>260</v>
      </c>
    </row>
    <row r="8" spans="1:20" ht="13.8" x14ac:dyDescent="0.3">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5">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ht="13.8" x14ac:dyDescent="0.3">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ht="13.8" x14ac:dyDescent="0.3">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178571.42857142858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178000</v>
      </c>
      <c r="T11" s="45" t="s">
        <v>260</v>
      </c>
    </row>
    <row r="12" spans="1:20" ht="13.8" x14ac:dyDescent="0.3">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72996.296296296292</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73200</v>
      </c>
      <c r="T12" s="45" t="s">
        <v>260</v>
      </c>
    </row>
    <row r="13" spans="1:20" ht="13.8" x14ac:dyDescent="0.3">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ht="13.8" x14ac:dyDescent="0.3">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0.15055453054181619</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0.15</v>
      </c>
      <c r="T14" s="45" t="s">
        <v>138</v>
      </c>
    </row>
    <row r="15" spans="1:20" x14ac:dyDescent="0.25">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ht="13.8" x14ac:dyDescent="0.3">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1.8794908357553828</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1.87</v>
      </c>
      <c r="T16" s="45" t="s">
        <v>305</v>
      </c>
    </row>
    <row r="17" spans="1:20" x14ac:dyDescent="0.25">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5">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ht="13.8" x14ac:dyDescent="0.3">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ht="13.8" x14ac:dyDescent="0.3">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x14ac:dyDescent="0.25">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5">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x14ac:dyDescent="0.25">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x14ac:dyDescent="0.25">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5">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ht="13.8" x14ac:dyDescent="0.3">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ht="13.8" x14ac:dyDescent="0.3">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5">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5">
      <c r="A29">
        <v>39</v>
      </c>
      <c r="B29">
        <f t="shared" si="2"/>
        <v>0</v>
      </c>
      <c r="C29">
        <f t="shared" si="3"/>
        <v>0</v>
      </c>
      <c r="D29">
        <f t="shared" si="4"/>
        <v>0</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5">
      <c r="A30">
        <v>47</v>
      </c>
      <c r="B30">
        <f t="shared" si="2"/>
        <v>0</v>
      </c>
      <c r="C30">
        <f t="shared" si="3"/>
        <v>0</v>
      </c>
      <c r="D30">
        <f t="shared" si="4"/>
        <v>56</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5">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ht="13.8" x14ac:dyDescent="0.3">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12.4 kΩ</v>
      </c>
      <c r="S32">
        <f>S7/1000</f>
        <v>12.4</v>
      </c>
      <c r="T32" s="45" t="s">
        <v>237</v>
      </c>
    </row>
    <row r="33" spans="1:20" x14ac:dyDescent="0.25">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3.3 nF</v>
      </c>
      <c r="S33">
        <f>C4*1000000000</f>
        <v>3.3000000000000003</v>
      </c>
      <c r="T33" s="113" t="s">
        <v>141</v>
      </c>
    </row>
    <row r="34" spans="1:20" x14ac:dyDescent="0.25">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56 pF</v>
      </c>
      <c r="S34">
        <f>D4*1000000000000</f>
        <v>56</v>
      </c>
      <c r="T34" s="113" t="s">
        <v>30</v>
      </c>
    </row>
    <row r="35" spans="1:20" ht="13.8" x14ac:dyDescent="0.3">
      <c r="A35">
        <f t="shared" ref="A35:A98" si="14">A23*10</f>
        <v>120</v>
      </c>
      <c r="B35">
        <f t="shared" si="2"/>
        <v>0</v>
      </c>
      <c r="C35">
        <f t="shared" si="3"/>
        <v>0</v>
      </c>
      <c r="D35">
        <f t="shared" si="4"/>
        <v>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ht="13.8" x14ac:dyDescent="0.3">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5">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5">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5">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ht="13.8" x14ac:dyDescent="0.3">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ht="13.8" x14ac:dyDescent="0.3">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5">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5">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5">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5">
      <c r="A45">
        <f>A33*10</f>
        <v>820</v>
      </c>
      <c r="B45">
        <f t="shared" si="2"/>
        <v>0</v>
      </c>
      <c r="C45">
        <f t="shared" si="15"/>
        <v>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5">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5">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5">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5">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5">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5">
      <c r="A51">
        <f t="shared" si="14"/>
        <v>2700</v>
      </c>
      <c r="B51">
        <f t="shared" si="2"/>
        <v>0</v>
      </c>
      <c r="C51">
        <f t="shared" si="15"/>
        <v>3300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5">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5">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5">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5">
      <c r="A55">
        <f t="shared" si="14"/>
        <v>5600</v>
      </c>
      <c r="B55">
        <f t="shared" si="2"/>
        <v>0</v>
      </c>
      <c r="C55">
        <f t="shared" si="15"/>
        <v>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5">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5">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5">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5">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5">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5">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5">
      <c r="A62">
        <f t="shared" si="14"/>
        <v>22000</v>
      </c>
      <c r="B62">
        <f t="shared" si="2"/>
        <v>0</v>
      </c>
      <c r="C62">
        <f t="shared" si="15"/>
        <v>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5">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5">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5">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5">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5">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5">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5">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5">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5">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5">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5">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5">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5">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5">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5">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5">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5">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5">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5">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5">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5">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5">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5">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5">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5">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5">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5">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5">
      <c r="A90">
        <f t="shared" si="14"/>
        <v>4700000</v>
      </c>
      <c r="B90">
        <f t="shared" si="20"/>
        <v>0</v>
      </c>
      <c r="C90">
        <f t="shared" si="21"/>
        <v>0</v>
      </c>
      <c r="D90">
        <f t="shared" si="21"/>
        <v>0</v>
      </c>
      <c r="E90">
        <f t="shared" si="21"/>
        <v>0</v>
      </c>
      <c r="F90">
        <f t="shared" si="22"/>
        <v>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5">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5">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5">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5">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5">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5">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5">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5">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5">
      <c r="A99">
        <f t="shared" ref="A99:A159" si="27">A87*10</f>
        <v>27000000</v>
      </c>
      <c r="B99">
        <f t="shared" si="20"/>
        <v>0</v>
      </c>
      <c r="C99">
        <f t="shared" si="21"/>
        <v>0</v>
      </c>
      <c r="D99">
        <f t="shared" si="21"/>
        <v>0</v>
      </c>
      <c r="E99">
        <f t="shared" si="21"/>
        <v>0</v>
      </c>
      <c r="F99">
        <f t="shared" si="22"/>
        <v>33000000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5">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5">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5">
      <c r="A102">
        <f t="shared" si="27"/>
        <v>47000000</v>
      </c>
      <c r="B102">
        <f t="shared" si="20"/>
        <v>0</v>
      </c>
      <c r="C102">
        <f t="shared" si="21"/>
        <v>0</v>
      </c>
      <c r="D102">
        <f t="shared" si="21"/>
        <v>0</v>
      </c>
      <c r="E102">
        <f t="shared" si="21"/>
        <v>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5">
      <c r="A103">
        <f t="shared" si="27"/>
        <v>56000000</v>
      </c>
      <c r="B103">
        <f t="shared" si="20"/>
        <v>0</v>
      </c>
      <c r="C103">
        <f t="shared" si="21"/>
        <v>0</v>
      </c>
      <c r="D103">
        <f t="shared" si="21"/>
        <v>0</v>
      </c>
      <c r="E103">
        <f t="shared" si="21"/>
        <v>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5">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5">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5">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5">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5">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5">
      <c r="A109">
        <f t="shared" si="27"/>
        <v>180000000</v>
      </c>
      <c r="B109">
        <f t="shared" si="20"/>
        <v>0</v>
      </c>
      <c r="C109">
        <f t="shared" si="21"/>
        <v>0</v>
      </c>
      <c r="D109">
        <f t="shared" si="21"/>
        <v>0</v>
      </c>
      <c r="E109">
        <f t="shared" si="21"/>
        <v>220000000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5">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5">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5">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5">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5">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5">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5">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5">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5">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5">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5">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5">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5">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5">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5">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5">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5">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5">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5">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5">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5">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5">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5">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5">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5">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5">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5">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5">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5">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5">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5">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5">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5">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5">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5">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5">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5">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5">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5">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5">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5">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5">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5">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5">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5">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5">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5">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5">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5">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5">
      <c r="A159" s="43">
        <f t="shared" si="27"/>
        <v>2700000000000</v>
      </c>
      <c r="B159">
        <f t="shared" si="34"/>
        <v>2700000000000</v>
      </c>
      <c r="C159">
        <f t="shared" si="35"/>
        <v>2700000000000</v>
      </c>
      <c r="D159">
        <f t="shared" si="35"/>
        <v>2700000000000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3.2" x14ac:dyDescent="0.25"/>
  <cols>
    <col min="1" max="1" width="18.5546875" customWidth="1"/>
    <col min="2" max="2" width="9.33203125" customWidth="1"/>
    <col min="4" max="4" width="11.109375" customWidth="1"/>
  </cols>
  <sheetData>
    <row r="1" spans="1:5" x14ac:dyDescent="0.25">
      <c r="C1" t="s">
        <v>180</v>
      </c>
      <c r="D1" t="s">
        <v>179</v>
      </c>
    </row>
    <row r="2" spans="1:5" x14ac:dyDescent="0.25">
      <c r="A2" t="s">
        <v>177</v>
      </c>
      <c r="B2" s="47">
        <v>85</v>
      </c>
      <c r="C2" t="s">
        <v>178</v>
      </c>
      <c r="D2">
        <f>B2*1000000</f>
        <v>85000000</v>
      </c>
      <c r="E2" t="s">
        <v>9</v>
      </c>
    </row>
    <row r="3" spans="1:5" x14ac:dyDescent="0.25">
      <c r="A3" t="s">
        <v>181</v>
      </c>
      <c r="B3" s="47">
        <v>3000</v>
      </c>
      <c r="C3" t="s">
        <v>30</v>
      </c>
      <c r="D3">
        <f>B3*0.000000000001</f>
        <v>3E-9</v>
      </c>
      <c r="E3" t="s">
        <v>24</v>
      </c>
    </row>
    <row r="4" spans="1:5" x14ac:dyDescent="0.25">
      <c r="A4" t="s">
        <v>183</v>
      </c>
      <c r="B4" s="48">
        <f>1000000000*1/((D2*2*3.14159)^2*D3)</f>
        <v>1.1686430773614742</v>
      </c>
      <c r="C4" t="s">
        <v>184</v>
      </c>
      <c r="D4">
        <f>B4/1000000000</f>
        <v>1.1686430773614743E-9</v>
      </c>
      <c r="E4" t="s">
        <v>19</v>
      </c>
    </row>
    <row r="5" spans="1:5" x14ac:dyDescent="0.25">
      <c r="A5" t="s">
        <v>182</v>
      </c>
      <c r="B5">
        <f>4*B3</f>
        <v>12000</v>
      </c>
      <c r="C5" t="s">
        <v>30</v>
      </c>
      <c r="D5">
        <f>B5*0.000000000001</f>
        <v>1.2E-8</v>
      </c>
      <c r="E5" t="s">
        <v>24</v>
      </c>
    </row>
    <row r="6" spans="1:5" x14ac:dyDescent="0.25">
      <c r="A6" t="s">
        <v>185</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3.2" x14ac:dyDescent="0.25"/>
  <sheetData>
    <row r="4" spans="1:5" x14ac:dyDescent="0.25">
      <c r="A4" t="s">
        <v>6</v>
      </c>
      <c r="B4">
        <f>Fsw</f>
        <v>300000</v>
      </c>
    </row>
    <row r="6" spans="1:5" x14ac:dyDescent="0.25">
      <c r="A6" t="s">
        <v>151</v>
      </c>
      <c r="B6" s="41">
        <v>20</v>
      </c>
      <c r="C6" t="s">
        <v>23</v>
      </c>
      <c r="D6">
        <f>B6/1000000</f>
        <v>2.0000000000000002E-5</v>
      </c>
      <c r="E6" t="s">
        <v>24</v>
      </c>
    </row>
    <row r="7" spans="1:5" x14ac:dyDescent="0.25">
      <c r="A7" t="s">
        <v>142</v>
      </c>
      <c r="B7" s="41">
        <v>0.5</v>
      </c>
      <c r="C7" t="s">
        <v>63</v>
      </c>
      <c r="D7">
        <f>B7/1000</f>
        <v>5.0000000000000001E-4</v>
      </c>
      <c r="E7" t="s">
        <v>20</v>
      </c>
    </row>
    <row r="9" spans="1:5" x14ac:dyDescent="0.25">
      <c r="A9" t="s">
        <v>152</v>
      </c>
      <c r="B9" s="41">
        <v>68</v>
      </c>
      <c r="C9" t="s">
        <v>23</v>
      </c>
      <c r="D9">
        <f>B9/1000000</f>
        <v>6.7999999999999999E-5</v>
      </c>
      <c r="E9" t="s">
        <v>24</v>
      </c>
    </row>
    <row r="10" spans="1:5" x14ac:dyDescent="0.25">
      <c r="A10" t="s">
        <v>143</v>
      </c>
      <c r="B10" s="41">
        <v>20</v>
      </c>
      <c r="C10" t="s">
        <v>63</v>
      </c>
      <c r="D10">
        <f>B10/1000</f>
        <v>0.02</v>
      </c>
      <c r="E10" t="s">
        <v>20</v>
      </c>
    </row>
    <row r="13" spans="1:5" x14ac:dyDescent="0.25">
      <c r="A13" t="s">
        <v>154</v>
      </c>
      <c r="B13">
        <f>(D6/(D6+D9))*SQRT((D10*D9*B4)^2+1)/SQRT((((D7+D10)*D6*D9/(D9+D6))*B4)^2+1)</f>
        <v>0.2443600307654302</v>
      </c>
      <c r="C13" t="s">
        <v>153</v>
      </c>
    </row>
    <row r="14" spans="1:5" x14ac:dyDescent="0.25">
      <c r="A14" t="s">
        <v>155</v>
      </c>
      <c r="B14">
        <f>1-B13</f>
        <v>0.75563996923456977</v>
      </c>
      <c r="C14" t="s">
        <v>153</v>
      </c>
    </row>
    <row r="16" spans="1:5" x14ac:dyDescent="0.25">
      <c r="A16" t="s">
        <v>154</v>
      </c>
      <c r="B16" t="e">
        <f>B13*(Iripple1/(2*SQRT(3)))</f>
        <v>#NAME?</v>
      </c>
      <c r="C16" t="s">
        <v>1</v>
      </c>
    </row>
    <row r="17" spans="1:3" x14ac:dyDescent="0.25">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Amit Medina</cp:lastModifiedBy>
  <cp:lastPrinted>2019-05-04T17:54:08Z</cp:lastPrinted>
  <dcterms:created xsi:type="dcterms:W3CDTF">1996-10-14T23:33:28Z</dcterms:created>
  <dcterms:modified xsi:type="dcterms:W3CDTF">2026-01-21T09:08:34Z</dcterms:modified>
</cp:coreProperties>
</file>